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1a Design Aids\ACI CODES SHEETS\m.ali.abushady@gmail.com (12345)\"/>
    </mc:Choice>
  </mc:AlternateContent>
  <bookViews>
    <workbookView xWindow="9600" yWindow="-15" windowWidth="9645" windowHeight="11640" activeTab="2"/>
  </bookViews>
  <sheets>
    <sheet name="Calc" sheetId="4" r:id="rId1"/>
    <sheet name="ACI350.3-06 &amp; UBC97 Tables" sheetId="2" r:id="rId2"/>
    <sheet name="Rev History" sheetId="6" r:id="rId3"/>
    <sheet name="References" sheetId="5" r:id="rId4"/>
  </sheets>
  <externalReferences>
    <externalReference r:id="rId5"/>
    <externalReference r:id="rId6"/>
  </externalReferences>
  <definedNames>
    <definedName name="A" localSheetId="0">Calc!#REF!</definedName>
    <definedName name="a">#REF!</definedName>
    <definedName name="a_eq">Calc!#REF!</definedName>
    <definedName name="ab" localSheetId="0">Calc!#REF!</definedName>
    <definedName name="ab">#REF!</definedName>
    <definedName name="Aclosedtotal">Calc!#REF!</definedName>
    <definedName name="Acp">Calc!#REF!</definedName>
    <definedName name="Acr">Calc!#REF!</definedName>
    <definedName name="Ag">Calc!#REF!</definedName>
    <definedName name="Al">Calc!#REF!</definedName>
    <definedName name="Almin">Calc!#REF!</definedName>
    <definedName name="amax" localSheetId="0">Calc!#REF!</definedName>
    <definedName name="amax">#REF!</definedName>
    <definedName name="Ao">Calc!#REF!</definedName>
    <definedName name="Aoh">Calc!#REF!</definedName>
    <definedName name="As" localSheetId="0">Calc!#REF!</definedName>
    <definedName name="As">#REF!</definedName>
    <definedName name="As_Bot">Calc!#REF!</definedName>
    <definedName name="As_no_Bot">Calc!#REF!</definedName>
    <definedName name="As_no_Top">Calc!#REF!</definedName>
    <definedName name="As_Top">Calc!#REF!</definedName>
    <definedName name="Asact">Calc!#REF!</definedName>
    <definedName name="Ascomp">Calc!#REF!</definedName>
    <definedName name="Ascompact">Calc!#REF!</definedName>
    <definedName name="Ast_inner">Calc!#REF!</definedName>
    <definedName name="Ast_inner_actual">Calc!#REF!</definedName>
    <definedName name="Ast_inner_req">Calc!#REF!</definedName>
    <definedName name="Ast_outer">Calc!#REF!</definedName>
    <definedName name="Ast_outter">Calc!#REF!</definedName>
    <definedName name="Astirruptotal">Calc!#REF!</definedName>
    <definedName name="AsttotalLeg">Calc!#REF!</definedName>
    <definedName name="At">Calc!#REF!</definedName>
    <definedName name="Atmin">Calc!#REF!</definedName>
    <definedName name="Av">Calc!#REF!</definedName>
    <definedName name="Av_act">Calc!#REF!</definedName>
    <definedName name="AvLeg">Calc!#REF!</definedName>
    <definedName name="Avmin">Calc!#REF!</definedName>
    <definedName name="B" localSheetId="0">Calc!$C$16</definedName>
    <definedName name="b">#REF!</definedName>
    <definedName name="b_eq">Calc!#REF!</definedName>
    <definedName name="C_a">Calc!#REF!</definedName>
    <definedName name="C_a_Table">'ACI350.3-06 &amp; UBC97 Tables'!#REF!</definedName>
    <definedName name="c_eq">Calc!#REF!</definedName>
    <definedName name="C_t">'[1]Seismic Loads'!$C$16</definedName>
    <definedName name="C_v">Calc!#REF!</definedName>
    <definedName name="C_v_Table">'ACI350.3-06 &amp; UBC97 Tables'!#REF!</definedName>
    <definedName name="Ca">Calc!$C$31</definedName>
    <definedName name="Ca_Table">'ACI350.3-06 &amp; UBC97 Tables'!$P$5:$U$10</definedName>
    <definedName name="Cb" localSheetId="0">Calc!#REF!</definedName>
    <definedName name="Cb">#REF!</definedName>
    <definedName name="Cc">Calc!$D$49</definedName>
    <definedName name="Cconc">Calc!#REF!</definedName>
    <definedName name="Ci">Calc!$D$48</definedName>
    <definedName name="Cmax">Calc!#REF!</definedName>
    <definedName name="Cover">Calc!#REF!</definedName>
    <definedName name="Cst">Calc!#REF!</definedName>
    <definedName name="Ct_T1">'ACI350.3-06 &amp; UBC97 Tables'!$J$11:$J$13</definedName>
    <definedName name="Ct_T2">'ACI350.3-06 &amp; UBC97 Tables'!$K$11:$K$13</definedName>
    <definedName name="Ct_Table">'ACI350.3-06 &amp; UBC97 Tables'!$J$11:$K$13</definedName>
    <definedName name="Cv">Calc!$C$32</definedName>
    <definedName name="Cv_Table">'ACI350.3-06 &amp; UBC97 Tables'!$P$15:$U$20</definedName>
    <definedName name="Cεscomp">Calc!#REF!</definedName>
    <definedName name="d" localSheetId="0">Calc!#REF!</definedName>
    <definedName name="d">#REF!</definedName>
    <definedName name="d_comp">Calc!#REF!</definedName>
    <definedName name="damping_blg_type">'[2]Seismic Loads'!$C$17</definedName>
    <definedName name="damping_f_table">[2]Tables!$A$77:$C$81</definedName>
    <definedName name="dc">Calc!#REF!</definedName>
    <definedName name="dcomp" localSheetId="0">Calc!#REF!</definedName>
    <definedName name="dcomp">#REF!</definedName>
    <definedName name="DIA">'ACI350.3-06 &amp; UBC97 Tables'!#REF!</definedName>
    <definedName name="Dia_Bot">Calc!#REF!</definedName>
    <definedName name="dia_bot_final">Calc!#REF!</definedName>
    <definedName name="dia_side_final">Calc!#REF!</definedName>
    <definedName name="Dia_Top">Calc!#REF!</definedName>
    <definedName name="dia_top_final">Calc!#REF!</definedName>
    <definedName name="DIAM" localSheetId="0">Calc!#REF!</definedName>
    <definedName name="DIAM">#REF!</definedName>
    <definedName name="DIAMcomp">Calc!#REF!</definedName>
    <definedName name="Diast">Calc!#REF!</definedName>
    <definedName name="Diast_inner">Calc!#REF!</definedName>
    <definedName name="Diast_outer">Calc!#REF!</definedName>
    <definedName name="Diast_outter">Calc!#REF!</definedName>
    <definedName name="Diast_shear_only">Calc!#REF!</definedName>
    <definedName name="Ec">Calc!$D$20</definedName>
    <definedName name="EGCASE">'ACI350.3-06 &amp; UBC97 Tables'!#REF!</definedName>
    <definedName name="element_Type">Calc!#REF!</definedName>
    <definedName name="element_Type_list">'ACI350.3-06 &amp; UBC97 Tables'!#REF!</definedName>
    <definedName name="eq_11_to_14">'[2]Seismic Loads'!$C$32</definedName>
    <definedName name="eq_30_4">'[1]Seismic Loads'!$C$22</definedName>
    <definedName name="eq_30_5">'[1]Seismic Loads'!$C$23</definedName>
    <definedName name="eq_30_6">'[1]Seismic Loads'!$C$24</definedName>
    <definedName name="eq_30_7">'[1]Seismic Loads'!$C$25</definedName>
    <definedName name="eq_8_11">'[2]Seismic Loads'!$E$26</definedName>
    <definedName name="eq_8_12">'[2]Seismic Loads'!$E$27</definedName>
    <definedName name="eq_8_13">'[2]Seismic Loads'!$E$28</definedName>
    <definedName name="eq_8_14">'[2]Seismic Loads'!$E$29</definedName>
    <definedName name="Es" localSheetId="0">Calc!#REF!</definedName>
    <definedName name="Es">#REF!</definedName>
    <definedName name="Exposure_con">Calc!#REF!</definedName>
    <definedName name="Exposure_condition">'ACI350.3-06 &amp; UBC97 Tables'!#REF!</definedName>
    <definedName name="Fb">'[2]Seismic Loads'!$D$38</definedName>
    <definedName name="fc" localSheetId="0">Calc!$B$20</definedName>
    <definedName name="fc">#REF!</definedName>
    <definedName name="fc_a">Calc!#REF!</definedName>
    <definedName name="fr">Calc!#REF!</definedName>
    <definedName name="fs_a">Calc!#REF!</definedName>
    <definedName name="fs_max">Calc!#REF!</definedName>
    <definedName name="Ft_">'[1]Seismic Loads'!$C$28</definedName>
    <definedName name="fy" localSheetId="0">Calc!#REF!</definedName>
    <definedName name="fy">#REF!</definedName>
    <definedName name="fyt">Calc!#REF!</definedName>
    <definedName name="g">Calc!$B$21</definedName>
    <definedName name="h" localSheetId="0">Calc!$C$43</definedName>
    <definedName name="h">#REF!</definedName>
    <definedName name="h_n">'[1]Seismic Loads'!$C$17</definedName>
    <definedName name="h_r">Calc!$H$42</definedName>
    <definedName name="h_w">Calc!$E$42</definedName>
    <definedName name="hc">Calc!$F$40</definedName>
    <definedName name="hi">Calc!$F$39</definedName>
    <definedName name="hI_TOT">'[1]Seismic Loads'!$C$76</definedName>
    <definedName name="HL">Calc!$F$12</definedName>
    <definedName name="HW">Calc!$I$12</definedName>
    <definedName name="I">Calc!$C$22</definedName>
    <definedName name="I_">'[1]Seismic Loads'!$C$20</definedName>
    <definedName name="I_group">'[2]Seismic Loads'!$C$23</definedName>
    <definedName name="Icr">Calc!#REF!</definedName>
    <definedName name="Ig">Calc!#REF!</definedName>
    <definedName name="importance_f_table">[2]Tables!$A$28:$B$31</definedName>
    <definedName name="inner_Stirrup_type">Calc!#REF!</definedName>
    <definedName name="K">Calc!$F$43</definedName>
    <definedName name="K_ext_cal">Calc!$K$43</definedName>
    <definedName name="K_option">Calc!$K$42</definedName>
    <definedName name="K_table">'ACI350.3-06 &amp; UBC97 Tables'!$W$3:$W$4</definedName>
    <definedName name="L">Calc!$B$12</definedName>
    <definedName name="L_HL">Calc!$E$35</definedName>
    <definedName name="LCase">Calc!#REF!</definedName>
    <definedName name="Ma">Calc!#REF!</definedName>
    <definedName name="Mu" localSheetId="0">Calc!#REF!</definedName>
    <definedName name="Mu">#REF!</definedName>
    <definedName name="Mucomp" localSheetId="0">Calc!#REF!</definedName>
    <definedName name="Mucomp">#REF!</definedName>
    <definedName name="Mw">Calc!#REF!</definedName>
    <definedName name="n">Calc!#REF!</definedName>
    <definedName name="ɳ">'[2]Seismic Loads'!$C$18</definedName>
    <definedName name="N_a">'[1]Seismic Loads'!$C$11</definedName>
    <definedName name="N_v">'[1]Seismic Loads'!$C$12</definedName>
    <definedName name="Na">Calc!$C$29</definedName>
    <definedName name="nAs_Bot">Calc!#REF!</definedName>
    <definedName name="nAs_Top">Calc!#REF!</definedName>
    <definedName name="No" localSheetId="0">Calc!#REF!</definedName>
    <definedName name="No">#REF!</definedName>
    <definedName name="Nocomp">Calc!#REF!</definedName>
    <definedName name="nst">Calc!#REF!</definedName>
    <definedName name="nst_inner">Calc!#REF!</definedName>
    <definedName name="nst_inner_act">Calc!#REF!</definedName>
    <definedName name="nst_outer">Calc!#REF!</definedName>
    <definedName name="nst_outter">Calc!#REF!</definedName>
    <definedName name="nst_shear_only">Calc!#REF!</definedName>
    <definedName name="Nu">Calc!#REF!</definedName>
    <definedName name="Nv">Calc!$C$30</definedName>
    <definedName name="Nw">Calc!#REF!</definedName>
    <definedName name="Outer_Stirrup_type">Calc!#REF!</definedName>
    <definedName name="Outter_Stirrup_type">Calc!#REF!</definedName>
    <definedName name="Pc">Calc!$F$51</definedName>
    <definedName name="Pc_B_dist">Calc!$E$59</definedName>
    <definedName name="Pc_T_dist">Calc!$E$58</definedName>
    <definedName name="Pcp">Calc!#REF!</definedName>
    <definedName name="Ph">Calc!#REF!</definedName>
    <definedName name="Pi">Calc!$C$51</definedName>
    <definedName name="Pi_B_dist">Calc!$E$57</definedName>
    <definedName name="Pi_T_dist">Calc!$E$56</definedName>
    <definedName name="Pr">Calc!$F$50</definedName>
    <definedName name="_xlnm.Print_Area" localSheetId="0">Calc!$A$1:$J$77</definedName>
    <definedName name="_xlnm.Print_Titles" localSheetId="0">Calc!$1:$6</definedName>
    <definedName name="Pw">Calc!$C$50</definedName>
    <definedName name="Pw_dist">Calc!$C$60</definedName>
    <definedName name="R_">'[1]Seismic Loads'!$C$15</definedName>
    <definedName name="R_C_type">'[2]Seismic Loads'!$C$7</definedName>
    <definedName name="R_Table">[2]Tables!$A$47:$A$53</definedName>
    <definedName name="Rc_">Calc!$C$23</definedName>
    <definedName name="Rebar_Data">'ACI350.3-06 &amp; UBC97 Tables'!#REF!</definedName>
    <definedName name="Response_Curve">[2]Tables!$A$14:$A$15</definedName>
    <definedName name="Ri">Calc!$C$24</definedName>
    <definedName name="Ru" localSheetId="0">Calc!#REF!</definedName>
    <definedName name="Ru">#REF!</definedName>
    <definedName name="S">Calc!#REF!</definedName>
    <definedName name="S_bot.">Calc!#REF!</definedName>
    <definedName name="S_shear_only">Calc!#REF!</definedName>
    <definedName name="S_Soil">'[1]Seismic Loads'!#REF!</definedName>
    <definedName name="S_Soil_Table">#REF!</definedName>
    <definedName name="s_soil_type">'[1]Seismic Loads'!#REF!</definedName>
    <definedName name="S_SoilProfile">#REF!</definedName>
    <definedName name="S_SPT_T">#REF!</definedName>
    <definedName name="S_top">Calc!#REF!</definedName>
    <definedName name="S_Z">'[1]Seismic Loads'!$C$7</definedName>
    <definedName name="S_zone">'[1]Seismic Loads'!#REF!</definedName>
    <definedName name="s_zones">#REF!</definedName>
    <definedName name="Sd_T">'[2]Seismic Loads'!$E$32</definedName>
    <definedName name="Soil_Desp">Calc!$C$27</definedName>
    <definedName name="Soil_T1">'ACI350.3-06 &amp; UBC97 Tables'!$J$17:$J$22</definedName>
    <definedName name="Soil_Table">'ACI350.3-06 &amp; UBC97 Tables'!$J$17:$K$22</definedName>
    <definedName name="Soil_Type">Calc!$C$28</definedName>
    <definedName name="T_">'[1]Seismic Loads'!$C$19</definedName>
    <definedName name="Table_4.1">'ACI350.3-06 &amp; UBC97 Tables'!#REF!</definedName>
    <definedName name="Table_4.2">'ACI350.3-06 &amp; UBC97 Tables'!#REF!</definedName>
    <definedName name="Table_4.3">'ACI350.3-06 &amp; UBC97 Tables'!#REF!</definedName>
    <definedName name="TB">'[2]Seismic Loads'!$E$13</definedName>
    <definedName name="Tc">Calc!$G$45</definedName>
    <definedName name="Tcr">Calc!#REF!</definedName>
    <definedName name="TD">'[2]Seismic Loads'!$E$14</definedName>
    <definedName name="TEtabs">'[1]Seismic Loads'!$F$19</definedName>
    <definedName name="Ti">Calc!$C$44</definedName>
    <definedName name="Tneg">Calc!#REF!</definedName>
    <definedName name="To_">'[1]Seismic Loads'!$C$81</definedName>
    <definedName name="tr">Calc!$F$8</definedName>
    <definedName name="Ts">Calc!$C$33</definedName>
    <definedName name="Ts_">'[1]Seismic Loads'!$C$80</definedName>
    <definedName name="Tu">Calc!#REF!</definedName>
    <definedName name="Tused">'[1]Seismic Loads'!$F$20</definedName>
    <definedName name="tw">Calc!$C$12</definedName>
    <definedName name="type1_table">[2]Tables!$A$85:$E$88</definedName>
    <definedName name="type2_table">[2]Tables!$A$92:$E$95</definedName>
    <definedName name="V_">'[1]Seismic Loads'!$D$27</definedName>
    <definedName name="V_w">'[1]Seismic Loads'!$C$27</definedName>
    <definedName name="Vc">Calc!#REF!</definedName>
    <definedName name="Vmax">Calc!#REF!</definedName>
    <definedName name="Vn">Calc!#REF!</definedName>
    <definedName name="Vs">Calc!#REF!</definedName>
    <definedName name="Vsmax">Calc!#REF!</definedName>
    <definedName name="Vu" localSheetId="0">Calc!#REF!</definedName>
    <definedName name="Vu">#REF!</definedName>
    <definedName name="W">Calc!$C$42</definedName>
    <definedName name="W_">'[1]Seismic Loads'!$C$18</definedName>
    <definedName name="Wc">Calc!$F$37</definedName>
    <definedName name="Wc_coff">Calc!$E$37</definedName>
    <definedName name="wcr_all">Calc!#REF!</definedName>
    <definedName name="Wi">Calc!$E$36</definedName>
    <definedName name="Wi_coff">Calc!$D$36</definedName>
    <definedName name="wi_hi">'[1]Seismic Loads'!#REF!</definedName>
    <definedName name="Wi_hi_TOT">'[1]Seismic Loads'!$E$76</definedName>
    <definedName name="Wi_TOT">'[1]Seismic Loads'!$B$76</definedName>
    <definedName name="WL">Calc!$C$35</definedName>
    <definedName name="Wr">Calc!$I$35</definedName>
    <definedName name="Ww">Calc!$G$35</definedName>
    <definedName name="y">Calc!#REF!</definedName>
    <definedName name="Z">Calc!$C$26</definedName>
    <definedName name="Z_Table">#REF!</definedName>
    <definedName name="zone">Calc!$C$25</definedName>
    <definedName name="Zone_T1">'ACI350.3-06 &amp; UBC97 Tables'!$J$4:$J$8</definedName>
    <definedName name="Zone_Table">'ACI350.3-06 &amp; UBC97 Tables'!$J$4:$K$8</definedName>
    <definedName name="α">Calc!#REF!</definedName>
    <definedName name="ᵝ">Calc!#REF!</definedName>
    <definedName name="β1" localSheetId="0">Calc!#REF!</definedName>
    <definedName name="β1">#REF!</definedName>
    <definedName name="γc">Calc!$B$19</definedName>
    <definedName name="γL">Calc!$F$13</definedName>
    <definedName name="εc" localSheetId="0">Calc!#REF!</definedName>
    <definedName name="εc">#REF!</definedName>
    <definedName name="εs" localSheetId="0">Calc!#REF!</definedName>
    <definedName name="εs">#REF!</definedName>
    <definedName name="εscomp">Calc!#REF!</definedName>
    <definedName name="εy">Calc!#REF!</definedName>
    <definedName name="θ">Calc!#REF!</definedName>
    <definedName name="λ">Calc!$D$45</definedName>
    <definedName name="ρ" localSheetId="0">Calc!#REF!</definedName>
    <definedName name="ρ">#REF!</definedName>
    <definedName name="ρcomp">Calc!#REF!</definedName>
    <definedName name="ρmax" localSheetId="0">Calc!#REF!</definedName>
    <definedName name="ρmax">#REF!</definedName>
    <definedName name="ρmin" localSheetId="0">Calc!#REF!</definedName>
    <definedName name="ρmin">#REF!</definedName>
    <definedName name="ρp" localSheetId="0">Calc!#REF!</definedName>
    <definedName name="ρp">#REF!</definedName>
    <definedName name="ρreqd" localSheetId="0">Calc!#REF!</definedName>
    <definedName name="ρreqd">#REF!</definedName>
    <definedName name="Φ" localSheetId="0">Calc!#REF!</definedName>
    <definedName name="Φ">#REF!</definedName>
    <definedName name="Φcal">Calc!#REF!</definedName>
    <definedName name="ΦMn" localSheetId="0">Calc!#REF!</definedName>
    <definedName name="ΦMn">#REF!</definedName>
    <definedName name="ΦMnbal" localSheetId="0">Calc!#REF!</definedName>
    <definedName name="ΦMnbal">#REF!</definedName>
    <definedName name="ΦMncomp">Calc!#REF!</definedName>
    <definedName name="Φshear">Calc!#REF!</definedName>
    <definedName name="ΦVn">Calc!#REF!</definedName>
  </definedNames>
  <calcPr calcId="152511"/>
</workbook>
</file>

<file path=xl/calcChain.xml><?xml version="1.0" encoding="utf-8"?>
<calcChain xmlns="http://schemas.openxmlformats.org/spreadsheetml/2006/main">
  <c r="G35" i="4" l="1"/>
  <c r="H42" i="4" l="1"/>
  <c r="E42" i="4"/>
  <c r="D45" i="4"/>
  <c r="D20" i="4"/>
  <c r="G45" i="4" l="1"/>
  <c r="F40" i="4"/>
  <c r="I35" i="4"/>
  <c r="E35" i="4"/>
  <c r="F39" i="4" s="1"/>
  <c r="C35" i="4"/>
  <c r="C26" i="4"/>
  <c r="C28" i="4"/>
  <c r="C32" i="4" l="1"/>
  <c r="C31" i="4"/>
  <c r="F31" i="4" s="1"/>
  <c r="E37" i="4"/>
  <c r="F37" i="4" s="1"/>
  <c r="H46" i="4" s="1"/>
  <c r="D36" i="4"/>
  <c r="E36" i="4" l="1"/>
  <c r="C43" i="4" s="1"/>
  <c r="C33" i="4"/>
  <c r="C42" i="4" l="1"/>
  <c r="F43" i="4"/>
  <c r="C44" i="4" s="1"/>
  <c r="D48" i="4" s="1"/>
  <c r="D49" i="4"/>
  <c r="F51" i="4" s="1"/>
  <c r="G5" i="4"/>
  <c r="E58" i="4" l="1"/>
  <c r="G62" i="4" s="1"/>
  <c r="E59" i="4"/>
  <c r="G68" i="4" s="1"/>
  <c r="F50" i="4"/>
  <c r="C51" i="4"/>
  <c r="C50" i="4"/>
  <c r="C60" i="4" s="1"/>
  <c r="E56" i="4" l="1"/>
  <c r="E62" i="4" s="1"/>
  <c r="E57" i="4"/>
  <c r="E68" i="4" s="1"/>
  <c r="C61" i="4"/>
  <c r="I61" i="4" s="1"/>
  <c r="D53" i="4"/>
  <c r="I62" i="4" l="1"/>
  <c r="I68" i="4"/>
</calcChain>
</file>

<file path=xl/comments1.xml><?xml version="1.0" encoding="utf-8"?>
<comments xmlns="http://schemas.openxmlformats.org/spreadsheetml/2006/main">
  <authors>
    <author>M. Abushady</author>
    <author>FAAD</author>
    <author>Author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M. Abushady:</t>
        </r>
        <r>
          <rPr>
            <sz val="9"/>
            <color indexed="81"/>
            <rFont val="Tahoma"/>
            <family val="2"/>
          </rPr>
          <t xml:space="preserve">
This sheet created by M. Abushady
for comments &amp; notes on it. Send an e-mail to </t>
        </r>
        <r>
          <rPr>
            <b/>
            <sz val="9"/>
            <color indexed="81"/>
            <rFont val="Tahoma"/>
            <family val="2"/>
          </rPr>
          <t>m.ali.abushady@gmail.com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tr = average roof thickness, in.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1" shapeId="0">
      <text>
        <r>
          <rPr>
            <b/>
            <sz val="9"/>
            <color indexed="81"/>
            <rFont val="Tahoma"/>
            <family val="2"/>
          </rPr>
          <t>L = inside dimension of a rectangular tank,parallel to the direction of the ground motion being investigated,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2" authorId="1" shapeId="0">
      <text>
        <r>
          <rPr>
            <b/>
            <sz val="9"/>
            <color indexed="81"/>
            <rFont val="Tahoma"/>
            <family val="2"/>
          </rPr>
          <t>tw = average wall thickness, in.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HL = design depth of stored liquid, ft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1" shapeId="0">
      <text>
        <r>
          <rPr>
            <b/>
            <sz val="9"/>
            <color indexed="81"/>
            <rFont val="Tahoma"/>
            <family val="2"/>
          </rPr>
          <t>Hw = wall height (inside dimension),(m)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3" authorId="1" shapeId="0">
      <text>
        <r>
          <rPr>
            <b/>
            <sz val="9"/>
            <color indexed="81"/>
            <rFont val="Tahoma"/>
            <family val="2"/>
          </rPr>
          <t>γL = density of contained liquid, (kN/m3)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1" shapeId="0">
      <text>
        <r>
          <rPr>
            <b/>
            <sz val="9"/>
            <color indexed="81"/>
            <rFont val="Tahoma"/>
            <family val="2"/>
          </rPr>
          <t>B = inside dimension (length or width) of a rectangular tank, perpendicular to the direction of the ground motion being investigated, (m)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γc = density of concrete, [150 lb/ft3 (23.56 kN/m3)
for standard-weight concrete]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1" shapeId="0">
      <text>
        <r>
          <rPr>
            <b/>
            <sz val="9"/>
            <color indexed="81"/>
            <rFont val="Tahoma"/>
            <family val="2"/>
          </rPr>
          <t>Ec = modulus of elasticity of concrete, lb/in.2 (MPa)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g = acceleration due to gravity [32.17ft/s2
(9.807 m/s2)]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I = importance factor, from Table 4.1.1(a)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1" shapeId="0">
      <text>
        <r>
          <rPr>
            <b/>
            <sz val="9"/>
            <color indexed="81"/>
            <rFont val="Tahoma"/>
            <family val="2"/>
          </rPr>
          <t>Rc response modification factor forthe convective component of the accelerating liquid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4" authorId="1" shapeId="0">
      <text>
        <r>
          <rPr>
            <b/>
            <sz val="9"/>
            <color indexed="81"/>
            <rFont val="Tahoma"/>
            <family val="2"/>
          </rPr>
          <t>Ri response modification factor for the impulsive component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6" authorId="2" shapeId="0">
      <text>
        <r>
          <rPr>
            <b/>
            <sz val="9"/>
            <color indexed="81"/>
            <rFont val="Tahoma"/>
            <family val="2"/>
          </rPr>
          <t>Seismic Zone Factor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9" authorId="2" shapeId="0">
      <text>
        <r>
          <rPr>
            <b/>
            <sz val="9"/>
            <color indexed="81"/>
            <rFont val="Tahoma"/>
            <family val="2"/>
          </rPr>
          <t>NEAR-SOURCE FACTOR
For Zone 4 Only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0" authorId="2" shapeId="0">
      <text>
        <r>
          <rPr>
            <b/>
            <sz val="9"/>
            <color indexed="81"/>
            <rFont val="Tahoma"/>
            <family val="2"/>
          </rPr>
          <t>NEAR-SOURCE FACTOR
For Zone 4 Only</t>
        </r>
      </text>
    </comment>
    <comment ref="B31" authorId="2" shapeId="0">
      <text>
        <r>
          <rPr>
            <b/>
            <sz val="9"/>
            <color indexed="81"/>
            <rFont val="Tahoma"/>
            <family val="2"/>
          </rPr>
          <t>SEISMIC COEFFICIENT Ca</t>
        </r>
      </text>
    </comment>
    <comment ref="B32" authorId="2" shapeId="0">
      <text>
        <r>
          <rPr>
            <b/>
            <sz val="9"/>
            <color indexed="81"/>
            <rFont val="Tahoma"/>
            <family val="2"/>
          </rPr>
          <t>SEISMIC COEFFICIENT Cv</t>
        </r>
      </text>
    </comment>
    <comment ref="B35" authorId="1" shapeId="0">
      <text>
        <r>
          <rPr>
            <b/>
            <sz val="9"/>
            <color indexed="81"/>
            <rFont val="Tahoma"/>
            <family val="2"/>
          </rPr>
          <t>WL = total equivalent weight of the stored liquid, kN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5" authorId="1" shapeId="0">
      <text>
        <r>
          <rPr>
            <b/>
            <sz val="9"/>
            <color indexed="81"/>
            <rFont val="Tahoma"/>
            <family val="2"/>
          </rPr>
          <t>Ww = equivalent weight of the tank wall (shell),(kN)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5" authorId="1" shapeId="0">
      <text>
        <r>
          <rPr>
            <b/>
            <sz val="9"/>
            <color indexed="81"/>
            <rFont val="Tahoma"/>
            <family val="2"/>
          </rPr>
          <t>Wr = equivalent weight of the tank roof, plus
superimposed load, plus applicable portion
of snow load considered as dead load, lb (kN)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6" authorId="1" shapeId="0">
      <text>
        <r>
          <rPr>
            <b/>
            <sz val="9"/>
            <color indexed="81"/>
            <rFont val="Tahoma"/>
            <family val="2"/>
          </rPr>
          <t>Wi = equivalent weight of the impulsive component
of the stored liquid,(kN)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7" authorId="1" shapeId="0">
      <text>
        <r>
          <rPr>
            <b/>
            <sz val="9"/>
            <color indexed="81"/>
            <rFont val="Tahoma"/>
            <family val="2"/>
          </rPr>
          <t>Wc = equivalent weight of the convective component
of the stored liquid, (kN)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1" shapeId="0">
      <text>
        <r>
          <rPr>
            <b/>
            <sz val="9"/>
            <color indexed="81"/>
            <rFont val="Tahoma"/>
            <family val="2"/>
          </rPr>
          <t>hi = height above the base of the wall to the
center of gravity of the impulsive lateral
force for the case including base pressure
(EBP), ft (m)</t>
        </r>
      </text>
    </comment>
    <comment ref="E40" authorId="1" shapeId="0">
      <text>
        <r>
          <rPr>
            <b/>
            <sz val="9"/>
            <color indexed="81"/>
            <rFont val="Tahoma"/>
            <family val="2"/>
          </rPr>
          <t>hc = height above the base of the wall to the
center of gravity of the convective lateral
force for the case excluding base pressure
(EBP), ft (m)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2" authorId="1" shapeId="0">
      <text>
        <r>
          <rPr>
            <b/>
            <sz val="9"/>
            <color indexed="81"/>
            <rFont val="Tahoma"/>
            <family val="2"/>
          </rPr>
          <t>hw = Hw /2
hw = height from the base of the wall to the center of gravity of the tank shell, ft (m)</t>
        </r>
      </text>
    </comment>
    <comment ref="G42" authorId="1" shapeId="0">
      <text>
        <r>
          <rPr>
            <b/>
            <sz val="9"/>
            <color indexed="81"/>
            <rFont val="Tahoma"/>
            <family val="2"/>
          </rPr>
          <t>hr = Hw+tr/2
hr = height from the base of the wall to the center of gravity of the tank roof, ft (m)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</rPr>
          <t>h = mean height at which the inertia force of the tank and its assumed to act.
h</t>
        </r>
        <r>
          <rPr>
            <b/>
            <vertAlign val="subscript"/>
            <sz val="9"/>
            <color indexed="81"/>
            <rFont val="Tahoma"/>
            <family val="2"/>
          </rPr>
          <t>w</t>
        </r>
        <r>
          <rPr>
            <b/>
            <sz val="9"/>
            <color indexed="81"/>
            <rFont val="Tahoma"/>
            <family val="2"/>
          </rPr>
          <t xml:space="preserve"> = H</t>
        </r>
        <r>
          <rPr>
            <b/>
            <vertAlign val="subscript"/>
            <sz val="9"/>
            <color indexed="81"/>
            <rFont val="Tahoma"/>
            <family val="2"/>
          </rPr>
          <t>w</t>
        </r>
        <r>
          <rPr>
            <b/>
            <sz val="9"/>
            <color indexed="81"/>
            <rFont val="Tahoma"/>
            <family val="2"/>
          </rPr>
          <t xml:space="preserve"> /2</t>
        </r>
      </text>
    </comment>
    <comment ref="E43" authorId="1" shapeId="0">
      <text>
        <r>
          <rPr>
            <b/>
            <sz val="9"/>
            <color indexed="81"/>
            <rFont val="Tahoma"/>
            <family val="2"/>
          </rPr>
          <t>k = flexural stiffness of a unit width of a rectilinear tank wall, lb/ft per foot of wall width (N/m per meter of wall width)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4" authorId="1" shapeId="0">
      <text>
        <r>
          <rPr>
            <b/>
            <sz val="9"/>
            <color indexed="81"/>
            <rFont val="Tahoma"/>
            <family val="2"/>
          </rPr>
          <t>Ti = fundamental period of oscillation of the tank (plus the impulsive component of the contents), 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1" shapeId="0">
      <text>
        <r>
          <rPr>
            <b/>
            <sz val="9"/>
            <color indexed="81"/>
            <rFont val="Tahoma"/>
            <family val="2"/>
          </rPr>
          <t>Tc = natural period of the first (convective) mode of sloshing, s</t>
        </r>
      </text>
    </comment>
    <comment ref="C48" authorId="1" shapeId="0">
      <text>
        <r>
          <rPr>
            <b/>
            <sz val="9"/>
            <color indexed="81"/>
            <rFont val="Tahoma"/>
            <family val="2"/>
          </rPr>
          <t>Cl, Cw = coefficients for determining the fundamental
frequency of the tank-liquid system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9" authorId="1" shapeId="0">
      <text>
        <r>
          <rPr>
            <b/>
            <sz val="9"/>
            <color indexed="81"/>
            <rFont val="Tahoma"/>
            <family val="2"/>
          </rPr>
          <t>Cl, Cw = coefficients for determining the fundamental
frequency of the tank-liquid system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0" authorId="1" shapeId="0">
      <text>
        <r>
          <rPr>
            <b/>
            <sz val="9"/>
            <color indexed="81"/>
            <rFont val="Tahoma"/>
            <family val="2"/>
          </rPr>
          <t>Pw = lateral inertia force of the accelerating wall
Ww, lb (kN)</t>
        </r>
      </text>
    </comment>
    <comment ref="E50" authorId="1" shapeId="0">
      <text>
        <r>
          <rPr>
            <b/>
            <sz val="9"/>
            <color indexed="81"/>
            <rFont val="Tahoma"/>
            <family val="2"/>
          </rPr>
          <t>Pr = lateral inertia force of the accelerating roof
Wr, lb (kN)</t>
        </r>
      </text>
    </comment>
    <comment ref="B51" authorId="1" shapeId="0">
      <text>
        <r>
          <rPr>
            <b/>
            <sz val="9"/>
            <color indexed="81"/>
            <rFont val="Tahoma"/>
            <family val="2"/>
          </rPr>
          <t>Pi = total lateral impulsive force associated with Wi, lb (kN)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1" authorId="1" shapeId="0">
      <text>
        <r>
          <rPr>
            <b/>
            <sz val="9"/>
            <color indexed="81"/>
            <rFont val="Tahoma"/>
            <family val="2"/>
          </rPr>
          <t>Pc = total lateral convective force associated with Wc, lb (kN)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" authorId="1" shapeId="0">
      <text>
        <r>
          <rPr>
            <b/>
            <sz val="9"/>
            <color indexed="81"/>
            <rFont val="Tahoma"/>
            <family val="2"/>
          </rPr>
          <t>V = total horizontal base shear, lb (kN)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6" authorId="1" shapeId="0">
      <text>
        <r>
          <rPr>
            <b/>
            <sz val="9"/>
            <color indexed="81"/>
            <rFont val="Tahoma"/>
            <family val="2"/>
          </rPr>
          <t>Pi Top= Top distributed impulsive force KN/m2KN/m2/wall</t>
        </r>
      </text>
    </comment>
    <comment ref="D57" authorId="1" shapeId="0">
      <text>
        <r>
          <rPr>
            <b/>
            <sz val="9"/>
            <color indexed="81"/>
            <rFont val="Tahoma"/>
            <family val="2"/>
          </rPr>
          <t>Pi bottom= bottom distributed impulsive force KN/m2/wall</t>
        </r>
      </text>
    </comment>
    <comment ref="D58" authorId="1" shapeId="0">
      <text>
        <r>
          <rPr>
            <b/>
            <sz val="9"/>
            <color indexed="81"/>
            <rFont val="Tahoma"/>
            <family val="2"/>
          </rPr>
          <t>Pc Top= Top distributed convective force KN/m2KN/m2/wall</t>
        </r>
      </text>
    </comment>
    <comment ref="D59" authorId="1" shapeId="0">
      <text>
        <r>
          <rPr>
            <b/>
            <sz val="9"/>
            <color indexed="81"/>
            <rFont val="Tahoma"/>
            <family val="2"/>
          </rPr>
          <t>Pc bottom= bottom distributed convective force KN/m2KN/m2/wall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60" authorId="1" shapeId="0">
      <text>
        <r>
          <rPr>
            <b/>
            <sz val="9"/>
            <color indexed="81"/>
            <rFont val="Tahoma"/>
            <family val="2"/>
          </rPr>
          <t>Pw = lateral inertia force of the accelerating wall Ww, KN/m2/wall</t>
        </r>
      </text>
    </comment>
  </commentList>
</comments>
</file>

<file path=xl/sharedStrings.xml><?xml version="1.0" encoding="utf-8"?>
<sst xmlns="http://schemas.openxmlformats.org/spreadsheetml/2006/main" count="153" uniqueCount="131">
  <si>
    <t>Project :-</t>
  </si>
  <si>
    <t>Building :-</t>
  </si>
  <si>
    <t>Element:-</t>
  </si>
  <si>
    <t>Designed by:-</t>
  </si>
  <si>
    <t>M. Abu Shady</t>
  </si>
  <si>
    <t>General Input :-</t>
  </si>
  <si>
    <t>Location:-</t>
  </si>
  <si>
    <t>Checked by:-</t>
  </si>
  <si>
    <t>Date:-</t>
  </si>
  <si>
    <r>
      <t xml:space="preserve">M. Abushady:
This sheet created by M. Abushady
for comments &amp; notes on it. Send an e-mail to </t>
    </r>
    <r>
      <rPr>
        <b/>
        <sz val="11"/>
        <color rgb="FFFF0000"/>
        <rFont val="Calibri"/>
        <family val="2"/>
        <scheme val="minor"/>
      </rPr>
      <t>m.ali.abushady@gmail.com</t>
    </r>
  </si>
  <si>
    <t>M.A.S.</t>
  </si>
  <si>
    <t>References</t>
  </si>
  <si>
    <t>Rev0</t>
  </si>
  <si>
    <t>Rectangular Tank Plan</t>
  </si>
  <si>
    <t>Rectangular Tank Elevation</t>
  </si>
  <si>
    <t>Importance factor I</t>
  </si>
  <si>
    <t>ACI 350.3-06, Table 4.1.1(a)</t>
  </si>
  <si>
    <t>ACI 350.3-06, Table 4.1.1(b)</t>
  </si>
  <si>
    <t>TABLE 16-I—SEISMIC ZONE FACTOR Z</t>
  </si>
  <si>
    <t>Ct Values</t>
  </si>
  <si>
    <t>Zone</t>
  </si>
  <si>
    <t>Z</t>
  </si>
  <si>
    <t>(0.035 in ft)for steel moment-resisting frames</t>
  </si>
  <si>
    <t>(0.030 in ft)for RC moment-resisting frames</t>
  </si>
  <si>
    <t>and eccentrically braced frames</t>
  </si>
  <si>
    <t>2A</t>
  </si>
  <si>
    <t xml:space="preserve"> (0.020 in ft)for all other buildings</t>
  </si>
  <si>
    <t>2B</t>
  </si>
  <si>
    <t>TABLE 16-J—SOIL PROFILE TYPES</t>
  </si>
  <si>
    <t>Soil Profile Description</t>
  </si>
  <si>
    <t>Soil Profile Type</t>
  </si>
  <si>
    <t>Hard Rock</t>
  </si>
  <si>
    <t>SA</t>
  </si>
  <si>
    <t>Rock</t>
  </si>
  <si>
    <t>SB</t>
  </si>
  <si>
    <t>Very Dense</t>
  </si>
  <si>
    <t>SC</t>
  </si>
  <si>
    <t>Stiff Soil</t>
  </si>
  <si>
    <t>SD</t>
  </si>
  <si>
    <t>Soft Soil</t>
  </si>
  <si>
    <t>SE</t>
  </si>
  <si>
    <t>Weak Soil</t>
  </si>
  <si>
    <t>SF</t>
  </si>
  <si>
    <t>TABLE 16-Q—SEISMIC COEFFICIENT Ca</t>
  </si>
  <si>
    <t>SOIL PROFILE TYPE</t>
  </si>
  <si>
    <t>Z Seismic Zone Factor</t>
  </si>
  <si>
    <t>TABLE 16-R—SEISMIC COEFFICIENT Cv</t>
  </si>
  <si>
    <t>SEISMIC ZONE</t>
  </si>
  <si>
    <t>Z factor</t>
  </si>
  <si>
    <t>UBC 97, TABLE 16-I</t>
  </si>
  <si>
    <t>UBC 97, TABLE 16-J</t>
  </si>
  <si>
    <t>UBC 97, TABLE 16-S</t>
  </si>
  <si>
    <t>UBC 97, TABLE 16-T</t>
  </si>
  <si>
    <t>UBC 97, TABLE 16-Q</t>
  </si>
  <si>
    <t>UBC 97, TABLE 16-R</t>
  </si>
  <si>
    <t>sec, UBC 97, FIGURE 16-3</t>
  </si>
  <si>
    <t xml:space="preserve">Soil Profile </t>
  </si>
  <si>
    <t>Based on 1997 Uniform Building Code</t>
  </si>
  <si>
    <t>Seismic Loads for Liquid-Containing Rectangular RC Tank, According ACI 350.3-06 , Appendix B Method</t>
  </si>
  <si>
    <t>ACI 350.3-06, Eq 9-1</t>
  </si>
  <si>
    <t>ACI 350.3-06, Eq 9-2</t>
  </si>
  <si>
    <r>
      <t>R</t>
    </r>
    <r>
      <rPr>
        <b/>
        <vertAlign val="subscript"/>
        <sz val="11"/>
        <color theme="1"/>
        <rFont val="Calibri"/>
        <family val="2"/>
        <scheme val="minor"/>
      </rPr>
      <t>c</t>
    </r>
  </si>
  <si>
    <r>
      <t>R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</si>
  <si>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N</t>
    </r>
    <r>
      <rPr>
        <b/>
        <vertAlign val="subscript"/>
        <sz val="11"/>
        <color indexed="8"/>
        <rFont val="Arial"/>
        <family val="2"/>
      </rPr>
      <t xml:space="preserve">a  </t>
    </r>
    <r>
      <rPr>
        <b/>
        <sz val="11"/>
        <color theme="1"/>
        <rFont val="Calibri"/>
        <family val="2"/>
        <charset val="178"/>
        <scheme val="minor"/>
      </rPr>
      <t>For Zone 4 only</t>
    </r>
  </si>
  <si>
    <r>
      <t>N</t>
    </r>
    <r>
      <rPr>
        <b/>
        <vertAlign val="subscript"/>
        <sz val="11"/>
        <color indexed="8"/>
        <rFont val="Arial"/>
        <family val="2"/>
      </rPr>
      <t xml:space="preserve">v  </t>
    </r>
    <r>
      <rPr>
        <b/>
        <sz val="11"/>
        <color theme="1"/>
        <rFont val="Calibri"/>
        <family val="2"/>
        <charset val="178"/>
        <scheme val="minor"/>
      </rPr>
      <t>For Zone 4 only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</si>
  <si>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a</t>
    </r>
  </si>
  <si>
    <r>
      <t>C</t>
    </r>
    <r>
      <rPr>
        <b/>
        <vertAlign val="subscript"/>
        <sz val="11"/>
        <color theme="1"/>
        <rFont val="Calibri"/>
        <family val="2"/>
        <scheme val="minor"/>
      </rPr>
      <t>v</t>
    </r>
  </si>
  <si>
    <r>
      <t>T</t>
    </r>
    <r>
      <rPr>
        <b/>
        <vertAlign val="subscript"/>
        <sz val="11"/>
        <color indexed="8"/>
        <rFont val="Arial"/>
        <family val="2"/>
      </rPr>
      <t xml:space="preserve">s </t>
    </r>
    <r>
      <rPr>
        <b/>
        <sz val="11"/>
        <color indexed="8"/>
        <rFont val="Arial"/>
        <family val="2"/>
      </rPr>
      <t>=0.40C</t>
    </r>
    <r>
      <rPr>
        <b/>
        <vertAlign val="subscript"/>
        <sz val="11"/>
        <color indexed="8"/>
        <rFont val="Arial"/>
        <family val="2"/>
      </rPr>
      <t>v</t>
    </r>
    <r>
      <rPr>
        <b/>
        <sz val="11"/>
        <color indexed="8"/>
        <rFont val="Arial"/>
        <family val="2"/>
      </rPr>
      <t>/C</t>
    </r>
    <r>
      <rPr>
        <b/>
        <vertAlign val="subscript"/>
        <sz val="11"/>
        <color indexed="8"/>
        <rFont val="Arial"/>
        <family val="2"/>
      </rPr>
      <t>a</t>
    </r>
  </si>
  <si>
    <r>
      <t>,W</t>
    </r>
    <r>
      <rPr>
        <b/>
        <vertAlign val="subscript"/>
        <sz val="11"/>
        <color theme="1"/>
        <rFont val="Calibri"/>
        <family val="2"/>
        <scheme val="minor"/>
      </rPr>
      <t>w</t>
    </r>
  </si>
  <si>
    <r>
      <t>,W</t>
    </r>
    <r>
      <rPr>
        <b/>
        <vertAlign val="subscript"/>
        <sz val="11"/>
        <color theme="1"/>
        <rFont val="Calibri"/>
        <family val="2"/>
        <scheme val="minor"/>
      </rPr>
      <t>r</t>
    </r>
  </si>
  <si>
    <r>
      <t>W</t>
    </r>
    <r>
      <rPr>
        <b/>
        <vertAlign val="subscript"/>
        <sz val="11"/>
        <color theme="1"/>
        <rFont val="Calibri"/>
        <family val="2"/>
        <scheme val="minor"/>
      </rPr>
      <t>L</t>
    </r>
  </si>
  <si>
    <r>
      <t xml:space="preserve"> , L / H</t>
    </r>
    <r>
      <rPr>
        <b/>
        <vertAlign val="subscript"/>
        <sz val="11"/>
        <color theme="1"/>
        <rFont val="Calibri"/>
        <family val="2"/>
        <scheme val="minor"/>
      </rPr>
      <t>L</t>
    </r>
  </si>
  <si>
    <t>ACI 350.3-06, Eq 9-3 &amp; Eq 9-4</t>
  </si>
  <si>
    <t>ACI 350.3-06, Eq 9-5</t>
  </si>
  <si>
    <t>ACI 350.3-06, Eq 9-11</t>
  </si>
  <si>
    <t>1-ACI 350.3_06 Seismic Design of Liquid-Containing Concrete Structures and Commentary</t>
  </si>
  <si>
    <t>2-SP-2002 IBC2000 ACI 350.3R-01 Design_of_liquid_containing_concrete_structures_for_earthquake_forcesby Javeed A. Munshi-2002-089312219X_EB219</t>
  </si>
  <si>
    <t>ACI 350.3-06, R9.2.4</t>
  </si>
  <si>
    <t>ACI318-08, Clause 8.5.1</t>
  </si>
  <si>
    <t>,</t>
  </si>
  <si>
    <t>ACI 350.3-06, Eq 9-13,14</t>
  </si>
  <si>
    <t>ACI 350.3-06, Appendix B, Eq B-1,2,3</t>
  </si>
  <si>
    <t>ACI 350.3-06, Appendix B, Eq B-4,5</t>
  </si>
  <si>
    <t>ACI 350.3-06, Appendix B, Eq B-6,7</t>
  </si>
  <si>
    <t>ACI 350.3-06, Appendix B, Eq B-8,9</t>
  </si>
  <si>
    <t>ACI 350.3-06, Appendix B &amp; Eq 4-5</t>
  </si>
  <si>
    <t>UBC 97 Tables</t>
  </si>
  <si>
    <r>
      <t>1-Calculation the Equivalent Weight for impulsive W</t>
    </r>
    <r>
      <rPr>
        <b/>
        <u/>
        <vertAlign val="subscript"/>
        <sz val="11"/>
        <color theme="1"/>
        <rFont val="Calibri"/>
        <family val="2"/>
        <scheme val="minor"/>
      </rPr>
      <t>i</t>
    </r>
    <r>
      <rPr>
        <b/>
        <u/>
        <sz val="11"/>
        <color theme="1"/>
        <rFont val="Calibri"/>
        <family val="2"/>
        <scheme val="minor"/>
      </rPr>
      <t xml:space="preserve"> &amp; convective W</t>
    </r>
    <r>
      <rPr>
        <b/>
        <u/>
        <vertAlign val="subscript"/>
        <sz val="11"/>
        <color theme="1"/>
        <rFont val="Calibri"/>
        <family val="2"/>
        <scheme val="minor"/>
      </rPr>
      <t xml:space="preserve">c </t>
    </r>
    <r>
      <rPr>
        <b/>
        <u/>
        <sz val="11"/>
        <color theme="1"/>
        <rFont val="Calibri"/>
        <family val="2"/>
        <scheme val="minor"/>
      </rPr>
      <t>component:</t>
    </r>
  </si>
  <si>
    <r>
      <t>2-Calculation the Height of center of gravity for impulsive h</t>
    </r>
    <r>
      <rPr>
        <b/>
        <u/>
        <vertAlign val="subscript"/>
        <sz val="11"/>
        <color theme="1"/>
        <rFont val="Calibri"/>
        <family val="2"/>
        <scheme val="minor"/>
      </rPr>
      <t>i</t>
    </r>
    <r>
      <rPr>
        <b/>
        <u/>
        <sz val="11"/>
        <color theme="1"/>
        <rFont val="Calibri"/>
        <family val="2"/>
        <scheme val="minor"/>
      </rPr>
      <t xml:space="preserve"> &amp; convective h</t>
    </r>
    <r>
      <rPr>
        <b/>
        <u/>
        <vertAlign val="subscript"/>
        <sz val="11"/>
        <color theme="1"/>
        <rFont val="Calibri"/>
        <family val="2"/>
        <scheme val="minor"/>
      </rPr>
      <t>c</t>
    </r>
    <r>
      <rPr>
        <b/>
        <u/>
        <sz val="11"/>
        <color theme="1"/>
        <rFont val="Calibri"/>
        <family val="2"/>
        <scheme val="minor"/>
      </rPr>
      <t xml:space="preserve"> components:</t>
    </r>
  </si>
  <si>
    <r>
      <t>3-Calculation the fundamental period of oscillation of the tank for impulsive T</t>
    </r>
    <r>
      <rPr>
        <b/>
        <u/>
        <vertAlign val="subscript"/>
        <sz val="11"/>
        <color theme="1"/>
        <rFont val="Calibri"/>
        <family val="2"/>
        <scheme val="minor"/>
      </rPr>
      <t>i</t>
    </r>
    <r>
      <rPr>
        <b/>
        <u/>
        <sz val="11"/>
        <color theme="1"/>
        <rFont val="Calibri"/>
        <family val="2"/>
        <scheme val="minor"/>
      </rPr>
      <t xml:space="preserve"> &amp; convective T</t>
    </r>
    <r>
      <rPr>
        <b/>
        <u/>
        <vertAlign val="subscript"/>
        <sz val="11"/>
        <color theme="1"/>
        <rFont val="Calibri"/>
        <family val="2"/>
        <scheme val="minor"/>
      </rPr>
      <t>c</t>
    </r>
    <r>
      <rPr>
        <b/>
        <u/>
        <sz val="11"/>
        <color theme="1"/>
        <rFont val="Calibri"/>
        <family val="2"/>
        <scheme val="minor"/>
      </rPr>
      <t xml:space="preserve"> components:</t>
    </r>
  </si>
  <si>
    <r>
      <t>4-Calculation the total lateral impulsive force P</t>
    </r>
    <r>
      <rPr>
        <b/>
        <u/>
        <vertAlign val="subscript"/>
        <sz val="11"/>
        <color theme="1"/>
        <rFont val="Calibri"/>
        <family val="2"/>
        <scheme val="minor"/>
      </rPr>
      <t>i</t>
    </r>
    <r>
      <rPr>
        <b/>
        <u/>
        <sz val="11"/>
        <color theme="1"/>
        <rFont val="Calibri"/>
        <family val="2"/>
        <scheme val="minor"/>
      </rPr>
      <t xml:space="preserve"> &amp; convective force P</t>
    </r>
    <r>
      <rPr>
        <b/>
        <u/>
        <vertAlign val="subscript"/>
        <sz val="11"/>
        <color theme="1"/>
        <rFont val="Calibri"/>
        <family val="2"/>
        <scheme val="minor"/>
      </rPr>
      <t xml:space="preserve">c </t>
    </r>
    <r>
      <rPr>
        <b/>
        <u/>
        <sz val="11"/>
        <color theme="1"/>
        <rFont val="Calibri"/>
        <family val="2"/>
        <scheme val="minor"/>
      </rPr>
      <t>:</t>
    </r>
  </si>
  <si>
    <t>5-Calculation the total Base Shaer V:</t>
  </si>
  <si>
    <t>Direction of
Seismic Force</t>
  </si>
  <si>
    <t xml:space="preserve">       ,</t>
  </si>
  <si>
    <r>
      <t xml:space="preserve">      for more information see </t>
    </r>
    <r>
      <rPr>
        <b/>
        <i/>
        <sz val="11"/>
        <color theme="1"/>
        <rFont val="Calibri"/>
        <family val="2"/>
        <scheme val="minor"/>
      </rPr>
      <t xml:space="preserve">Guidelines for Seismic Design of Liquid Storage Tanks, Example 1/Page 59 </t>
    </r>
    <r>
      <rPr>
        <i/>
        <sz val="11"/>
        <color theme="1"/>
        <rFont val="Calibri"/>
        <family val="2"/>
        <scheme val="minor"/>
      </rPr>
      <t xml:space="preserve">which you can download from </t>
    </r>
  </si>
  <si>
    <t xml:space="preserve">http://www.iitk.ac.in/nicee/IITK-GSDMA/EQ08.pdf </t>
  </si>
  <si>
    <r>
      <t xml:space="preserve">   b- using analysis model with assuming Lateral Force F= 10 KN (e.g) at C.G of tank to obtain a deflection </t>
    </r>
    <r>
      <rPr>
        <sz val="11"/>
        <color theme="1"/>
        <rFont val="Calibri"/>
        <family val="2"/>
      </rPr>
      <t>Δ</t>
    </r>
    <r>
      <rPr>
        <sz val="11"/>
        <color theme="1"/>
        <rFont val="Calibri"/>
        <family val="2"/>
        <charset val="178"/>
      </rPr>
      <t>, thus tank stiffness K = F/Δ</t>
    </r>
  </si>
  <si>
    <t>3- Tank Wall Stiffness Calculation K :</t>
  </si>
  <si>
    <t xml:space="preserve">   a- using ACI 350.3-06, R9.2.4 which developed For fixed-base, free-top cantilever walls, such as in open-top tanks</t>
  </si>
  <si>
    <r>
      <t xml:space="preserve">       </t>
    </r>
    <r>
      <rPr>
        <b/>
        <i/>
        <u/>
        <sz val="11"/>
        <color rgb="FFFF0000"/>
        <rFont val="Calibri"/>
        <family val="2"/>
        <scheme val="minor"/>
      </rPr>
      <t xml:space="preserve">- on my opinion- </t>
    </r>
    <r>
      <rPr>
        <b/>
        <i/>
        <sz val="11"/>
        <color theme="1"/>
        <rFont val="Calibri"/>
        <family val="2"/>
        <scheme val="minor"/>
      </rPr>
      <t>the same expression can be used for fixed wall in tank base and hinged at roof slab, as below picture</t>
    </r>
  </si>
  <si>
    <t xml:space="preserve">http://www.nicee.org/IITK-GSDMA_Codes.php </t>
  </si>
  <si>
    <t>for more useful pdf (IITK-GSDMA Project on Review of Seismic Codes, &amp; Preparation of Commentary and Handbooks)</t>
  </si>
  <si>
    <t>use ACI 350.3-06, R9.2.4 expression for K</t>
  </si>
  <si>
    <t>use External calculated for K</t>
  </si>
  <si>
    <t>K Calculaion option (Select option):</t>
  </si>
  <si>
    <r>
      <t>P</t>
    </r>
    <r>
      <rPr>
        <b/>
        <vertAlign val="subscript"/>
        <sz val="11"/>
        <color theme="1"/>
        <rFont val="Calibri"/>
        <family val="2"/>
        <scheme val="minor"/>
      </rPr>
      <t>i Top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</si>
  <si>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i Bottom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</si>
  <si>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c Top</t>
    </r>
  </si>
  <si>
    <r>
      <t>P</t>
    </r>
    <r>
      <rPr>
        <b/>
        <vertAlign val="subscript"/>
        <sz val="11"/>
        <color theme="1"/>
        <rFont val="Calibri"/>
        <family val="2"/>
        <scheme val="minor"/>
      </rPr>
      <t>c Bottom</t>
    </r>
  </si>
  <si>
    <r>
      <t>ConvectiveForce P</t>
    </r>
    <r>
      <rPr>
        <b/>
        <u/>
        <vertAlign val="subscript"/>
        <sz val="11"/>
        <color theme="1"/>
        <rFont val="Calibri"/>
        <family val="2"/>
        <scheme val="minor"/>
      </rPr>
      <t>c</t>
    </r>
  </si>
  <si>
    <r>
      <t>Wall Inertia Force P</t>
    </r>
    <r>
      <rPr>
        <b/>
        <u/>
        <vertAlign val="subscript"/>
        <sz val="11"/>
        <color theme="1"/>
        <rFont val="Calibri"/>
        <family val="2"/>
        <scheme val="minor"/>
      </rPr>
      <t>w</t>
    </r>
  </si>
  <si>
    <t>ACI 350.3-06, R5.3.1</t>
  </si>
  <si>
    <t>perpendicular to ground motion</t>
  </si>
  <si>
    <r>
      <t>Impulsive Force P</t>
    </r>
    <r>
      <rPr>
        <b/>
        <u/>
        <vertAlign val="subscript"/>
        <sz val="11"/>
        <color theme="1"/>
        <rFont val="Calibri"/>
        <family val="2"/>
        <scheme val="minor"/>
      </rPr>
      <t>i</t>
    </r>
    <r>
      <rPr>
        <b/>
        <vertAlign val="subscript"/>
        <sz val="11"/>
        <color theme="1"/>
        <rFont val="Calibri"/>
        <family val="2"/>
        <scheme val="minor"/>
      </rPr>
      <t xml:space="preserve"> </t>
    </r>
  </si>
  <si>
    <t>ACI 350.3-06, Appendix B, Clause B.5</t>
  </si>
  <si>
    <r>
      <rPr>
        <b/>
        <sz val="11"/>
        <color theme="1"/>
        <rFont val="Calibri"/>
        <family val="2"/>
        <scheme val="minor"/>
      </rPr>
      <t>For allowable stresses Design (ASD) Method (service loads)</t>
    </r>
    <r>
      <rPr>
        <sz val="11"/>
        <color theme="1"/>
        <rFont val="Calibri"/>
        <family val="2"/>
        <charset val="178"/>
        <scheme val="minor"/>
      </rPr>
      <t>, the design seismic forces shall be reduced by a factor of 1.4</t>
    </r>
  </si>
  <si>
    <r>
      <t xml:space="preserve">Total Seismic Force </t>
    </r>
    <r>
      <rPr>
        <b/>
        <u/>
        <sz val="11"/>
        <rFont val="David"/>
        <family val="2"/>
        <charset val="177"/>
      </rPr>
      <t>E</t>
    </r>
    <r>
      <rPr>
        <b/>
        <u/>
        <sz val="11"/>
        <rFont val="Calibri"/>
        <family val="2"/>
        <scheme val="minor"/>
      </rPr>
      <t xml:space="preserve"> per Wall</t>
    </r>
  </si>
  <si>
    <t>6-Dynamic force distribution above base per Wall perpendicular to ground motion:</t>
  </si>
  <si>
    <t>Dynamic force distribution above base per Wall perpendicular to ground motion</t>
  </si>
  <si>
    <r>
      <rPr>
        <b/>
        <sz val="11"/>
        <color theme="1"/>
        <rFont val="Calibri"/>
        <family val="2"/>
        <scheme val="minor"/>
      </rPr>
      <t>For Ultimate Strength Design method (factored loads)</t>
    </r>
    <r>
      <rPr>
        <sz val="11"/>
        <color theme="1"/>
        <rFont val="Calibri"/>
        <family val="2"/>
        <charset val="178"/>
        <scheme val="minor"/>
      </rPr>
      <t>, follow ACI 350-06, Clause 9.2.1 load combinations.</t>
    </r>
  </si>
  <si>
    <t>Note that, the Calculated Seismic Force E above is based on Strength-level Forces (ultimate loads).</t>
  </si>
  <si>
    <t>7- Load Cominations:</t>
  </si>
  <si>
    <t>Project</t>
  </si>
  <si>
    <t>Building</t>
  </si>
  <si>
    <t>Element</t>
  </si>
  <si>
    <t>Location</t>
  </si>
  <si>
    <t>Rev1.0</t>
  </si>
  <si>
    <t>1-</t>
  </si>
  <si>
    <t>2-</t>
  </si>
  <si>
    <r>
      <t xml:space="preserve">adding calculation for </t>
    </r>
    <r>
      <rPr>
        <b/>
        <sz val="11"/>
        <color rgb="FFFF0000"/>
        <rFont val="Calibri"/>
        <family val="2"/>
        <scheme val="minor"/>
      </rPr>
      <t>Kc</t>
    </r>
    <r>
      <rPr>
        <sz val="11"/>
        <color theme="1"/>
        <rFont val="Calibri"/>
        <family val="2"/>
        <charset val="178"/>
        <scheme val="minor"/>
      </rPr>
      <t xml:space="preserve">, which can be used for dynamic analysis in Cell </t>
    </r>
    <r>
      <rPr>
        <b/>
        <sz val="11"/>
        <color rgb="FFFF0000"/>
        <rFont val="Calibri"/>
        <family val="2"/>
        <scheme val="minor"/>
      </rPr>
      <t>H46</t>
    </r>
  </si>
  <si>
    <r>
      <t xml:space="preserve">Correction of </t>
    </r>
    <r>
      <rPr>
        <b/>
        <sz val="11"/>
        <color rgb="FFFF0000"/>
        <rFont val="Calibri"/>
        <family val="2"/>
        <scheme val="minor"/>
      </rPr>
      <t>W</t>
    </r>
    <r>
      <rPr>
        <b/>
        <vertAlign val="subscript"/>
        <sz val="11"/>
        <color rgb="FFFF0000"/>
        <rFont val="Calibri"/>
        <family val="2"/>
        <scheme val="minor"/>
      </rPr>
      <t>w</t>
    </r>
    <r>
      <rPr>
        <sz val="11"/>
        <color theme="1"/>
        <rFont val="Calibri"/>
        <family val="2"/>
        <charset val="178"/>
        <scheme val="minor"/>
      </rPr>
      <t xml:space="preserve">  Calculation in cell </t>
    </r>
    <r>
      <rPr>
        <b/>
        <sz val="11"/>
        <color rgb="FFFF0000"/>
        <rFont val="Calibri"/>
        <family val="2"/>
        <scheme val="minor"/>
      </rPr>
      <t>G35</t>
    </r>
    <r>
      <rPr>
        <sz val="11"/>
        <color theme="1"/>
        <rFont val="Calibri"/>
        <family val="2"/>
        <charset val="178"/>
        <scheme val="minor"/>
      </rPr>
      <t xml:space="preserve"> according "</t>
    </r>
    <r>
      <rPr>
        <b/>
        <sz val="11"/>
        <color rgb="FF0000FF"/>
        <rFont val="Calibri"/>
        <family val="2"/>
        <scheme val="minor"/>
      </rPr>
      <t>Mr. Siwalak Khamnurak</t>
    </r>
    <r>
      <rPr>
        <sz val="11"/>
        <color theme="1"/>
        <rFont val="Calibri"/>
        <family val="2"/>
        <charset val="178"/>
        <scheme val="minor"/>
      </rPr>
      <t xml:space="preserve">" Note, missing multiplying by the wall thk </t>
    </r>
    <r>
      <rPr>
        <b/>
        <sz val="11"/>
        <color rgb="FFFF0000"/>
        <rFont val="Calibri"/>
        <family val="2"/>
        <scheme val="minor"/>
      </rPr>
      <t>t</t>
    </r>
    <r>
      <rPr>
        <b/>
        <vertAlign val="subscript"/>
        <sz val="11"/>
        <color rgb="FFFF0000"/>
        <rFont val="Calibri"/>
        <family val="2"/>
        <scheme val="minor"/>
      </rPr>
      <t>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</si>
</sst>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[$-409]dd\-mmm\-yy;@"/>
    <numFmt numFmtId="165" formatCode="&quot;=&quot;\ 0.00"/>
    <numFmt numFmtId="166" formatCode="&quot;L=&quot;\ 0.00\ &quot;m&quot;"/>
    <numFmt numFmtId="167" formatCode="&quot;B=&quot;\ 0.00\ &quot;m&quot;"/>
    <numFmt numFmtId="168" formatCode="&quot;tw=&quot;\ 0.00\ &quot;m&quot;"/>
    <numFmt numFmtId="169" formatCode="&quot;HL=&quot;\ 0.00\ &quot;m&quot;"/>
    <numFmt numFmtId="170" formatCode="&quot;Hw=&quot;\ 0.00\ &quot;m&quot;"/>
    <numFmt numFmtId="171" formatCode="0.000"/>
    <numFmt numFmtId="172" formatCode="&quot;γL=&quot;\ 0.0\ &quot;KN/m3&quot;"/>
    <numFmt numFmtId="173" formatCode="&quot;=&quot;\ 0.0\ &quot;KN&quot;"/>
    <numFmt numFmtId="174" formatCode="&quot;=&quot;\ 0.00\ &quot;WL&quot;"/>
    <numFmt numFmtId="175" formatCode="&quot;γc=&quot;\ 0.0\ &quot;KN/m3&quot;"/>
    <numFmt numFmtId="176" formatCode="&quot;tr=&quot;\ 0.00\ &quot;m&quot;"/>
    <numFmt numFmtId="177" formatCode="&quot;=&quot;\ 0.00\ &quot;m&quot;"/>
    <numFmt numFmtId="178" formatCode="&quot;=&quot;\ 0.000\ &quot;m&quot;"/>
    <numFmt numFmtId="179" formatCode="&quot;g=&quot;\ 0.00\ &quot;m/sec2&quot;"/>
    <numFmt numFmtId="180" formatCode="&quot;Ec=&quot;\ 0.0\ &quot;N/mm2&quot;"/>
    <numFmt numFmtId="181" formatCode="&quot;fc=&quot;\ 0.0\ &quot;N/mm2&quot;"/>
    <numFmt numFmtId="182" formatCode="&quot;=&quot;\ 0.0\ &quot;KN/m&quot;"/>
    <numFmt numFmtId="183" formatCode="&quot;=&quot;\ 0.00\ &quot;sec&quot;"/>
    <numFmt numFmtId="184" formatCode="&quot;=&quot;\ 0.000"/>
    <numFmt numFmtId="185" formatCode="&quot;=&quot;\ 0.00\ &quot;KN/m2&quot;"/>
    <numFmt numFmtId="186" formatCode="&quot;=&quot;\ 0.0\ &quot;KN/m2&quot;"/>
  </numFmts>
  <fonts count="3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0000FF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78"/>
    </font>
    <font>
      <sz val="11"/>
      <color rgb="FF000000"/>
      <name val="Tahoma"/>
      <family val="2"/>
    </font>
    <font>
      <b/>
      <vertAlign val="subscript"/>
      <sz val="11"/>
      <color indexed="8"/>
      <name val="Arial"/>
      <family val="2"/>
    </font>
    <font>
      <b/>
      <u/>
      <vertAlign val="subscript"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78"/>
      <scheme val="minor"/>
    </font>
    <font>
      <b/>
      <sz val="11"/>
      <color indexed="8"/>
      <name val="Arial"/>
      <family val="2"/>
    </font>
    <font>
      <b/>
      <vertAlign val="subscript"/>
      <sz val="9"/>
      <color indexed="81"/>
      <name val="Tahoma"/>
      <family val="2"/>
    </font>
    <font>
      <sz val="11"/>
      <color theme="1"/>
      <name val="Calibri"/>
      <family val="2"/>
      <charset val="178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name val="David"/>
      <family val="2"/>
      <charset val="177"/>
    </font>
    <font>
      <b/>
      <vertAlign val="subscript"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62">
    <xf numFmtId="0" fontId="0" fillId="0" borderId="0" xfId="0"/>
    <xf numFmtId="0" fontId="0" fillId="0" borderId="0" xfId="0" applyBorder="1" applyProtection="1">
      <protection locked="0"/>
    </xf>
    <xf numFmtId="0" fontId="13" fillId="0" borderId="0" xfId="0" applyFont="1" applyBorder="1" applyAlignment="1" applyProtection="1">
      <alignment vertical="top"/>
      <protection locked="0"/>
    </xf>
    <xf numFmtId="0" fontId="13" fillId="0" borderId="0" xfId="0" applyFont="1" applyBorder="1" applyAlignment="1" applyProtection="1">
      <alignment horizontal="left" vertical="top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Protection="1">
      <protection locked="0"/>
    </xf>
    <xf numFmtId="0" fontId="0" fillId="0" borderId="0" xfId="0" applyProtection="1"/>
    <xf numFmtId="0" fontId="0" fillId="0" borderId="16" xfId="0" applyBorder="1" applyProtection="1"/>
    <xf numFmtId="0" fontId="0" fillId="0" borderId="0" xfId="0" applyBorder="1" applyProtection="1"/>
    <xf numFmtId="0" fontId="15" fillId="0" borderId="0" xfId="0" applyFont="1" applyProtection="1"/>
    <xf numFmtId="0" fontId="0" fillId="0" borderId="15" xfId="0" applyBorder="1" applyProtection="1"/>
    <xf numFmtId="0" fontId="11" fillId="0" borderId="16" xfId="0" applyFon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3" xfId="0" applyFill="1" applyBorder="1" applyProtection="1"/>
    <xf numFmtId="0" fontId="13" fillId="0" borderId="13" xfId="0" applyFont="1" applyBorder="1" applyAlignment="1" applyProtection="1">
      <alignment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5" fillId="0" borderId="0" xfId="0" applyFont="1" applyBorder="1" applyAlignment="1" applyProtection="1">
      <alignment horizontal="right"/>
    </xf>
    <xf numFmtId="164" fontId="14" fillId="0" borderId="15" xfId="0" applyNumberFormat="1" applyFont="1" applyBorder="1" applyAlignment="1" applyProtection="1">
      <alignment horizontal="left" vertical="top"/>
      <protection locked="0"/>
    </xf>
    <xf numFmtId="165" fontId="7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13" xfId="0" applyFont="1" applyBorder="1" applyAlignment="1" applyProtection="1">
      <alignment horizontal="right" vertical="center"/>
    </xf>
    <xf numFmtId="0" fontId="4" fillId="0" borderId="0" xfId="2"/>
    <xf numFmtId="0" fontId="21" fillId="0" borderId="7" xfId="2" applyFont="1" applyBorder="1" applyAlignment="1">
      <alignment horizontal="center" vertical="center" wrapText="1"/>
    </xf>
    <xf numFmtId="0" fontId="4" fillId="0" borderId="8" xfId="2" applyBorder="1" applyAlignment="1">
      <alignment horizontal="center" wrapText="1"/>
    </xf>
    <xf numFmtId="0" fontId="4" fillId="0" borderId="17" xfId="2" applyBorder="1"/>
    <xf numFmtId="0" fontId="21" fillId="0" borderId="1" xfId="2" applyFont="1" applyBorder="1" applyAlignment="1">
      <alignment horizontal="center" vertical="center" wrapText="1"/>
    </xf>
    <xf numFmtId="0" fontId="4" fillId="0" borderId="2" xfId="2" applyBorder="1" applyAlignment="1">
      <alignment horizontal="center"/>
    </xf>
    <xf numFmtId="0" fontId="21" fillId="0" borderId="3" xfId="2" applyFont="1" applyBorder="1" applyAlignment="1">
      <alignment horizontal="center" vertical="center" wrapText="1"/>
    </xf>
    <xf numFmtId="0" fontId="4" fillId="0" borderId="4" xfId="2" applyBorder="1" applyAlignment="1">
      <alignment horizontal="center"/>
    </xf>
    <xf numFmtId="0" fontId="21" fillId="0" borderId="5" xfId="2" applyFont="1" applyBorder="1" applyAlignment="1">
      <alignment horizontal="center" vertical="center" wrapText="1"/>
    </xf>
    <xf numFmtId="0" fontId="4" fillId="0" borderId="6" xfId="2" applyBorder="1" applyAlignment="1">
      <alignment horizontal="center"/>
    </xf>
    <xf numFmtId="0" fontId="4" fillId="0" borderId="2" xfId="2" applyBorder="1" applyAlignment="1">
      <alignment horizontal="center" wrapText="1"/>
    </xf>
    <xf numFmtId="0" fontId="4" fillId="0" borderId="19" xfId="2" applyBorder="1" applyAlignment="1">
      <alignment horizontal="center" vertical="center"/>
    </xf>
    <xf numFmtId="0" fontId="4" fillId="0" borderId="6" xfId="2" applyBorder="1" applyAlignment="1">
      <alignment horizontal="center" vertical="center"/>
    </xf>
    <xf numFmtId="0" fontId="4" fillId="0" borderId="18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17" xfId="2" applyBorder="1" applyAlignment="1">
      <alignment horizontal="center" vertical="center"/>
    </xf>
    <xf numFmtId="0" fontId="4" fillId="0" borderId="4" xfId="2" applyBorder="1" applyAlignment="1">
      <alignment horizontal="center" vertical="center"/>
    </xf>
    <xf numFmtId="0" fontId="4" fillId="0" borderId="0" xfId="2" applyProtection="1"/>
    <xf numFmtId="0" fontId="4" fillId="0" borderId="0" xfId="2" applyBorder="1" applyProtection="1"/>
    <xf numFmtId="0" fontId="4" fillId="0" borderId="15" xfId="2" applyBorder="1" applyProtection="1"/>
    <xf numFmtId="0" fontId="4" fillId="0" borderId="16" xfId="2" applyBorder="1" applyProtection="1"/>
    <xf numFmtId="0" fontId="6" fillId="0" borderId="0" xfId="2" applyFont="1" applyBorder="1" applyAlignment="1" applyProtection="1">
      <alignment horizontal="center" vertical="center"/>
      <protection locked="0"/>
    </xf>
    <xf numFmtId="0" fontId="7" fillId="0" borderId="0" xfId="2" applyFont="1" applyBorder="1" applyAlignment="1" applyProtection="1">
      <alignment horizontal="center" vertical="center"/>
    </xf>
    <xf numFmtId="0" fontId="5" fillId="0" borderId="0" xfId="2" applyFont="1" applyBorder="1" applyProtection="1"/>
    <xf numFmtId="170" fontId="6" fillId="0" borderId="0" xfId="0" applyNumberFormat="1" applyFont="1" applyAlignment="1" applyProtection="1">
      <alignment horizontal="left"/>
    </xf>
    <xf numFmtId="0" fontId="0" fillId="0" borderId="14" xfId="0" applyBorder="1" applyProtection="1"/>
    <xf numFmtId="0" fontId="11" fillId="0" borderId="9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10" xfId="0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8" fillId="0" borderId="13" xfId="0" applyFont="1" applyBorder="1" applyAlignment="1" applyProtection="1">
      <alignment horizontal="left" vertical="center"/>
    </xf>
    <xf numFmtId="0" fontId="18" fillId="0" borderId="13" xfId="0" applyFont="1" applyBorder="1" applyAlignment="1" applyProtection="1">
      <alignment horizontal="right" vertical="center"/>
    </xf>
    <xf numFmtId="0" fontId="18" fillId="0" borderId="12" xfId="0" applyFont="1" applyBorder="1" applyAlignment="1" applyProtection="1">
      <alignment horizontal="right" vertical="center"/>
    </xf>
    <xf numFmtId="170" fontId="6" fillId="0" borderId="15" xfId="0" applyNumberFormat="1" applyFont="1" applyBorder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172" fontId="6" fillId="0" borderId="0" xfId="0" applyNumberFormat="1" applyFont="1" applyBorder="1" applyAlignment="1" applyProtection="1"/>
    <xf numFmtId="0" fontId="24" fillId="0" borderId="0" xfId="0" applyFont="1" applyBorder="1" applyProtection="1"/>
    <xf numFmtId="165" fontId="6" fillId="0" borderId="0" xfId="0" applyNumberFormat="1" applyFont="1" applyBorder="1" applyAlignment="1" applyProtection="1">
      <alignment horizontal="left"/>
    </xf>
    <xf numFmtId="173" fontId="7" fillId="0" borderId="0" xfId="0" applyNumberFormat="1" applyFont="1" applyBorder="1" applyAlignment="1" applyProtection="1">
      <alignment horizontal="left"/>
    </xf>
    <xf numFmtId="165" fontId="7" fillId="0" borderId="0" xfId="0" applyNumberFormat="1" applyFont="1" applyBorder="1" applyAlignment="1" applyProtection="1">
      <alignment horizontal="left"/>
    </xf>
    <xf numFmtId="174" fontId="7" fillId="0" borderId="0" xfId="0" applyNumberFormat="1" applyFont="1" applyBorder="1" applyAlignment="1" applyProtection="1">
      <alignment horizontal="center" vertical="center"/>
    </xf>
    <xf numFmtId="173" fontId="7" fillId="0" borderId="0" xfId="0" applyNumberFormat="1" applyFont="1" applyBorder="1" applyAlignment="1" applyProtection="1">
      <alignment horizontal="center" vertical="center"/>
    </xf>
    <xf numFmtId="178" fontId="7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horizontal="center" vertical="center"/>
    </xf>
    <xf numFmtId="183" fontId="7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Protection="1"/>
    <xf numFmtId="184" fontId="7" fillId="0" borderId="0" xfId="0" applyNumberFormat="1" applyFont="1" applyBorder="1" applyAlignment="1" applyProtection="1">
      <alignment horizontal="center" vertical="center"/>
    </xf>
    <xf numFmtId="0" fontId="4" fillId="0" borderId="0" xfId="2" applyBorder="1" applyAlignment="1" applyProtection="1">
      <alignment horizontal="center" wrapText="1"/>
    </xf>
    <xf numFmtId="0" fontId="3" fillId="0" borderId="0" xfId="2" applyFont="1" applyProtection="1"/>
    <xf numFmtId="0" fontId="2" fillId="0" borderId="0" xfId="2" applyFont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3" xfId="0" applyBorder="1" applyProtection="1"/>
    <xf numFmtId="0" fontId="0" fillId="0" borderId="12" xfId="0" applyBorder="1" applyProtection="1"/>
    <xf numFmtId="169" fontId="6" fillId="0" borderId="0" xfId="0" applyNumberFormat="1" applyFont="1" applyBorder="1" applyAlignment="1" applyProtection="1">
      <alignment horizontal="right"/>
    </xf>
    <xf numFmtId="0" fontId="4" fillId="0" borderId="1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177" fontId="7" fillId="0" borderId="0" xfId="0" applyNumberFormat="1" applyFont="1" applyBorder="1" applyAlignment="1" applyProtection="1">
      <alignment horizontal="right" vertical="center"/>
    </xf>
    <xf numFmtId="0" fontId="10" fillId="0" borderId="0" xfId="0" applyFont="1" applyProtection="1"/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Protection="1"/>
    <xf numFmtId="0" fontId="10" fillId="0" borderId="0" xfId="0" applyFont="1" applyBorder="1" applyAlignment="1" applyProtection="1">
      <alignment horizontal="right"/>
    </xf>
    <xf numFmtId="185" fontId="7" fillId="0" borderId="0" xfId="0" applyNumberFormat="1" applyFont="1" applyBorder="1" applyAlignment="1" applyProtection="1">
      <alignment vertical="center"/>
    </xf>
    <xf numFmtId="186" fontId="7" fillId="0" borderId="0" xfId="0" applyNumberFormat="1" applyFont="1" applyBorder="1" applyAlignment="1" applyProtection="1">
      <alignment horizontal="center" vertical="center"/>
    </xf>
    <xf numFmtId="186" fontId="7" fillId="0" borderId="0" xfId="0" applyNumberFormat="1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/>
    </xf>
    <xf numFmtId="165" fontId="7" fillId="0" borderId="13" xfId="0" applyNumberFormat="1" applyFont="1" applyBorder="1" applyAlignment="1" applyProtection="1">
      <alignment horizontal="center" vertical="center"/>
    </xf>
    <xf numFmtId="183" fontId="7" fillId="0" borderId="13" xfId="0" applyNumberFormat="1" applyFont="1" applyBorder="1" applyAlignment="1" applyProtection="1">
      <alignment horizontal="center" vertical="center"/>
    </xf>
    <xf numFmtId="0" fontId="0" fillId="0" borderId="13" xfId="0" applyBorder="1" applyAlignment="1" applyProtection="1">
      <alignment wrapText="1"/>
    </xf>
    <xf numFmtId="0" fontId="0" fillId="0" borderId="0" xfId="0" applyBorder="1" applyAlignment="1" applyProtection="1">
      <alignment horizontal="left"/>
    </xf>
    <xf numFmtId="0" fontId="10" fillId="0" borderId="16" xfId="0" applyFont="1" applyBorder="1" applyProtection="1"/>
    <xf numFmtId="0" fontId="32" fillId="0" borderId="0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/>
    </xf>
    <xf numFmtId="186" fontId="7" fillId="0" borderId="0" xfId="0" applyNumberFormat="1" applyFont="1" applyBorder="1" applyAlignment="1" applyProtection="1">
      <alignment vertical="center" textRotation="90"/>
    </xf>
    <xf numFmtId="0" fontId="12" fillId="0" borderId="9" xfId="0" applyFont="1" applyBorder="1" applyProtection="1"/>
    <xf numFmtId="0" fontId="13" fillId="0" borderId="14" xfId="0" applyFont="1" applyBorder="1" applyAlignment="1" applyProtection="1">
      <alignment horizontal="center" vertical="center"/>
    </xf>
    <xf numFmtId="171" fontId="7" fillId="0" borderId="0" xfId="2" applyNumberFormat="1" applyFont="1" applyBorder="1" applyAlignment="1" applyProtection="1">
      <alignment horizontal="center" vertical="center"/>
    </xf>
    <xf numFmtId="0" fontId="10" fillId="0" borderId="16" xfId="2" applyFont="1" applyFill="1" applyBorder="1" applyProtection="1"/>
    <xf numFmtId="0" fontId="5" fillId="0" borderId="12" xfId="0" applyFont="1" applyBorder="1" applyAlignment="1" applyProtection="1">
      <alignment horizontal="right" vertical="center"/>
      <protection locked="0"/>
    </xf>
    <xf numFmtId="166" fontId="6" fillId="0" borderId="0" xfId="0" applyNumberFormat="1" applyFont="1" applyBorder="1" applyAlignment="1" applyProtection="1">
      <alignment horizontal="left"/>
      <protection locked="0"/>
    </xf>
    <xf numFmtId="167" fontId="6" fillId="0" borderId="0" xfId="0" applyNumberFormat="1" applyFont="1" applyBorder="1" applyProtection="1">
      <protection locked="0"/>
    </xf>
    <xf numFmtId="170" fontId="6" fillId="0" borderId="0" xfId="0" applyNumberFormat="1" applyFont="1" applyBorder="1" applyAlignment="1" applyProtection="1">
      <alignment horizontal="left"/>
      <protection locked="0"/>
    </xf>
    <xf numFmtId="175" fontId="9" fillId="0" borderId="0" xfId="0" applyNumberFormat="1" applyFont="1" applyBorder="1" applyAlignment="1" applyProtection="1">
      <protection locked="0"/>
    </xf>
    <xf numFmtId="181" fontId="9" fillId="0" borderId="0" xfId="0" applyNumberFormat="1" applyFont="1" applyBorder="1" applyAlignment="1" applyProtection="1">
      <protection locked="0"/>
    </xf>
    <xf numFmtId="179" fontId="9" fillId="0" borderId="0" xfId="0" applyNumberFormat="1" applyFont="1" applyBorder="1" applyAlignment="1" applyProtection="1">
      <alignment vertical="top"/>
      <protection locked="0"/>
    </xf>
    <xf numFmtId="165" fontId="6" fillId="0" borderId="0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28" fillId="0" borderId="0" xfId="0" applyFont="1" applyAlignment="1" applyProtection="1">
      <alignment wrapText="1"/>
      <protection locked="0"/>
    </xf>
    <xf numFmtId="0" fontId="20" fillId="0" borderId="0" xfId="1" applyAlignment="1" applyProtection="1">
      <protection locked="0"/>
    </xf>
    <xf numFmtId="0" fontId="20" fillId="0" borderId="0" xfId="1" applyAlignment="1" applyProtection="1">
      <alignment horizontal="left" vertical="top" wrapText="1"/>
      <protection locked="0"/>
    </xf>
    <xf numFmtId="0" fontId="31" fillId="0" borderId="0" xfId="0" applyFont="1"/>
    <xf numFmtId="15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10" fillId="0" borderId="16" xfId="0" applyFont="1" applyBorder="1" applyAlignment="1" applyProtection="1">
      <alignment horizontal="center" vertical="top"/>
    </xf>
    <xf numFmtId="0" fontId="10" fillId="0" borderId="0" xfId="0" applyFont="1" applyBorder="1" applyAlignment="1" applyProtection="1">
      <alignment horizontal="center" vertical="top"/>
    </xf>
    <xf numFmtId="0" fontId="10" fillId="0" borderId="15" xfId="0" applyFont="1" applyBorder="1" applyAlignment="1" applyProtection="1">
      <alignment horizontal="center" vertical="top"/>
    </xf>
    <xf numFmtId="0" fontId="0" fillId="0" borderId="0" xfId="0" applyBorder="1" applyAlignment="1" applyProtection="1">
      <alignment horizontal="right" vertical="center"/>
    </xf>
    <xf numFmtId="49" fontId="10" fillId="0" borderId="0" xfId="0" applyNumberFormat="1" applyFont="1" applyBorder="1" applyAlignment="1" applyProtection="1">
      <alignment horizontal="center" vertical="top"/>
    </xf>
    <xf numFmtId="49" fontId="10" fillId="0" borderId="15" xfId="0" applyNumberFormat="1" applyFont="1" applyBorder="1" applyAlignment="1" applyProtection="1">
      <alignment horizontal="center" vertical="top"/>
    </xf>
    <xf numFmtId="186" fontId="33" fillId="0" borderId="0" xfId="0" applyNumberFormat="1" applyFont="1" applyBorder="1" applyAlignment="1" applyProtection="1">
      <alignment horizontal="center" vertical="center"/>
    </xf>
    <xf numFmtId="186" fontId="33" fillId="0" borderId="15" xfId="0" applyNumberFormat="1" applyFont="1" applyBorder="1" applyAlignment="1" applyProtection="1">
      <alignment horizontal="center" vertical="center"/>
    </xf>
    <xf numFmtId="186" fontId="7" fillId="0" borderId="0" xfId="0" applyNumberFormat="1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/>
    </xf>
    <xf numFmtId="173" fontId="7" fillId="0" borderId="0" xfId="0" applyNumberFormat="1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right" vertical="center" textRotation="90" wrapText="1"/>
    </xf>
    <xf numFmtId="0" fontId="0" fillId="0" borderId="0" xfId="0" applyFont="1" applyBorder="1" applyAlignment="1" applyProtection="1">
      <alignment horizontal="right" vertical="center" textRotation="90"/>
    </xf>
    <xf numFmtId="180" fontId="7" fillId="0" borderId="0" xfId="0" applyNumberFormat="1" applyFont="1" applyBorder="1" applyAlignment="1" applyProtection="1">
      <alignment horizontal="left"/>
    </xf>
    <xf numFmtId="169" fontId="6" fillId="0" borderId="0" xfId="0" applyNumberFormat="1" applyFont="1" applyBorder="1" applyAlignment="1" applyProtection="1">
      <alignment horizontal="right"/>
      <protection locked="0"/>
    </xf>
    <xf numFmtId="172" fontId="6" fillId="0" borderId="0" xfId="0" applyNumberFormat="1" applyFont="1" applyBorder="1" applyAlignment="1" applyProtection="1">
      <alignment horizontal="right"/>
      <protection locked="0"/>
    </xf>
    <xf numFmtId="168" fontId="6" fillId="0" borderId="0" xfId="0" applyNumberFormat="1" applyFont="1" applyBorder="1" applyAlignment="1" applyProtection="1">
      <alignment horizontal="right"/>
      <protection locked="0"/>
    </xf>
    <xf numFmtId="0" fontId="4" fillId="0" borderId="0" xfId="2" applyBorder="1" applyAlignment="1" applyProtection="1">
      <alignment horizontal="center" vertical="center" wrapText="1"/>
    </xf>
    <xf numFmtId="177" fontId="7" fillId="0" borderId="0" xfId="0" applyNumberFormat="1" applyFont="1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top" wrapText="1"/>
    </xf>
    <xf numFmtId="0" fontId="0" fillId="0" borderId="1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15" xfId="0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164" fontId="14" fillId="0" borderId="0" xfId="0" applyNumberFormat="1" applyFont="1" applyBorder="1" applyAlignment="1" applyProtection="1">
      <alignment horizontal="left" vertical="top"/>
      <protection locked="0"/>
    </xf>
    <xf numFmtId="176" fontId="6" fillId="0" borderId="0" xfId="0" applyNumberFormat="1" applyFont="1" applyBorder="1" applyAlignment="1" applyProtection="1">
      <alignment horizontal="center"/>
      <protection locked="0"/>
    </xf>
    <xf numFmtId="182" fontId="6" fillId="0" borderId="23" xfId="0" applyNumberFormat="1" applyFont="1" applyBorder="1" applyAlignment="1" applyProtection="1">
      <alignment horizontal="center" vertical="center"/>
      <protection locked="0"/>
    </xf>
    <xf numFmtId="182" fontId="6" fillId="0" borderId="24" xfId="0" applyNumberFormat="1" applyFont="1" applyBorder="1" applyAlignment="1" applyProtection="1">
      <alignment horizontal="center" vertical="center"/>
      <protection locked="0"/>
    </xf>
    <xf numFmtId="0" fontId="31" fillId="0" borderId="16" xfId="0" applyFont="1" applyBorder="1" applyAlignment="1" applyProtection="1">
      <alignment horizontal="left"/>
      <protection locked="0"/>
    </xf>
    <xf numFmtId="0" fontId="31" fillId="0" borderId="0" xfId="0" applyFont="1" applyBorder="1" applyAlignment="1" applyProtection="1">
      <alignment horizontal="left"/>
      <protection locked="0"/>
    </xf>
    <xf numFmtId="182" fontId="7" fillId="0" borderId="0" xfId="0" applyNumberFormat="1" applyFont="1" applyBorder="1" applyAlignment="1" applyProtection="1">
      <alignment horizontal="left" vertical="center"/>
    </xf>
    <xf numFmtId="182" fontId="7" fillId="0" borderId="13" xfId="0" applyNumberFormat="1" applyFont="1" applyBorder="1" applyAlignment="1" applyProtection="1">
      <alignment horizontal="left" vertical="center"/>
    </xf>
    <xf numFmtId="0" fontId="4" fillId="0" borderId="1" xfId="2" applyBorder="1" applyAlignment="1">
      <alignment horizontal="center" vertical="center"/>
    </xf>
    <xf numFmtId="0" fontId="4" fillId="0" borderId="5" xfId="2" applyBorder="1" applyAlignment="1">
      <alignment horizontal="center" vertical="center"/>
    </xf>
    <xf numFmtId="0" fontId="4" fillId="0" borderId="20" xfId="2" applyBorder="1" applyAlignment="1">
      <alignment horizontal="center"/>
    </xf>
    <xf numFmtId="0" fontId="4" fillId="0" borderId="21" xfId="2" applyBorder="1" applyAlignment="1">
      <alignment horizontal="center"/>
    </xf>
    <xf numFmtId="0" fontId="4" fillId="0" borderId="22" xfId="2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rgb="FFFF0000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00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3.png"/><Relationship Id="rId2" Type="http://schemas.openxmlformats.org/officeDocument/2006/relationships/image" Target="../media/image42.png"/><Relationship Id="rId1" Type="http://schemas.openxmlformats.org/officeDocument/2006/relationships/image" Target="../media/image41.png"/><Relationship Id="rId6" Type="http://schemas.openxmlformats.org/officeDocument/2006/relationships/image" Target="../media/image46.png"/><Relationship Id="rId5" Type="http://schemas.openxmlformats.org/officeDocument/2006/relationships/image" Target="../media/image45.png"/><Relationship Id="rId4" Type="http://schemas.openxmlformats.org/officeDocument/2006/relationships/image" Target="../media/image4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61</xdr:row>
      <xdr:rowOff>9525</xdr:rowOff>
    </xdr:from>
    <xdr:to>
      <xdr:col>8</xdr:col>
      <xdr:colOff>342900</xdr:colOff>
      <xdr:row>68</xdr:row>
      <xdr:rowOff>9525</xdr:rowOff>
    </xdr:to>
    <xdr:sp macro="" textlink="">
      <xdr:nvSpPr>
        <xdr:cNvPr id="111" name="Rectangle 110"/>
        <xdr:cNvSpPr/>
      </xdr:nvSpPr>
      <xdr:spPr>
        <a:xfrm>
          <a:off x="6067425" y="18364200"/>
          <a:ext cx="390525" cy="13335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361950</xdr:colOff>
      <xdr:row>63</xdr:row>
      <xdr:rowOff>142876</xdr:rowOff>
    </xdr:from>
    <xdr:to>
      <xdr:col>2</xdr:col>
      <xdr:colOff>867276</xdr:colOff>
      <xdr:row>65</xdr:row>
      <xdr:rowOff>28576</xdr:rowOff>
    </xdr:to>
    <xdr:pic>
      <xdr:nvPicPr>
        <xdr:cNvPr id="1171" name="Picture 14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8325" y="18878551"/>
          <a:ext cx="505326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762000</xdr:colOff>
      <xdr:row>61</xdr:row>
      <xdr:rowOff>0</xdr:rowOff>
    </xdr:from>
    <xdr:to>
      <xdr:col>2</xdr:col>
      <xdr:colOff>762000</xdr:colOff>
      <xdr:row>68</xdr:row>
      <xdr:rowOff>9525</xdr:rowOff>
    </xdr:to>
    <xdr:cxnSp macro="">
      <xdr:nvCxnSpPr>
        <xdr:cNvPr id="97" name="Straight Arrow Connector 96"/>
        <xdr:cNvCxnSpPr/>
      </xdr:nvCxnSpPr>
      <xdr:spPr>
        <a:xfrm>
          <a:off x="2238375" y="18354675"/>
          <a:ext cx="0" cy="134302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65</xdr:row>
      <xdr:rowOff>76200</xdr:rowOff>
    </xdr:from>
    <xdr:to>
      <xdr:col>2</xdr:col>
      <xdr:colOff>581025</xdr:colOff>
      <xdr:row>67</xdr:row>
      <xdr:rowOff>180975</xdr:rowOff>
    </xdr:to>
    <xdr:cxnSp macro="">
      <xdr:nvCxnSpPr>
        <xdr:cNvPr id="82" name="Straight Arrow Connector 81"/>
        <xdr:cNvCxnSpPr/>
      </xdr:nvCxnSpPr>
      <xdr:spPr>
        <a:xfrm>
          <a:off x="2057400" y="19192875"/>
          <a:ext cx="0" cy="48577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781050</xdr:colOff>
      <xdr:row>60</xdr:row>
      <xdr:rowOff>19050</xdr:rowOff>
    </xdr:from>
    <xdr:to>
      <xdr:col>1</xdr:col>
      <xdr:colOff>781050</xdr:colOff>
      <xdr:row>68</xdr:row>
      <xdr:rowOff>0</xdr:rowOff>
    </xdr:to>
    <xdr:cxnSp macro="">
      <xdr:nvCxnSpPr>
        <xdr:cNvPr id="62" name="Straight Arrow Connector 61"/>
        <xdr:cNvCxnSpPr/>
      </xdr:nvCxnSpPr>
      <xdr:spPr>
        <a:xfrm>
          <a:off x="971550" y="17611725"/>
          <a:ext cx="0" cy="154305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60</xdr:row>
      <xdr:rowOff>180975</xdr:rowOff>
    </xdr:from>
    <xdr:to>
      <xdr:col>5</xdr:col>
      <xdr:colOff>85725</xdr:colOff>
      <xdr:row>67</xdr:row>
      <xdr:rowOff>180975</xdr:rowOff>
    </xdr:to>
    <xdr:cxnSp macro="">
      <xdr:nvCxnSpPr>
        <xdr:cNvPr id="68" name="Straight Arrow Connector 67"/>
        <xdr:cNvCxnSpPr/>
      </xdr:nvCxnSpPr>
      <xdr:spPr>
        <a:xfrm>
          <a:off x="4029075" y="18345150"/>
          <a:ext cx="0" cy="133350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876300</xdr:colOff>
      <xdr:row>62</xdr:row>
      <xdr:rowOff>114300</xdr:rowOff>
    </xdr:from>
    <xdr:to>
      <xdr:col>4</xdr:col>
      <xdr:colOff>876300</xdr:colOff>
      <xdr:row>68</xdr:row>
      <xdr:rowOff>28575</xdr:rowOff>
    </xdr:to>
    <xdr:cxnSp macro="">
      <xdr:nvCxnSpPr>
        <xdr:cNvPr id="87" name="Straight Arrow Connector 86"/>
        <xdr:cNvCxnSpPr/>
      </xdr:nvCxnSpPr>
      <xdr:spPr>
        <a:xfrm>
          <a:off x="3838575" y="18659475"/>
          <a:ext cx="0" cy="105727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628650</xdr:colOff>
      <xdr:row>64</xdr:row>
      <xdr:rowOff>19050</xdr:rowOff>
    </xdr:from>
    <xdr:to>
      <xdr:col>1</xdr:col>
      <xdr:colOff>628650</xdr:colOff>
      <xdr:row>67</xdr:row>
      <xdr:rowOff>152400</xdr:rowOff>
    </xdr:to>
    <xdr:cxnSp macro="">
      <xdr:nvCxnSpPr>
        <xdr:cNvPr id="71" name="Straight Arrow Connector 70"/>
        <xdr:cNvCxnSpPr/>
      </xdr:nvCxnSpPr>
      <xdr:spPr>
        <a:xfrm>
          <a:off x="819150" y="18983325"/>
          <a:ext cx="0" cy="704850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676275</xdr:colOff>
      <xdr:row>8</xdr:row>
      <xdr:rowOff>9525</xdr:rowOff>
    </xdr:from>
    <xdr:to>
      <xdr:col>4</xdr:col>
      <xdr:colOff>238125</xdr:colOff>
      <xdr:row>15</xdr:row>
      <xdr:rowOff>0</xdr:rowOff>
    </xdr:to>
    <xdr:sp macro="" textlink="">
      <xdr:nvSpPr>
        <xdr:cNvPr id="42" name="Frame 41"/>
        <xdr:cNvSpPr/>
      </xdr:nvSpPr>
      <xdr:spPr>
        <a:xfrm>
          <a:off x="866775" y="1447800"/>
          <a:ext cx="2162175" cy="1323975"/>
        </a:xfrm>
        <a:prstGeom prst="frame">
          <a:avLst/>
        </a:prstGeom>
        <a:solidFill>
          <a:srgbClr val="DDDDDD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476250</xdr:colOff>
      <xdr:row>8</xdr:row>
      <xdr:rowOff>161925</xdr:rowOff>
    </xdr:from>
    <xdr:to>
      <xdr:col>1</xdr:col>
      <xdr:colOff>476250</xdr:colOff>
      <xdr:row>10</xdr:row>
      <xdr:rowOff>142877</xdr:rowOff>
    </xdr:to>
    <xdr:cxnSp macro="">
      <xdr:nvCxnSpPr>
        <xdr:cNvPr id="54" name="Straight Arrow Connector 53"/>
        <xdr:cNvCxnSpPr/>
      </xdr:nvCxnSpPr>
      <xdr:spPr>
        <a:xfrm flipV="1">
          <a:off x="666750" y="1600200"/>
          <a:ext cx="0" cy="361952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12</xdr:row>
      <xdr:rowOff>38100</xdr:rowOff>
    </xdr:from>
    <xdr:to>
      <xdr:col>1</xdr:col>
      <xdr:colOff>476250</xdr:colOff>
      <xdr:row>14</xdr:row>
      <xdr:rowOff>19050</xdr:rowOff>
    </xdr:to>
    <xdr:cxnSp macro="">
      <xdr:nvCxnSpPr>
        <xdr:cNvPr id="56" name="Straight Arrow Connector 55"/>
        <xdr:cNvCxnSpPr/>
      </xdr:nvCxnSpPr>
      <xdr:spPr>
        <a:xfrm>
          <a:off x="666750" y="2238375"/>
          <a:ext cx="0" cy="3619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842962</xdr:colOff>
      <xdr:row>15</xdr:row>
      <xdr:rowOff>123825</xdr:rowOff>
    </xdr:from>
    <xdr:to>
      <xdr:col>2</xdr:col>
      <xdr:colOff>57151</xdr:colOff>
      <xdr:row>15</xdr:row>
      <xdr:rowOff>123825</xdr:rowOff>
    </xdr:to>
    <xdr:cxnSp macro="">
      <xdr:nvCxnSpPr>
        <xdr:cNvPr id="61" name="Straight Arrow Connector 60"/>
        <xdr:cNvCxnSpPr/>
      </xdr:nvCxnSpPr>
      <xdr:spPr>
        <a:xfrm flipH="1">
          <a:off x="1033462" y="3105150"/>
          <a:ext cx="385764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200025</xdr:colOff>
      <xdr:row>15</xdr:row>
      <xdr:rowOff>123825</xdr:rowOff>
    </xdr:from>
    <xdr:to>
      <xdr:col>4</xdr:col>
      <xdr:colOff>66675</xdr:colOff>
      <xdr:row>15</xdr:row>
      <xdr:rowOff>123825</xdr:rowOff>
    </xdr:to>
    <xdr:cxnSp macro="">
      <xdr:nvCxnSpPr>
        <xdr:cNvPr id="63" name="Straight Arrow Connector 62"/>
        <xdr:cNvCxnSpPr/>
      </xdr:nvCxnSpPr>
      <xdr:spPr>
        <a:xfrm>
          <a:off x="2381250" y="2895600"/>
          <a:ext cx="476250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809625</xdr:colOff>
      <xdr:row>12</xdr:row>
      <xdr:rowOff>19050</xdr:rowOff>
    </xdr:from>
    <xdr:to>
      <xdr:col>4</xdr:col>
      <xdr:colOff>95250</xdr:colOff>
      <xdr:row>12</xdr:row>
      <xdr:rowOff>19050</xdr:rowOff>
    </xdr:to>
    <xdr:cxnSp macro="">
      <xdr:nvCxnSpPr>
        <xdr:cNvPr id="65" name="Straight Arrow Connector 64"/>
        <xdr:cNvCxnSpPr/>
      </xdr:nvCxnSpPr>
      <xdr:spPr>
        <a:xfrm>
          <a:off x="2171700" y="2219325"/>
          <a:ext cx="7143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12</xdr:row>
      <xdr:rowOff>38100</xdr:rowOff>
    </xdr:from>
    <xdr:to>
      <xdr:col>4</xdr:col>
      <xdr:colOff>523875</xdr:colOff>
      <xdr:row>12</xdr:row>
      <xdr:rowOff>38100</xdr:rowOff>
    </xdr:to>
    <xdr:cxnSp macro="">
      <xdr:nvCxnSpPr>
        <xdr:cNvPr id="67" name="Straight Arrow Connector 66"/>
        <xdr:cNvCxnSpPr/>
      </xdr:nvCxnSpPr>
      <xdr:spPr>
        <a:xfrm flipH="1">
          <a:off x="3019425" y="2238375"/>
          <a:ext cx="29527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219075</xdr:colOff>
      <xdr:row>8</xdr:row>
      <xdr:rowOff>9525</xdr:rowOff>
    </xdr:from>
    <xdr:to>
      <xdr:col>7</xdr:col>
      <xdr:colOff>447675</xdr:colOff>
      <xdr:row>15</xdr:row>
      <xdr:rowOff>0</xdr:rowOff>
    </xdr:to>
    <xdr:sp macro="" textlink="">
      <xdr:nvSpPr>
        <xdr:cNvPr id="69" name="Frame 68"/>
        <xdr:cNvSpPr/>
      </xdr:nvSpPr>
      <xdr:spPr>
        <a:xfrm>
          <a:off x="3990975" y="1447800"/>
          <a:ext cx="1562100" cy="1323975"/>
        </a:xfrm>
        <a:prstGeom prst="frame">
          <a:avLst/>
        </a:prstGeom>
        <a:solidFill>
          <a:srgbClr val="DDDDDD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38100</xdr:colOff>
      <xdr:row>9</xdr:row>
      <xdr:rowOff>171450</xdr:rowOff>
    </xdr:from>
    <xdr:to>
      <xdr:col>7</xdr:col>
      <xdr:colOff>38100</xdr:colOff>
      <xdr:row>14</xdr:row>
      <xdr:rowOff>28575</xdr:rowOff>
    </xdr:to>
    <xdr:cxnSp macro="">
      <xdr:nvCxnSpPr>
        <xdr:cNvPr id="76" name="Straight Arrow Connector 75"/>
        <xdr:cNvCxnSpPr/>
      </xdr:nvCxnSpPr>
      <xdr:spPr>
        <a:xfrm>
          <a:off x="5248275" y="1800225"/>
          <a:ext cx="0" cy="80962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371475</xdr:colOff>
      <xdr:row>10</xdr:row>
      <xdr:rowOff>0</xdr:rowOff>
    </xdr:from>
    <xdr:to>
      <xdr:col>7</xdr:col>
      <xdr:colOff>276226</xdr:colOff>
      <xdr:row>10</xdr:row>
      <xdr:rowOff>0</xdr:rowOff>
    </xdr:to>
    <xdr:cxnSp macro="">
      <xdr:nvCxnSpPr>
        <xdr:cNvPr id="78" name="Straight Connector 77"/>
        <xdr:cNvCxnSpPr/>
      </xdr:nvCxnSpPr>
      <xdr:spPr>
        <a:xfrm flipH="1">
          <a:off x="4143375" y="1819275"/>
          <a:ext cx="134302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10</xdr:row>
      <xdr:rowOff>23813</xdr:rowOff>
    </xdr:from>
    <xdr:to>
      <xdr:col>6</xdr:col>
      <xdr:colOff>416118</xdr:colOff>
      <xdr:row>10</xdr:row>
      <xdr:rowOff>147638</xdr:rowOff>
    </xdr:to>
    <xdr:sp macro="" textlink="">
      <xdr:nvSpPr>
        <xdr:cNvPr id="85" name="Freeform 84"/>
        <xdr:cNvSpPr/>
      </xdr:nvSpPr>
      <xdr:spPr>
        <a:xfrm>
          <a:off x="4562475" y="2052638"/>
          <a:ext cx="397068" cy="123825"/>
        </a:xfrm>
        <a:custGeom>
          <a:avLst/>
          <a:gdLst>
            <a:gd name="connsiteX0" fmla="*/ 0 w 397068"/>
            <a:gd name="connsiteY0" fmla="*/ 0 h 123825"/>
            <a:gd name="connsiteX1" fmla="*/ 390525 w 397068"/>
            <a:gd name="connsiteY1" fmla="*/ 4762 h 123825"/>
            <a:gd name="connsiteX2" fmla="*/ 371475 w 397068"/>
            <a:gd name="connsiteY2" fmla="*/ 9525 h 123825"/>
            <a:gd name="connsiteX3" fmla="*/ 323850 w 397068"/>
            <a:gd name="connsiteY3" fmla="*/ 14287 h 123825"/>
            <a:gd name="connsiteX4" fmla="*/ 147638 w 397068"/>
            <a:gd name="connsiteY4" fmla="*/ 23812 h 123825"/>
            <a:gd name="connsiteX5" fmla="*/ 128588 w 397068"/>
            <a:gd name="connsiteY5" fmla="*/ 28575 h 123825"/>
            <a:gd name="connsiteX6" fmla="*/ 42863 w 397068"/>
            <a:gd name="connsiteY6" fmla="*/ 33337 h 123825"/>
            <a:gd name="connsiteX7" fmla="*/ 114300 w 397068"/>
            <a:gd name="connsiteY7" fmla="*/ 42862 h 123825"/>
            <a:gd name="connsiteX8" fmla="*/ 133350 w 397068"/>
            <a:gd name="connsiteY8" fmla="*/ 47625 h 123825"/>
            <a:gd name="connsiteX9" fmla="*/ 157163 w 397068"/>
            <a:gd name="connsiteY9" fmla="*/ 52387 h 123825"/>
            <a:gd name="connsiteX10" fmla="*/ 333375 w 397068"/>
            <a:gd name="connsiteY10" fmla="*/ 61912 h 123825"/>
            <a:gd name="connsiteX11" fmla="*/ 304800 w 397068"/>
            <a:gd name="connsiteY11" fmla="*/ 66675 h 123825"/>
            <a:gd name="connsiteX12" fmla="*/ 257175 w 397068"/>
            <a:gd name="connsiteY12" fmla="*/ 71437 h 123825"/>
            <a:gd name="connsiteX13" fmla="*/ 242888 w 397068"/>
            <a:gd name="connsiteY13" fmla="*/ 76200 h 123825"/>
            <a:gd name="connsiteX14" fmla="*/ 204788 w 397068"/>
            <a:gd name="connsiteY14" fmla="*/ 85725 h 123825"/>
            <a:gd name="connsiteX15" fmla="*/ 185738 w 397068"/>
            <a:gd name="connsiteY15" fmla="*/ 90487 h 123825"/>
            <a:gd name="connsiteX16" fmla="*/ 171450 w 397068"/>
            <a:gd name="connsiteY16" fmla="*/ 95250 h 123825"/>
            <a:gd name="connsiteX17" fmla="*/ 190500 w 397068"/>
            <a:gd name="connsiteY17" fmla="*/ 100012 h 123825"/>
            <a:gd name="connsiteX18" fmla="*/ 204788 w 397068"/>
            <a:gd name="connsiteY18" fmla="*/ 104775 h 123825"/>
            <a:gd name="connsiteX19" fmla="*/ 242888 w 397068"/>
            <a:gd name="connsiteY19" fmla="*/ 109537 h 123825"/>
            <a:gd name="connsiteX20" fmla="*/ 223838 w 397068"/>
            <a:gd name="connsiteY20" fmla="*/ 123825 h 123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97068" h="123825">
              <a:moveTo>
                <a:pt x="0" y="0"/>
              </a:moveTo>
              <a:lnTo>
                <a:pt x="390525" y="4762"/>
              </a:lnTo>
              <a:cubicBezTo>
                <a:pt x="397068" y="4930"/>
                <a:pt x="377955" y="8599"/>
                <a:pt x="371475" y="9525"/>
              </a:cubicBezTo>
              <a:cubicBezTo>
                <a:pt x="355681" y="11781"/>
                <a:pt x="339725" y="12700"/>
                <a:pt x="323850" y="14287"/>
              </a:cubicBezTo>
              <a:cubicBezTo>
                <a:pt x="251476" y="32382"/>
                <a:pt x="331185" y="13890"/>
                <a:pt x="147638" y="23812"/>
              </a:cubicBezTo>
              <a:cubicBezTo>
                <a:pt x="141102" y="24165"/>
                <a:pt x="135107" y="27982"/>
                <a:pt x="128588" y="28575"/>
              </a:cubicBezTo>
              <a:cubicBezTo>
                <a:pt x="100086" y="31166"/>
                <a:pt x="71438" y="31750"/>
                <a:pt x="42863" y="33337"/>
              </a:cubicBezTo>
              <a:cubicBezTo>
                <a:pt x="103502" y="45466"/>
                <a:pt x="16869" y="28943"/>
                <a:pt x="114300" y="42862"/>
              </a:cubicBezTo>
              <a:cubicBezTo>
                <a:pt x="120780" y="43788"/>
                <a:pt x="126960" y="46205"/>
                <a:pt x="133350" y="47625"/>
              </a:cubicBezTo>
              <a:cubicBezTo>
                <a:pt x="141252" y="49381"/>
                <a:pt x="149139" y="51317"/>
                <a:pt x="157163" y="52387"/>
              </a:cubicBezTo>
              <a:cubicBezTo>
                <a:pt x="216219" y="60261"/>
                <a:pt x="272851" y="59671"/>
                <a:pt x="333375" y="61912"/>
              </a:cubicBezTo>
              <a:cubicBezTo>
                <a:pt x="323850" y="63500"/>
                <a:pt x="314382" y="65477"/>
                <a:pt x="304800" y="66675"/>
              </a:cubicBezTo>
              <a:cubicBezTo>
                <a:pt x="288969" y="68654"/>
                <a:pt x="272944" y="69011"/>
                <a:pt x="257175" y="71437"/>
              </a:cubicBezTo>
              <a:cubicBezTo>
                <a:pt x="252213" y="72200"/>
                <a:pt x="247731" y="74879"/>
                <a:pt x="242888" y="76200"/>
              </a:cubicBezTo>
              <a:cubicBezTo>
                <a:pt x="230258" y="79645"/>
                <a:pt x="217488" y="82550"/>
                <a:pt x="204788" y="85725"/>
              </a:cubicBezTo>
              <a:cubicBezTo>
                <a:pt x="198438" y="87312"/>
                <a:pt x="191947" y="88417"/>
                <a:pt x="185738" y="90487"/>
              </a:cubicBezTo>
              <a:lnTo>
                <a:pt x="171450" y="95250"/>
              </a:lnTo>
              <a:cubicBezTo>
                <a:pt x="177800" y="96837"/>
                <a:pt x="184206" y="98214"/>
                <a:pt x="190500" y="100012"/>
              </a:cubicBezTo>
              <a:cubicBezTo>
                <a:pt x="195327" y="101391"/>
                <a:pt x="199849" y="103877"/>
                <a:pt x="204788" y="104775"/>
              </a:cubicBezTo>
              <a:cubicBezTo>
                <a:pt x="217380" y="107065"/>
                <a:pt x="230188" y="107950"/>
                <a:pt x="242888" y="109537"/>
              </a:cubicBezTo>
              <a:cubicBezTo>
                <a:pt x="226732" y="120307"/>
                <a:pt x="232647" y="115014"/>
                <a:pt x="223838" y="123825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552450</xdr:colOff>
      <xdr:row>8</xdr:row>
      <xdr:rowOff>171450</xdr:rowOff>
    </xdr:from>
    <xdr:to>
      <xdr:col>7</xdr:col>
      <xdr:colOff>552450</xdr:colOff>
      <xdr:row>14</xdr:row>
      <xdr:rowOff>47625</xdr:rowOff>
    </xdr:to>
    <xdr:cxnSp macro="">
      <xdr:nvCxnSpPr>
        <xdr:cNvPr id="89" name="Straight Arrow Connector 88"/>
        <xdr:cNvCxnSpPr/>
      </xdr:nvCxnSpPr>
      <xdr:spPr>
        <a:xfrm>
          <a:off x="5762625" y="1609725"/>
          <a:ext cx="0" cy="1019175"/>
        </a:xfrm>
        <a:prstGeom prst="straightConnector1">
          <a:avLst/>
        </a:prstGeom>
        <a:ln>
          <a:solidFill>
            <a:sysClr val="windowText" lastClr="00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8</xdr:row>
      <xdr:rowOff>171450</xdr:rowOff>
    </xdr:from>
    <xdr:to>
      <xdr:col>8</xdr:col>
      <xdr:colOff>0</xdr:colOff>
      <xdr:row>8</xdr:row>
      <xdr:rowOff>171450</xdr:rowOff>
    </xdr:to>
    <xdr:cxnSp macro="">
      <xdr:nvCxnSpPr>
        <xdr:cNvPr id="95" name="Straight Connector 94"/>
        <xdr:cNvCxnSpPr/>
      </xdr:nvCxnSpPr>
      <xdr:spPr>
        <a:xfrm>
          <a:off x="6038850" y="1609725"/>
          <a:ext cx="428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142875</xdr:colOff>
      <xdr:row>14</xdr:row>
      <xdr:rowOff>28575</xdr:rowOff>
    </xdr:from>
    <xdr:to>
      <xdr:col>8</xdr:col>
      <xdr:colOff>9525</xdr:colOff>
      <xdr:row>14</xdr:row>
      <xdr:rowOff>28575</xdr:rowOff>
    </xdr:to>
    <xdr:cxnSp macro="">
      <xdr:nvCxnSpPr>
        <xdr:cNvPr id="96" name="Straight Connector 95"/>
        <xdr:cNvCxnSpPr/>
      </xdr:nvCxnSpPr>
      <xdr:spPr>
        <a:xfrm>
          <a:off x="6048375" y="2609850"/>
          <a:ext cx="428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8</xdr:row>
      <xdr:rowOff>171450</xdr:rowOff>
    </xdr:from>
    <xdr:to>
      <xdr:col>1</xdr:col>
      <xdr:colOff>904875</xdr:colOff>
      <xdr:row>8</xdr:row>
      <xdr:rowOff>171450</xdr:rowOff>
    </xdr:to>
    <xdr:cxnSp macro="">
      <xdr:nvCxnSpPr>
        <xdr:cNvPr id="101" name="Straight Connector 100"/>
        <xdr:cNvCxnSpPr/>
      </xdr:nvCxnSpPr>
      <xdr:spPr>
        <a:xfrm>
          <a:off x="666750" y="1609725"/>
          <a:ext cx="428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476250</xdr:colOff>
      <xdr:row>14</xdr:row>
      <xdr:rowOff>28575</xdr:rowOff>
    </xdr:from>
    <xdr:to>
      <xdr:col>1</xdr:col>
      <xdr:colOff>904875</xdr:colOff>
      <xdr:row>14</xdr:row>
      <xdr:rowOff>28575</xdr:rowOff>
    </xdr:to>
    <xdr:cxnSp macro="">
      <xdr:nvCxnSpPr>
        <xdr:cNvPr id="102" name="Straight Connector 101"/>
        <xdr:cNvCxnSpPr/>
      </xdr:nvCxnSpPr>
      <xdr:spPr>
        <a:xfrm>
          <a:off x="666750" y="2609850"/>
          <a:ext cx="4286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842963</xdr:colOff>
      <xdr:row>13</xdr:row>
      <xdr:rowOff>152400</xdr:rowOff>
    </xdr:from>
    <xdr:to>
      <xdr:col>1</xdr:col>
      <xdr:colOff>842963</xdr:colOff>
      <xdr:row>16</xdr:row>
      <xdr:rowOff>0</xdr:rowOff>
    </xdr:to>
    <xdr:cxnSp macro="">
      <xdr:nvCxnSpPr>
        <xdr:cNvPr id="107" name="Straight Connector 106"/>
        <xdr:cNvCxnSpPr/>
      </xdr:nvCxnSpPr>
      <xdr:spPr>
        <a:xfrm>
          <a:off x="1033463" y="2752725"/>
          <a:ext cx="0" cy="4191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71438</xdr:colOff>
      <xdr:row>13</xdr:row>
      <xdr:rowOff>133350</xdr:rowOff>
    </xdr:from>
    <xdr:to>
      <xdr:col>4</xdr:col>
      <xdr:colOff>71438</xdr:colOff>
      <xdr:row>16</xdr:row>
      <xdr:rowOff>9525</xdr:rowOff>
    </xdr:to>
    <xdr:cxnSp macro="">
      <xdr:nvCxnSpPr>
        <xdr:cNvPr id="109" name="Straight Connector 108"/>
        <xdr:cNvCxnSpPr/>
      </xdr:nvCxnSpPr>
      <xdr:spPr>
        <a:xfrm>
          <a:off x="2862263" y="2733675"/>
          <a:ext cx="0" cy="4476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</xdr:colOff>
      <xdr:row>35</xdr:row>
      <xdr:rowOff>0</xdr:rowOff>
    </xdr:from>
    <xdr:to>
      <xdr:col>2</xdr:col>
      <xdr:colOff>552450</xdr:colOff>
      <xdr:row>36</xdr:row>
      <xdr:rowOff>3819</xdr:rowOff>
    </xdr:to>
    <xdr:pic>
      <xdr:nvPicPr>
        <xdr:cNvPr id="109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90501" y="6915150"/>
          <a:ext cx="1838324" cy="6038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47625</xdr:colOff>
      <xdr:row>36</xdr:row>
      <xdr:rowOff>0</xdr:rowOff>
    </xdr:from>
    <xdr:to>
      <xdr:col>3</xdr:col>
      <xdr:colOff>219075</xdr:colOff>
      <xdr:row>36</xdr:row>
      <xdr:rowOff>400050</xdr:rowOff>
    </xdr:to>
    <xdr:pic>
      <xdr:nvPicPr>
        <xdr:cNvPr id="1096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7496175"/>
          <a:ext cx="2562225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5</xdr:col>
      <xdr:colOff>457200</xdr:colOff>
      <xdr:row>6</xdr:row>
      <xdr:rowOff>228600</xdr:rowOff>
    </xdr:from>
    <xdr:to>
      <xdr:col>5</xdr:col>
      <xdr:colOff>457200</xdr:colOff>
      <xdr:row>8</xdr:row>
      <xdr:rowOff>38100</xdr:rowOff>
    </xdr:to>
    <xdr:cxnSp macro="">
      <xdr:nvCxnSpPr>
        <xdr:cNvPr id="117" name="Straight Arrow Connector 116"/>
        <xdr:cNvCxnSpPr/>
      </xdr:nvCxnSpPr>
      <xdr:spPr>
        <a:xfrm>
          <a:off x="4229100" y="1438275"/>
          <a:ext cx="0" cy="24765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457200</xdr:colOff>
      <xdr:row>8</xdr:row>
      <xdr:rowOff>161925</xdr:rowOff>
    </xdr:from>
    <xdr:to>
      <xdr:col>5</xdr:col>
      <xdr:colOff>457200</xdr:colOff>
      <xdr:row>9</xdr:row>
      <xdr:rowOff>114300</xdr:rowOff>
    </xdr:to>
    <xdr:cxnSp macro="">
      <xdr:nvCxnSpPr>
        <xdr:cNvPr id="119" name="Straight Arrow Connector 118"/>
        <xdr:cNvCxnSpPr/>
      </xdr:nvCxnSpPr>
      <xdr:spPr>
        <a:xfrm flipV="1">
          <a:off x="4229100" y="1809750"/>
          <a:ext cx="0" cy="142875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66675</xdr:colOff>
      <xdr:row>38</xdr:row>
      <xdr:rowOff>57150</xdr:rowOff>
    </xdr:from>
    <xdr:to>
      <xdr:col>4</xdr:col>
      <xdr:colOff>628650</xdr:colOff>
      <xdr:row>38</xdr:row>
      <xdr:rowOff>438150</xdr:rowOff>
    </xdr:to>
    <xdr:pic>
      <xdr:nvPicPr>
        <xdr:cNvPr id="1103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675" y="9010650"/>
          <a:ext cx="3562350" cy="381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85725</xdr:colOff>
      <xdr:row>38</xdr:row>
      <xdr:rowOff>438150</xdr:rowOff>
    </xdr:from>
    <xdr:to>
      <xdr:col>3</xdr:col>
      <xdr:colOff>104775</xdr:colOff>
      <xdr:row>38</xdr:row>
      <xdr:rowOff>809625</xdr:rowOff>
    </xdr:to>
    <xdr:pic>
      <xdr:nvPicPr>
        <xdr:cNvPr id="1104" name="Picture 8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76225" y="9391650"/>
          <a:ext cx="2219325" cy="371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304800</xdr:colOff>
      <xdr:row>39</xdr:row>
      <xdr:rowOff>9525</xdr:rowOff>
    </xdr:from>
    <xdr:to>
      <xdr:col>4</xdr:col>
      <xdr:colOff>381000</xdr:colOff>
      <xdr:row>40</xdr:row>
      <xdr:rowOff>0</xdr:rowOff>
    </xdr:to>
    <xdr:pic>
      <xdr:nvPicPr>
        <xdr:cNvPr id="1107" name="Picture 8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95300" y="8839200"/>
          <a:ext cx="2886075" cy="6000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43</xdr:row>
      <xdr:rowOff>9525</xdr:rowOff>
    </xdr:from>
    <xdr:to>
      <xdr:col>1</xdr:col>
      <xdr:colOff>1057275</xdr:colOff>
      <xdr:row>43</xdr:row>
      <xdr:rowOff>514350</xdr:rowOff>
    </xdr:to>
    <xdr:pic>
      <xdr:nvPicPr>
        <xdr:cNvPr id="1109" name="Picture 8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90500" y="9944100"/>
          <a:ext cx="1057275" cy="504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104775</xdr:colOff>
      <xdr:row>41</xdr:row>
      <xdr:rowOff>95250</xdr:rowOff>
    </xdr:from>
    <xdr:to>
      <xdr:col>1</xdr:col>
      <xdr:colOff>1200150</xdr:colOff>
      <xdr:row>41</xdr:row>
      <xdr:rowOff>276225</xdr:rowOff>
    </xdr:to>
    <xdr:pic>
      <xdr:nvPicPr>
        <xdr:cNvPr id="1110" name="Picture 8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" y="10925175"/>
          <a:ext cx="1285875" cy="180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247651</xdr:colOff>
      <xdr:row>42</xdr:row>
      <xdr:rowOff>9525</xdr:rowOff>
    </xdr:from>
    <xdr:to>
      <xdr:col>4</xdr:col>
      <xdr:colOff>781051</xdr:colOff>
      <xdr:row>43</xdr:row>
      <xdr:rowOff>54827</xdr:rowOff>
    </xdr:to>
    <xdr:pic>
      <xdr:nvPicPr>
        <xdr:cNvPr id="1113" name="Picture 8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600326" y="10172700"/>
          <a:ext cx="1143000" cy="473927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28575</xdr:colOff>
      <xdr:row>42</xdr:row>
      <xdr:rowOff>19050</xdr:rowOff>
    </xdr:from>
    <xdr:to>
      <xdr:col>1</xdr:col>
      <xdr:colOff>1136798</xdr:colOff>
      <xdr:row>42</xdr:row>
      <xdr:rowOff>409575</xdr:rowOff>
    </xdr:to>
    <xdr:pic>
      <xdr:nvPicPr>
        <xdr:cNvPr id="1115" name="Picture 91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8575" y="10001250"/>
          <a:ext cx="1298723" cy="390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352426</xdr:colOff>
      <xdr:row>44</xdr:row>
      <xdr:rowOff>95251</xdr:rowOff>
    </xdr:from>
    <xdr:to>
      <xdr:col>5</xdr:col>
      <xdr:colOff>685801</xdr:colOff>
      <xdr:row>44</xdr:row>
      <xdr:rowOff>422261</xdr:rowOff>
    </xdr:to>
    <xdr:pic>
      <xdr:nvPicPr>
        <xdr:cNvPr id="1117" name="Picture 93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57551" y="11029951"/>
          <a:ext cx="1314450" cy="32701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142875</xdr:colOff>
      <xdr:row>44</xdr:row>
      <xdr:rowOff>19051</xdr:rowOff>
    </xdr:from>
    <xdr:to>
      <xdr:col>2</xdr:col>
      <xdr:colOff>748535</xdr:colOff>
      <xdr:row>44</xdr:row>
      <xdr:rowOff>466725</xdr:rowOff>
    </xdr:to>
    <xdr:pic>
      <xdr:nvPicPr>
        <xdr:cNvPr id="1119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42875" y="10953751"/>
          <a:ext cx="2082035" cy="44767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57150</xdr:colOff>
      <xdr:row>47</xdr:row>
      <xdr:rowOff>19050</xdr:rowOff>
    </xdr:from>
    <xdr:to>
      <xdr:col>2</xdr:col>
      <xdr:colOff>676275</xdr:colOff>
      <xdr:row>48</xdr:row>
      <xdr:rowOff>19050</xdr:rowOff>
    </xdr:to>
    <xdr:pic>
      <xdr:nvPicPr>
        <xdr:cNvPr id="112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11906250"/>
          <a:ext cx="2095500" cy="914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48</xdr:row>
      <xdr:rowOff>104775</xdr:rowOff>
    </xdr:from>
    <xdr:to>
      <xdr:col>2</xdr:col>
      <xdr:colOff>800100</xdr:colOff>
      <xdr:row>48</xdr:row>
      <xdr:rowOff>942975</xdr:rowOff>
    </xdr:to>
    <xdr:pic>
      <xdr:nvPicPr>
        <xdr:cNvPr id="1128" name="Picture 104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12906375"/>
          <a:ext cx="2238375" cy="838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257175</xdr:colOff>
      <xdr:row>49</xdr:row>
      <xdr:rowOff>9525</xdr:rowOff>
    </xdr:from>
    <xdr:to>
      <xdr:col>1</xdr:col>
      <xdr:colOff>1076325</xdr:colOff>
      <xdr:row>49</xdr:row>
      <xdr:rowOff>381000</xdr:rowOff>
    </xdr:to>
    <xdr:pic>
      <xdr:nvPicPr>
        <xdr:cNvPr id="1130" name="Picture 106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47675" y="13773150"/>
          <a:ext cx="819150" cy="371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49</xdr:row>
      <xdr:rowOff>0</xdr:rowOff>
    </xdr:from>
    <xdr:to>
      <xdr:col>4</xdr:col>
      <xdr:colOff>800100</xdr:colOff>
      <xdr:row>50</xdr:row>
      <xdr:rowOff>0</xdr:rowOff>
    </xdr:to>
    <xdr:pic>
      <xdr:nvPicPr>
        <xdr:cNvPr id="1133" name="Picture 10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2962275" y="13763625"/>
          <a:ext cx="800100" cy="390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304800</xdr:colOff>
      <xdr:row>50</xdr:row>
      <xdr:rowOff>19050</xdr:rowOff>
    </xdr:from>
    <xdr:to>
      <xdr:col>1</xdr:col>
      <xdr:colOff>1047750</xdr:colOff>
      <xdr:row>50</xdr:row>
      <xdr:rowOff>390525</xdr:rowOff>
    </xdr:to>
    <xdr:pic>
      <xdr:nvPicPr>
        <xdr:cNvPr id="1134" name="Picture 110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95300" y="14173200"/>
          <a:ext cx="742950" cy="371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0</xdr:colOff>
      <xdr:row>50</xdr:row>
      <xdr:rowOff>28575</xdr:rowOff>
    </xdr:from>
    <xdr:to>
      <xdr:col>4</xdr:col>
      <xdr:colOff>828675</xdr:colOff>
      <xdr:row>50</xdr:row>
      <xdr:rowOff>390525</xdr:rowOff>
    </xdr:to>
    <xdr:pic>
      <xdr:nvPicPr>
        <xdr:cNvPr id="1136" name="Picture 11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2962275" y="14182725"/>
          <a:ext cx="828675" cy="361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161925</xdr:colOff>
      <xdr:row>52</xdr:row>
      <xdr:rowOff>38100</xdr:rowOff>
    </xdr:from>
    <xdr:to>
      <xdr:col>2</xdr:col>
      <xdr:colOff>561975</xdr:colOff>
      <xdr:row>52</xdr:row>
      <xdr:rowOff>304800</xdr:rowOff>
    </xdr:to>
    <xdr:pic>
      <xdr:nvPicPr>
        <xdr:cNvPr id="1141" name="Picture 117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352425" y="14782800"/>
          <a:ext cx="1685925" cy="2667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728663</xdr:colOff>
      <xdr:row>8</xdr:row>
      <xdr:rowOff>95249</xdr:rowOff>
    </xdr:from>
    <xdr:to>
      <xdr:col>4</xdr:col>
      <xdr:colOff>828677</xdr:colOff>
      <xdr:row>13</xdr:row>
      <xdr:rowOff>180973</xdr:rowOff>
    </xdr:to>
    <xdr:sp macro="" textlink="">
      <xdr:nvSpPr>
        <xdr:cNvPr id="41" name="Down Arrow 40"/>
        <xdr:cNvSpPr/>
      </xdr:nvSpPr>
      <xdr:spPr>
        <a:xfrm flipV="1">
          <a:off x="3729038" y="1781174"/>
          <a:ext cx="100014" cy="1038224"/>
        </a:xfrm>
        <a:prstGeom prst="downArrow">
          <a:avLst/>
        </a:prstGeom>
        <a:solidFill>
          <a:sysClr val="window" lastClr="FFFFFF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3</xdr:col>
      <xdr:colOff>95250</xdr:colOff>
      <xdr:row>41</xdr:row>
      <xdr:rowOff>123825</xdr:rowOff>
    </xdr:from>
    <xdr:to>
      <xdr:col>4</xdr:col>
      <xdr:colOff>238125</xdr:colOff>
      <xdr:row>41</xdr:row>
      <xdr:rowOff>285750</xdr:rowOff>
    </xdr:to>
    <xdr:pic>
      <xdr:nvPicPr>
        <xdr:cNvPr id="1144" name="Picture 120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2486025" y="10953750"/>
          <a:ext cx="752475" cy="161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5</xdr:col>
      <xdr:colOff>400050</xdr:colOff>
      <xdr:row>41</xdr:row>
      <xdr:rowOff>85725</xdr:rowOff>
    </xdr:from>
    <xdr:to>
      <xdr:col>6</xdr:col>
      <xdr:colOff>676275</xdr:colOff>
      <xdr:row>41</xdr:row>
      <xdr:rowOff>276225</xdr:rowOff>
    </xdr:to>
    <xdr:pic>
      <xdr:nvPicPr>
        <xdr:cNvPr id="1147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381500" y="10915650"/>
          <a:ext cx="1047750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114300</xdr:colOff>
      <xdr:row>54</xdr:row>
      <xdr:rowOff>0</xdr:rowOff>
    </xdr:from>
    <xdr:to>
      <xdr:col>2</xdr:col>
      <xdr:colOff>419100</xdr:colOff>
      <xdr:row>54</xdr:row>
      <xdr:rowOff>190500</xdr:rowOff>
    </xdr:to>
    <xdr:pic>
      <xdr:nvPicPr>
        <xdr:cNvPr id="1156" name="Picture 132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304800" y="15259050"/>
          <a:ext cx="1590675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952500</xdr:colOff>
      <xdr:row>60</xdr:row>
      <xdr:rowOff>9525</xdr:rowOff>
    </xdr:from>
    <xdr:to>
      <xdr:col>1</xdr:col>
      <xdr:colOff>1085850</xdr:colOff>
      <xdr:row>68</xdr:row>
      <xdr:rowOff>9525</xdr:rowOff>
    </xdr:to>
    <xdr:sp macro="" textlink="">
      <xdr:nvSpPr>
        <xdr:cNvPr id="48" name="Rectangle 47"/>
        <xdr:cNvSpPr/>
      </xdr:nvSpPr>
      <xdr:spPr>
        <a:xfrm>
          <a:off x="1143000" y="17602200"/>
          <a:ext cx="133350" cy="1524000"/>
        </a:xfrm>
        <a:prstGeom prst="rect">
          <a:avLst/>
        </a:prstGeom>
        <a:solidFill>
          <a:srgbClr val="DDDDDD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1076325</xdr:colOff>
      <xdr:row>60</xdr:row>
      <xdr:rowOff>9525</xdr:rowOff>
    </xdr:from>
    <xdr:to>
      <xdr:col>1</xdr:col>
      <xdr:colOff>1209675</xdr:colOff>
      <xdr:row>68</xdr:row>
      <xdr:rowOff>9525</xdr:rowOff>
    </xdr:to>
    <xdr:sp macro="" textlink="">
      <xdr:nvSpPr>
        <xdr:cNvPr id="49" name="Rectangle 48"/>
        <xdr:cNvSpPr/>
      </xdr:nvSpPr>
      <xdr:spPr>
        <a:xfrm>
          <a:off x="1266825" y="17602200"/>
          <a:ext cx="133350" cy="1524000"/>
        </a:xfrm>
        <a:prstGeom prst="rect">
          <a:avLst/>
        </a:prstGeom>
        <a:blipFill>
          <a:blip xmlns:r="http://schemas.openxmlformats.org/officeDocument/2006/relationships" r:embed="rId24" cstate="print"/>
          <a:stretch>
            <a:fillRect/>
          </a:stretch>
        </a:blip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38100</xdr:colOff>
      <xdr:row>60</xdr:row>
      <xdr:rowOff>0</xdr:rowOff>
    </xdr:from>
    <xdr:to>
      <xdr:col>3</xdr:col>
      <xdr:colOff>171450</xdr:colOff>
      <xdr:row>68</xdr:row>
      <xdr:rowOff>0</xdr:rowOff>
    </xdr:to>
    <xdr:sp macro="" textlink="">
      <xdr:nvSpPr>
        <xdr:cNvPr id="52" name="Rectangle 51"/>
        <xdr:cNvSpPr/>
      </xdr:nvSpPr>
      <xdr:spPr>
        <a:xfrm>
          <a:off x="2390775" y="17592675"/>
          <a:ext cx="133350" cy="1524000"/>
        </a:xfrm>
        <a:prstGeom prst="rect">
          <a:avLst/>
        </a:prstGeom>
        <a:solidFill>
          <a:srgbClr val="DDDDDD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190499</xdr:colOff>
      <xdr:row>61</xdr:row>
      <xdr:rowOff>0</xdr:rowOff>
    </xdr:from>
    <xdr:to>
      <xdr:col>3</xdr:col>
      <xdr:colOff>581024</xdr:colOff>
      <xdr:row>68</xdr:row>
      <xdr:rowOff>0</xdr:rowOff>
    </xdr:to>
    <xdr:sp macro="" textlink="">
      <xdr:nvSpPr>
        <xdr:cNvPr id="58" name="Rectangle 57"/>
        <xdr:cNvSpPr/>
      </xdr:nvSpPr>
      <xdr:spPr>
        <a:xfrm>
          <a:off x="2543174" y="18354675"/>
          <a:ext cx="390525" cy="13335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228600</xdr:colOff>
      <xdr:row>60</xdr:row>
      <xdr:rowOff>0</xdr:rowOff>
    </xdr:from>
    <xdr:to>
      <xdr:col>5</xdr:col>
      <xdr:colOff>361950</xdr:colOff>
      <xdr:row>68</xdr:row>
      <xdr:rowOff>0</xdr:rowOff>
    </xdr:to>
    <xdr:sp macro="" textlink="">
      <xdr:nvSpPr>
        <xdr:cNvPr id="59" name="Rectangle 58"/>
        <xdr:cNvSpPr/>
      </xdr:nvSpPr>
      <xdr:spPr>
        <a:xfrm>
          <a:off x="4171950" y="17592675"/>
          <a:ext cx="133350" cy="1524000"/>
        </a:xfrm>
        <a:prstGeom prst="rect">
          <a:avLst/>
        </a:prstGeom>
        <a:solidFill>
          <a:srgbClr val="DDDDDD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380999</xdr:colOff>
      <xdr:row>60</xdr:row>
      <xdr:rowOff>190499</xdr:rowOff>
    </xdr:from>
    <xdr:to>
      <xdr:col>5</xdr:col>
      <xdr:colOff>771524</xdr:colOff>
      <xdr:row>67</xdr:row>
      <xdr:rowOff>190498</xdr:rowOff>
    </xdr:to>
    <xdr:sp macro="" textlink="">
      <xdr:nvSpPr>
        <xdr:cNvPr id="60" name="Rectangle 59"/>
        <xdr:cNvSpPr/>
      </xdr:nvSpPr>
      <xdr:spPr>
        <a:xfrm flipV="1">
          <a:off x="4324349" y="18354674"/>
          <a:ext cx="390525" cy="1333499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</xdr:col>
      <xdr:colOff>514350</xdr:colOff>
      <xdr:row>65</xdr:row>
      <xdr:rowOff>152400</xdr:rowOff>
    </xdr:from>
    <xdr:to>
      <xdr:col>1</xdr:col>
      <xdr:colOff>733425</xdr:colOff>
      <xdr:row>66</xdr:row>
      <xdr:rowOff>152400</xdr:rowOff>
    </xdr:to>
    <xdr:pic>
      <xdr:nvPicPr>
        <xdr:cNvPr id="1166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704850" y="19269075"/>
          <a:ext cx="219075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647700</xdr:colOff>
      <xdr:row>61</xdr:row>
      <xdr:rowOff>123825</xdr:rowOff>
    </xdr:from>
    <xdr:to>
      <xdr:col>1</xdr:col>
      <xdr:colOff>866775</xdr:colOff>
      <xdr:row>62</xdr:row>
      <xdr:rowOff>123825</xdr:rowOff>
    </xdr:to>
    <xdr:pic>
      <xdr:nvPicPr>
        <xdr:cNvPr id="1168" name="Picture 144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838200" y="18478500"/>
          <a:ext cx="219075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</xdr:col>
      <xdr:colOff>361951</xdr:colOff>
      <xdr:row>63</xdr:row>
      <xdr:rowOff>219075</xdr:rowOff>
    </xdr:from>
    <xdr:to>
      <xdr:col>1</xdr:col>
      <xdr:colOff>1076325</xdr:colOff>
      <xdr:row>64</xdr:row>
      <xdr:rowOff>0</xdr:rowOff>
    </xdr:to>
    <xdr:cxnSp macro="">
      <xdr:nvCxnSpPr>
        <xdr:cNvPr id="79" name="Straight Arrow Connector 78"/>
        <xdr:cNvCxnSpPr>
          <a:stCxn id="49" idx="1"/>
        </xdr:cNvCxnSpPr>
      </xdr:nvCxnSpPr>
      <xdr:spPr>
        <a:xfrm flipH="1">
          <a:off x="552451" y="18954750"/>
          <a:ext cx="714374" cy="9525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180975</xdr:colOff>
      <xdr:row>62</xdr:row>
      <xdr:rowOff>152400</xdr:rowOff>
    </xdr:from>
    <xdr:to>
      <xdr:col>1</xdr:col>
      <xdr:colOff>525463</xdr:colOff>
      <xdr:row>63</xdr:row>
      <xdr:rowOff>161925</xdr:rowOff>
    </xdr:to>
    <xdr:pic>
      <xdr:nvPicPr>
        <xdr:cNvPr id="1170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371475" y="18697575"/>
          <a:ext cx="344488" cy="2000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2</xdr:col>
      <xdr:colOff>342900</xdr:colOff>
      <xdr:row>65</xdr:row>
      <xdr:rowOff>57150</xdr:rowOff>
    </xdr:from>
    <xdr:to>
      <xdr:col>3</xdr:col>
      <xdr:colOff>381000</xdr:colOff>
      <xdr:row>65</xdr:row>
      <xdr:rowOff>69342</xdr:rowOff>
    </xdr:to>
    <xdr:cxnSp macro="">
      <xdr:nvCxnSpPr>
        <xdr:cNvPr id="84" name="Straight Arrow Connector 83"/>
        <xdr:cNvCxnSpPr/>
      </xdr:nvCxnSpPr>
      <xdr:spPr>
        <a:xfrm flipH="1">
          <a:off x="1819275" y="19173825"/>
          <a:ext cx="914400" cy="12192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295275</xdr:colOff>
      <xdr:row>62</xdr:row>
      <xdr:rowOff>142875</xdr:rowOff>
    </xdr:from>
    <xdr:to>
      <xdr:col>4</xdr:col>
      <xdr:colOff>781050</xdr:colOff>
      <xdr:row>64</xdr:row>
      <xdr:rowOff>18256</xdr:rowOff>
    </xdr:to>
    <xdr:pic>
      <xdr:nvPicPr>
        <xdr:cNvPr id="1172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3257550" y="18688050"/>
          <a:ext cx="485775" cy="25638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676275</xdr:colOff>
      <xdr:row>62</xdr:row>
      <xdr:rowOff>85725</xdr:rowOff>
    </xdr:from>
    <xdr:to>
      <xdr:col>5</xdr:col>
      <xdr:colOff>581025</xdr:colOff>
      <xdr:row>62</xdr:row>
      <xdr:rowOff>97536</xdr:rowOff>
    </xdr:to>
    <xdr:cxnSp macro="">
      <xdr:nvCxnSpPr>
        <xdr:cNvPr id="86" name="Straight Arrow Connector 85"/>
        <xdr:cNvCxnSpPr/>
      </xdr:nvCxnSpPr>
      <xdr:spPr>
        <a:xfrm flipH="1">
          <a:off x="3638550" y="18630900"/>
          <a:ext cx="885825" cy="11811"/>
        </a:xfrm>
        <a:prstGeom prst="straightConnector1">
          <a:avLst/>
        </a:prstGeom>
        <a:ln w="285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514350</xdr:colOff>
      <xdr:row>66</xdr:row>
      <xdr:rowOff>38100</xdr:rowOff>
    </xdr:from>
    <xdr:to>
      <xdr:col>2</xdr:col>
      <xdr:colOff>657225</xdr:colOff>
      <xdr:row>67</xdr:row>
      <xdr:rowOff>28575</xdr:rowOff>
    </xdr:to>
    <xdr:pic>
      <xdr:nvPicPr>
        <xdr:cNvPr id="1173" name="Picture 14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90725" y="19345275"/>
          <a:ext cx="142875" cy="180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781050</xdr:colOff>
      <xdr:row>65</xdr:row>
      <xdr:rowOff>95250</xdr:rowOff>
    </xdr:from>
    <xdr:to>
      <xdr:col>4</xdr:col>
      <xdr:colOff>962025</xdr:colOff>
      <xdr:row>66</xdr:row>
      <xdr:rowOff>85725</xdr:rowOff>
    </xdr:to>
    <xdr:pic>
      <xdr:nvPicPr>
        <xdr:cNvPr id="1174" name="Picture 15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3743325" y="19211925"/>
          <a:ext cx="180975" cy="180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952500</xdr:colOff>
      <xdr:row>63</xdr:row>
      <xdr:rowOff>171450</xdr:rowOff>
    </xdr:from>
    <xdr:to>
      <xdr:col>5</xdr:col>
      <xdr:colOff>171450</xdr:colOff>
      <xdr:row>64</xdr:row>
      <xdr:rowOff>161925</xdr:rowOff>
    </xdr:to>
    <xdr:pic>
      <xdr:nvPicPr>
        <xdr:cNvPr id="1175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3914775" y="18907125"/>
          <a:ext cx="200025" cy="180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628650</xdr:colOff>
      <xdr:row>62</xdr:row>
      <xdr:rowOff>47625</xdr:rowOff>
    </xdr:from>
    <xdr:to>
      <xdr:col>2</xdr:col>
      <xdr:colOff>828675</xdr:colOff>
      <xdr:row>63</xdr:row>
      <xdr:rowOff>38100</xdr:rowOff>
    </xdr:to>
    <xdr:pic>
      <xdr:nvPicPr>
        <xdr:cNvPr id="99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105025" y="18592800"/>
          <a:ext cx="200025" cy="180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4</xdr:col>
      <xdr:colOff>923925</xdr:colOff>
      <xdr:row>55</xdr:row>
      <xdr:rowOff>76200</xdr:rowOff>
    </xdr:from>
    <xdr:to>
      <xdr:col>5</xdr:col>
      <xdr:colOff>228600</xdr:colOff>
      <xdr:row>59</xdr:row>
      <xdr:rowOff>28575</xdr:rowOff>
    </xdr:to>
    <xdr:sp macro="" textlink="">
      <xdr:nvSpPr>
        <xdr:cNvPr id="100" name="Right Brace 99"/>
        <xdr:cNvSpPr/>
      </xdr:nvSpPr>
      <xdr:spPr>
        <a:xfrm>
          <a:off x="3924300" y="17135475"/>
          <a:ext cx="285750" cy="1524000"/>
        </a:xfrm>
        <a:prstGeom prst="rightBrace">
          <a:avLst>
            <a:gd name="adj1" fmla="val 8333"/>
            <a:gd name="adj2" fmla="val 60227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219075</xdr:colOff>
      <xdr:row>76</xdr:row>
      <xdr:rowOff>28575</xdr:rowOff>
    </xdr:from>
    <xdr:to>
      <xdr:col>8</xdr:col>
      <xdr:colOff>1066800</xdr:colOff>
      <xdr:row>76</xdr:row>
      <xdr:rowOff>2600678</xdr:rowOff>
    </xdr:to>
    <xdr:pic>
      <xdr:nvPicPr>
        <xdr:cNvPr id="104" name="Picture 154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200525" y="22098000"/>
          <a:ext cx="3019425" cy="25721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7</xdr:col>
      <xdr:colOff>371475</xdr:colOff>
      <xdr:row>60</xdr:row>
      <xdr:rowOff>0</xdr:rowOff>
    </xdr:from>
    <xdr:to>
      <xdr:col>7</xdr:col>
      <xdr:colOff>504825</xdr:colOff>
      <xdr:row>68</xdr:row>
      <xdr:rowOff>0</xdr:rowOff>
    </xdr:to>
    <xdr:sp macro="" textlink="">
      <xdr:nvSpPr>
        <xdr:cNvPr id="108" name="Rectangle 107"/>
        <xdr:cNvSpPr/>
      </xdr:nvSpPr>
      <xdr:spPr>
        <a:xfrm>
          <a:off x="5924550" y="18164175"/>
          <a:ext cx="133350" cy="1524000"/>
        </a:xfrm>
        <a:prstGeom prst="rect">
          <a:avLst/>
        </a:prstGeom>
        <a:solidFill>
          <a:srgbClr val="DDDDDD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7</xdr:col>
      <xdr:colOff>504824</xdr:colOff>
      <xdr:row>60</xdr:row>
      <xdr:rowOff>9525</xdr:rowOff>
    </xdr:from>
    <xdr:to>
      <xdr:col>8</xdr:col>
      <xdr:colOff>66674</xdr:colOff>
      <xdr:row>60</xdr:row>
      <xdr:rowOff>190499</xdr:rowOff>
    </xdr:to>
    <xdr:sp macro="" textlink="">
      <xdr:nvSpPr>
        <xdr:cNvPr id="112" name="Rectangle 111"/>
        <xdr:cNvSpPr/>
      </xdr:nvSpPr>
      <xdr:spPr>
        <a:xfrm>
          <a:off x="6057899" y="18173700"/>
          <a:ext cx="123825" cy="180974"/>
        </a:xfrm>
        <a:prstGeom prst="rect">
          <a:avLst/>
        </a:prstGeom>
        <a:blipFill>
          <a:blip xmlns:r="http://schemas.openxmlformats.org/officeDocument/2006/relationships" r:embed="rId33" cstate="print"/>
          <a:stretch>
            <a:fillRect/>
          </a:stretch>
        </a:blip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685800</xdr:colOff>
      <xdr:row>60</xdr:row>
      <xdr:rowOff>187303</xdr:rowOff>
    </xdr:from>
    <xdr:to>
      <xdr:col>9</xdr:col>
      <xdr:colOff>171450</xdr:colOff>
      <xdr:row>61</xdr:row>
      <xdr:rowOff>8952</xdr:rowOff>
    </xdr:to>
    <xdr:cxnSp macro="">
      <xdr:nvCxnSpPr>
        <xdr:cNvPr id="114" name="Straight Connector 113"/>
        <xdr:cNvCxnSpPr/>
      </xdr:nvCxnSpPr>
      <xdr:spPr>
        <a:xfrm>
          <a:off x="876300" y="18351478"/>
          <a:ext cx="7077075" cy="12149"/>
        </a:xfrm>
        <a:prstGeom prst="line">
          <a:avLst/>
        </a:prstGeom>
        <a:ln w="3175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1352550</xdr:colOff>
      <xdr:row>61</xdr:row>
      <xdr:rowOff>38100</xdr:rowOff>
    </xdr:from>
    <xdr:to>
      <xdr:col>9</xdr:col>
      <xdr:colOff>82743</xdr:colOff>
      <xdr:row>61</xdr:row>
      <xdr:rowOff>161925</xdr:rowOff>
    </xdr:to>
    <xdr:sp macro="" textlink="">
      <xdr:nvSpPr>
        <xdr:cNvPr id="123" name="Freeform 122"/>
        <xdr:cNvSpPr/>
      </xdr:nvSpPr>
      <xdr:spPr>
        <a:xfrm>
          <a:off x="7467600" y="18392775"/>
          <a:ext cx="397068" cy="123825"/>
        </a:xfrm>
        <a:custGeom>
          <a:avLst/>
          <a:gdLst>
            <a:gd name="connsiteX0" fmla="*/ 0 w 397068"/>
            <a:gd name="connsiteY0" fmla="*/ 0 h 123825"/>
            <a:gd name="connsiteX1" fmla="*/ 390525 w 397068"/>
            <a:gd name="connsiteY1" fmla="*/ 4762 h 123825"/>
            <a:gd name="connsiteX2" fmla="*/ 371475 w 397068"/>
            <a:gd name="connsiteY2" fmla="*/ 9525 h 123825"/>
            <a:gd name="connsiteX3" fmla="*/ 323850 w 397068"/>
            <a:gd name="connsiteY3" fmla="*/ 14287 h 123825"/>
            <a:gd name="connsiteX4" fmla="*/ 147638 w 397068"/>
            <a:gd name="connsiteY4" fmla="*/ 23812 h 123825"/>
            <a:gd name="connsiteX5" fmla="*/ 128588 w 397068"/>
            <a:gd name="connsiteY5" fmla="*/ 28575 h 123825"/>
            <a:gd name="connsiteX6" fmla="*/ 42863 w 397068"/>
            <a:gd name="connsiteY6" fmla="*/ 33337 h 123825"/>
            <a:gd name="connsiteX7" fmla="*/ 114300 w 397068"/>
            <a:gd name="connsiteY7" fmla="*/ 42862 h 123825"/>
            <a:gd name="connsiteX8" fmla="*/ 133350 w 397068"/>
            <a:gd name="connsiteY8" fmla="*/ 47625 h 123825"/>
            <a:gd name="connsiteX9" fmla="*/ 157163 w 397068"/>
            <a:gd name="connsiteY9" fmla="*/ 52387 h 123825"/>
            <a:gd name="connsiteX10" fmla="*/ 333375 w 397068"/>
            <a:gd name="connsiteY10" fmla="*/ 61912 h 123825"/>
            <a:gd name="connsiteX11" fmla="*/ 304800 w 397068"/>
            <a:gd name="connsiteY11" fmla="*/ 66675 h 123825"/>
            <a:gd name="connsiteX12" fmla="*/ 257175 w 397068"/>
            <a:gd name="connsiteY12" fmla="*/ 71437 h 123825"/>
            <a:gd name="connsiteX13" fmla="*/ 242888 w 397068"/>
            <a:gd name="connsiteY13" fmla="*/ 76200 h 123825"/>
            <a:gd name="connsiteX14" fmla="*/ 204788 w 397068"/>
            <a:gd name="connsiteY14" fmla="*/ 85725 h 123825"/>
            <a:gd name="connsiteX15" fmla="*/ 185738 w 397068"/>
            <a:gd name="connsiteY15" fmla="*/ 90487 h 123825"/>
            <a:gd name="connsiteX16" fmla="*/ 171450 w 397068"/>
            <a:gd name="connsiteY16" fmla="*/ 95250 h 123825"/>
            <a:gd name="connsiteX17" fmla="*/ 190500 w 397068"/>
            <a:gd name="connsiteY17" fmla="*/ 100012 h 123825"/>
            <a:gd name="connsiteX18" fmla="*/ 204788 w 397068"/>
            <a:gd name="connsiteY18" fmla="*/ 104775 h 123825"/>
            <a:gd name="connsiteX19" fmla="*/ 242888 w 397068"/>
            <a:gd name="connsiteY19" fmla="*/ 109537 h 123825"/>
            <a:gd name="connsiteX20" fmla="*/ 223838 w 397068"/>
            <a:gd name="connsiteY20" fmla="*/ 123825 h 1238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397068" h="123825">
              <a:moveTo>
                <a:pt x="0" y="0"/>
              </a:moveTo>
              <a:lnTo>
                <a:pt x="390525" y="4762"/>
              </a:lnTo>
              <a:cubicBezTo>
                <a:pt x="397068" y="4930"/>
                <a:pt x="377955" y="8599"/>
                <a:pt x="371475" y="9525"/>
              </a:cubicBezTo>
              <a:cubicBezTo>
                <a:pt x="355681" y="11781"/>
                <a:pt x="339725" y="12700"/>
                <a:pt x="323850" y="14287"/>
              </a:cubicBezTo>
              <a:cubicBezTo>
                <a:pt x="251476" y="32382"/>
                <a:pt x="331185" y="13890"/>
                <a:pt x="147638" y="23812"/>
              </a:cubicBezTo>
              <a:cubicBezTo>
                <a:pt x="141102" y="24165"/>
                <a:pt x="135107" y="27982"/>
                <a:pt x="128588" y="28575"/>
              </a:cubicBezTo>
              <a:cubicBezTo>
                <a:pt x="100086" y="31166"/>
                <a:pt x="71438" y="31750"/>
                <a:pt x="42863" y="33337"/>
              </a:cubicBezTo>
              <a:cubicBezTo>
                <a:pt x="103502" y="45466"/>
                <a:pt x="16869" y="28943"/>
                <a:pt x="114300" y="42862"/>
              </a:cubicBezTo>
              <a:cubicBezTo>
                <a:pt x="120780" y="43788"/>
                <a:pt x="126960" y="46205"/>
                <a:pt x="133350" y="47625"/>
              </a:cubicBezTo>
              <a:cubicBezTo>
                <a:pt x="141252" y="49381"/>
                <a:pt x="149139" y="51317"/>
                <a:pt x="157163" y="52387"/>
              </a:cubicBezTo>
              <a:cubicBezTo>
                <a:pt x="216219" y="60261"/>
                <a:pt x="272851" y="59671"/>
                <a:pt x="333375" y="61912"/>
              </a:cubicBezTo>
              <a:cubicBezTo>
                <a:pt x="323850" y="63500"/>
                <a:pt x="314382" y="65477"/>
                <a:pt x="304800" y="66675"/>
              </a:cubicBezTo>
              <a:cubicBezTo>
                <a:pt x="288969" y="68654"/>
                <a:pt x="272944" y="69011"/>
                <a:pt x="257175" y="71437"/>
              </a:cubicBezTo>
              <a:cubicBezTo>
                <a:pt x="252213" y="72200"/>
                <a:pt x="247731" y="74879"/>
                <a:pt x="242888" y="76200"/>
              </a:cubicBezTo>
              <a:cubicBezTo>
                <a:pt x="230258" y="79645"/>
                <a:pt x="217488" y="82550"/>
                <a:pt x="204788" y="85725"/>
              </a:cubicBezTo>
              <a:cubicBezTo>
                <a:pt x="198438" y="87312"/>
                <a:pt x="191947" y="88417"/>
                <a:pt x="185738" y="90487"/>
              </a:cubicBezTo>
              <a:lnTo>
                <a:pt x="171450" y="95250"/>
              </a:lnTo>
              <a:cubicBezTo>
                <a:pt x="177800" y="96837"/>
                <a:pt x="184206" y="98214"/>
                <a:pt x="190500" y="100012"/>
              </a:cubicBezTo>
              <a:cubicBezTo>
                <a:pt x="195327" y="101391"/>
                <a:pt x="199849" y="103877"/>
                <a:pt x="204788" y="104775"/>
              </a:cubicBezTo>
              <a:cubicBezTo>
                <a:pt x="217380" y="107065"/>
                <a:pt x="230188" y="107950"/>
                <a:pt x="242888" y="109537"/>
              </a:cubicBezTo>
              <a:cubicBezTo>
                <a:pt x="226732" y="120307"/>
                <a:pt x="232647" y="115014"/>
                <a:pt x="223838" y="123825"/>
              </a:cubicBezTo>
            </a:path>
          </a:pathLst>
        </a:cu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81643</xdr:colOff>
      <xdr:row>62</xdr:row>
      <xdr:rowOff>161925</xdr:rowOff>
    </xdr:from>
    <xdr:to>
      <xdr:col>2</xdr:col>
      <xdr:colOff>285750</xdr:colOff>
      <xdr:row>63</xdr:row>
      <xdr:rowOff>161925</xdr:rowOff>
    </xdr:to>
    <xdr:pic>
      <xdr:nvPicPr>
        <xdr:cNvPr id="1181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558018" y="18707100"/>
          <a:ext cx="204107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9525</xdr:colOff>
      <xdr:row>62</xdr:row>
      <xdr:rowOff>142875</xdr:rowOff>
    </xdr:from>
    <xdr:to>
      <xdr:col>4</xdr:col>
      <xdr:colOff>213632</xdr:colOff>
      <xdr:row>63</xdr:row>
      <xdr:rowOff>142875</xdr:rowOff>
    </xdr:to>
    <xdr:pic>
      <xdr:nvPicPr>
        <xdr:cNvPr id="125" name="Picture 157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3009900" y="18688050"/>
          <a:ext cx="204107" cy="190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6</xdr:col>
      <xdr:colOff>800100</xdr:colOff>
      <xdr:row>62</xdr:row>
      <xdr:rowOff>171450</xdr:rowOff>
    </xdr:from>
    <xdr:to>
      <xdr:col>7</xdr:col>
      <xdr:colOff>180975</xdr:colOff>
      <xdr:row>63</xdr:row>
      <xdr:rowOff>185420</xdr:rowOff>
    </xdr:to>
    <xdr:pic>
      <xdr:nvPicPr>
        <xdr:cNvPr id="1182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553075" y="18716625"/>
          <a:ext cx="219075" cy="2044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171450</xdr:colOff>
      <xdr:row>76</xdr:row>
      <xdr:rowOff>47625</xdr:rowOff>
    </xdr:from>
    <xdr:to>
      <xdr:col>2</xdr:col>
      <xdr:colOff>619125</xdr:colOff>
      <xdr:row>76</xdr:row>
      <xdr:rowOff>561975</xdr:rowOff>
    </xdr:to>
    <xdr:pic>
      <xdr:nvPicPr>
        <xdr:cNvPr id="1183" name="Picture 159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361950" y="21431250"/>
          <a:ext cx="1733550" cy="514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161925</xdr:colOff>
      <xdr:row>74</xdr:row>
      <xdr:rowOff>19050</xdr:rowOff>
    </xdr:from>
    <xdr:to>
      <xdr:col>2</xdr:col>
      <xdr:colOff>752475</xdr:colOff>
      <xdr:row>75</xdr:row>
      <xdr:rowOff>9525</xdr:rowOff>
    </xdr:to>
    <xdr:pic>
      <xdr:nvPicPr>
        <xdr:cNvPr id="1185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352425" y="21631275"/>
          <a:ext cx="1876425" cy="180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76200</xdr:colOff>
      <xdr:row>59</xdr:row>
      <xdr:rowOff>85725</xdr:rowOff>
    </xdr:from>
    <xdr:to>
      <xdr:col>1</xdr:col>
      <xdr:colOff>1181100</xdr:colOff>
      <xdr:row>59</xdr:row>
      <xdr:rowOff>447675</xdr:rowOff>
    </xdr:to>
    <xdr:pic>
      <xdr:nvPicPr>
        <xdr:cNvPr id="1165" name="Picture 141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76200" y="18716625"/>
          <a:ext cx="1295400" cy="361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28576</xdr:colOff>
      <xdr:row>55</xdr:row>
      <xdr:rowOff>47627</xdr:rowOff>
    </xdr:from>
    <xdr:to>
      <xdr:col>3</xdr:col>
      <xdr:colOff>39736</xdr:colOff>
      <xdr:row>56</xdr:row>
      <xdr:rowOff>333375</xdr:rowOff>
    </xdr:to>
    <xdr:pic>
      <xdr:nvPicPr>
        <xdr:cNvPr id="2" name="Picture 14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28576" y="17106902"/>
          <a:ext cx="2401935" cy="67627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38100</xdr:colOff>
      <xdr:row>57</xdr:row>
      <xdr:rowOff>47625</xdr:rowOff>
    </xdr:from>
    <xdr:to>
      <xdr:col>3</xdr:col>
      <xdr:colOff>28575</xdr:colOff>
      <xdr:row>58</xdr:row>
      <xdr:rowOff>287487</xdr:rowOff>
    </xdr:to>
    <xdr:pic>
      <xdr:nvPicPr>
        <xdr:cNvPr id="116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38100" y="17878425"/>
          <a:ext cx="2381250" cy="65896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oneCellAnchor>
    <xdr:from>
      <xdr:col>3</xdr:col>
      <xdr:colOff>285750</xdr:colOff>
      <xdr:row>45</xdr:row>
      <xdr:rowOff>14287</xdr:rowOff>
    </xdr:from>
    <xdr:ext cx="2933700" cy="5191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2676525" y="12634912"/>
              <a:ext cx="2933700" cy="519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en-US" sz="1600" b="1" i="1">
                          <a:latin typeface="Cambria Math" panose="02040503050406030204" pitchFamily="18" charset="0"/>
                          <a:cs typeface="David" pitchFamily="34" charset="-79"/>
                        </a:rPr>
                      </m:ctrlPr>
                    </m:sSubPr>
                    <m:e>
                      <m:r>
                        <a:rPr lang="en-US" sz="1600" b="1" i="1">
                          <a:latin typeface="Cambria Math"/>
                          <a:cs typeface="David" pitchFamily="34" charset="-79"/>
                        </a:rPr>
                        <m:t>𝑻</m:t>
                      </m:r>
                    </m:e>
                    <m:sub>
                      <m:r>
                        <a:rPr lang="en-US" sz="1600" b="1" i="1">
                          <a:latin typeface="Cambria Math"/>
                          <a:cs typeface="David" pitchFamily="34" charset="-79"/>
                        </a:rPr>
                        <m:t>𝒄</m:t>
                      </m:r>
                    </m:sub>
                  </m:sSub>
                </m:oMath>
              </a14:m>
              <a:r>
                <a:rPr lang="en-US" sz="1600" b="1">
                  <a:latin typeface="David" pitchFamily="34" charset="-79"/>
                  <a:cs typeface="David" pitchFamily="34" charset="-79"/>
                </a:rPr>
                <a:t> = </a:t>
              </a:r>
              <a14:m>
                <m:oMath xmlns:m="http://schemas.openxmlformats.org/officeDocument/2006/math">
                  <m:f>
                    <m:fPr>
                      <m:ctrlPr>
                        <a:rPr lang="en-US" sz="1600" b="1" i="1">
                          <a:latin typeface="Cambria Math" panose="02040503050406030204" pitchFamily="18" charset="0"/>
                          <a:cs typeface="David" pitchFamily="34" charset="-79"/>
                        </a:rPr>
                      </m:ctrlPr>
                    </m:fPr>
                    <m:num>
                      <m:r>
                        <a:rPr lang="en-US" sz="1600" b="1" i="1">
                          <a:latin typeface="Cambria Math"/>
                          <a:cs typeface="David" pitchFamily="34" charset="-79"/>
                        </a:rPr>
                        <m:t>𝟐</m:t>
                      </m:r>
                      <m:r>
                        <a:rPr lang="en-US" sz="1600" b="1" i="0">
                          <a:latin typeface="Cambria Math"/>
                          <a:ea typeface="Cambria Math"/>
                          <a:cs typeface="David" pitchFamily="34" charset="-79"/>
                        </a:rPr>
                        <m:t>𝚷</m:t>
                      </m:r>
                    </m:num>
                    <m:den>
                      <m:sSub>
                        <m:sSubPr>
                          <m:ctrlPr>
                            <a:rPr lang="en-US" sz="1600" b="1" i="1">
                              <a:latin typeface="Cambria Math" panose="02040503050406030204" pitchFamily="18" charset="0"/>
                              <a:cs typeface="David" pitchFamily="34" charset="-79"/>
                            </a:rPr>
                          </m:ctrlPr>
                        </m:sSubPr>
                        <m:e>
                          <m:r>
                            <a:rPr lang="en-US" sz="1600" b="1" i="1">
                              <a:latin typeface="Cambria Math"/>
                              <a:ea typeface="Cambria Math"/>
                              <a:cs typeface="David" pitchFamily="34" charset="-79"/>
                            </a:rPr>
                            <m:t>𝝎</m:t>
                          </m:r>
                        </m:e>
                        <m:sub>
                          <m:r>
                            <a:rPr lang="en-US" sz="1600" b="1" i="1">
                              <a:latin typeface="Cambria Math"/>
                              <a:cs typeface="David" pitchFamily="34" charset="-79"/>
                            </a:rPr>
                            <m:t>𝒄</m:t>
                          </m:r>
                        </m:sub>
                      </m:sSub>
                    </m:den>
                  </m:f>
                  <m:r>
                    <a:rPr lang="en-US" sz="1600" b="1" i="1">
                      <a:latin typeface="Cambria Math"/>
                      <a:cs typeface="David" pitchFamily="34" charset="-79"/>
                    </a:rPr>
                    <m:t>=</m:t>
                  </m:r>
                  <m:r>
                    <a:rPr lang="en-US" sz="1100" b="1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𝟐</m:t>
                  </m:r>
                  <m:r>
                    <a:rPr lang="en-US" sz="1100" b="1" i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𝚷</m:t>
                  </m:r>
                  <m:rad>
                    <m:radPr>
                      <m:degHide m:val="on"/>
                      <m:ctrlPr>
                        <a:rPr lang="en-US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f>
                        <m:fPr>
                          <m:ctrlPr>
                            <a:rPr lang="en-US" sz="11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𝑾</m:t>
                              </m:r>
                            </m:e>
                            <m:sub>
                              <m: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𝒄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𝒈𝒌</m:t>
                              </m:r>
                            </m:e>
                            <m:sub>
                              <m: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/>
                                  <a:ea typeface="+mn-ea"/>
                                  <a:cs typeface="+mn-cs"/>
                                </a:rPr>
                                <m:t>𝒄</m:t>
                              </m:r>
                            </m:sub>
                          </m:sSub>
                        </m:den>
                      </m:f>
                    </m:e>
                  </m:rad>
                </m:oMath>
              </a14:m>
              <a:r>
                <a:rPr lang="en-US" sz="1600" b="1">
                  <a:latin typeface="David" pitchFamily="34" charset="-79"/>
                  <a:cs typeface="David" pitchFamily="34" charset="-79"/>
                </a:rPr>
                <a:t> , </a:t>
              </a:r>
              <a14:m>
                <m:oMath xmlns:m="http://schemas.openxmlformats.org/officeDocument/2006/math">
                  <m:r>
                    <a:rPr lang="en-US" sz="1600" b="1" i="1">
                      <a:latin typeface="Cambria Math"/>
                      <a:ea typeface="Cambria Math"/>
                      <a:cs typeface="David" pitchFamily="34" charset="-79"/>
                    </a:rPr>
                    <m:t>∴ </m:t>
                  </m:r>
                  <m:sSub>
                    <m:sSubPr>
                      <m:ctrlPr>
                        <a:rPr lang="en-US" sz="1600" b="1" i="1">
                          <a:latin typeface="Cambria Math" panose="02040503050406030204" pitchFamily="18" charset="0"/>
                          <a:ea typeface="Cambria Math"/>
                          <a:cs typeface="David" pitchFamily="34" charset="-79"/>
                        </a:rPr>
                      </m:ctrlPr>
                    </m:sSubPr>
                    <m:e>
                      <m:r>
                        <a:rPr lang="en-US" sz="1600" b="1" i="1">
                          <a:latin typeface="Cambria Math"/>
                          <a:ea typeface="Cambria Math"/>
                          <a:cs typeface="David" pitchFamily="34" charset="-79"/>
                        </a:rPr>
                        <m:t>𝑲</m:t>
                      </m:r>
                    </m:e>
                    <m:sub>
                      <m:r>
                        <a:rPr lang="en-US" sz="1600" b="1" i="1">
                          <a:latin typeface="Cambria Math"/>
                          <a:ea typeface="Cambria Math"/>
                          <a:cs typeface="David" pitchFamily="34" charset="-79"/>
                        </a:rPr>
                        <m:t>𝒄</m:t>
                      </m:r>
                    </m:sub>
                  </m:sSub>
                </m:oMath>
              </a14:m>
              <a:r>
                <a:rPr lang="en-US" sz="1600" b="1">
                  <a:latin typeface="David" pitchFamily="34" charset="-79"/>
                  <a:cs typeface="David" pitchFamily="34" charset="-79"/>
                </a:rPr>
                <a:t>= (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f>
                        <m:fPr>
                          <m:ctrlPr>
                            <a:rPr lang="en-US" sz="11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en-US" sz="11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𝟐</m:t>
                          </m:r>
                          <m:r>
                            <a:rPr lang="en-US" sz="1100" b="1" i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𝚷</m:t>
                          </m:r>
                        </m:num>
                        <m:den>
                          <m:sSub>
                            <m:sSubPr>
                              <m:ctrlP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𝑻</m:t>
                              </m:r>
                            </m:e>
                            <m:sub>
                              <m:r>
                                <a:rPr lang="en-US" sz="11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𝒄</m:t>
                              </m:r>
                            </m:sub>
                          </m:sSub>
                        </m:den>
                      </m:f>
                      <m:r>
                        <a:rPr lang="en-US" sz="1100" b="1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)</m:t>
                      </m:r>
                    </m:e>
                    <m:sup>
                      <m:r>
                        <a:rPr lang="en-US" sz="1100" b="1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𝟐</m:t>
                      </m:r>
                    </m:sup>
                  </m:sSup>
                  <m:r>
                    <a:rPr lang="en-US" sz="1100" b="1" i="1">
                      <a:solidFill>
                        <a:schemeClr val="tx1"/>
                      </a:solidFill>
                      <a:effectLst/>
                      <a:latin typeface="Cambria Math"/>
                      <a:ea typeface="+mn-ea"/>
                      <a:cs typeface="+mn-cs"/>
                    </a:rPr>
                    <m:t>∗</m:t>
                  </m:r>
                  <m:f>
                    <m:fPr>
                      <m:ctrlPr>
                        <a:rPr lang="en-US" sz="1100" b="1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b>
                        <m:sSubPr>
                          <m:ctrlPr>
                            <a:rPr lang="en-US" sz="11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1100" b="1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𝑾</m:t>
                          </m:r>
                        </m:e>
                        <m:sub>
                          <m:r>
                            <a:rPr lang="en-US" sz="1100" b="1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+mn-ea"/>
                              <a:cs typeface="+mn-cs"/>
                            </a:rPr>
                            <m:t>𝒄</m:t>
                          </m:r>
                        </m:sub>
                      </m:sSub>
                    </m:num>
                    <m:den>
                      <m:r>
                        <a:rPr lang="en-US" sz="1100" b="1" i="1">
                          <a:solidFill>
                            <a:schemeClr val="tx1"/>
                          </a:solidFill>
                          <a:effectLst/>
                          <a:latin typeface="Cambria Math"/>
                          <a:ea typeface="+mn-ea"/>
                          <a:cs typeface="+mn-cs"/>
                        </a:rPr>
                        <m:t>𝒈</m:t>
                      </m:r>
                    </m:den>
                  </m:f>
                </m:oMath>
              </a14:m>
              <a:endParaRPr lang="en-US" sz="1600" b="1">
                <a:latin typeface="David" pitchFamily="34" charset="-79"/>
                <a:cs typeface="David" pitchFamily="34" charset="-79"/>
              </a:endParaRPr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2676525" y="12634912"/>
              <a:ext cx="2933700" cy="5191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600" b="1" i="0">
                  <a:latin typeface="Cambria Math"/>
                  <a:cs typeface="David" pitchFamily="34" charset="-79"/>
                </a:rPr>
                <a:t>𝑻_𝒄</a:t>
              </a:r>
              <a:r>
                <a:rPr lang="en-US" sz="1600" b="1">
                  <a:latin typeface="David" pitchFamily="34" charset="-79"/>
                  <a:cs typeface="David" pitchFamily="34" charset="-79"/>
                </a:rPr>
                <a:t> = </a:t>
              </a:r>
              <a:r>
                <a:rPr lang="en-US" sz="1600" b="1" i="0">
                  <a:latin typeface="Cambria Math"/>
                  <a:cs typeface="David" pitchFamily="34" charset="-79"/>
                </a:rPr>
                <a:t>𝟐</a:t>
              </a:r>
              <a:r>
                <a:rPr lang="en-US" sz="1600" b="1" i="0">
                  <a:latin typeface="Cambria Math"/>
                  <a:ea typeface="Cambria Math"/>
                  <a:cs typeface="David" pitchFamily="34" charset="-79"/>
                </a:rPr>
                <a:t>𝚷/𝝎_</a:t>
              </a:r>
              <a:r>
                <a:rPr lang="en-US" sz="1600" b="1" i="0">
                  <a:latin typeface="Cambria Math"/>
                  <a:cs typeface="David" pitchFamily="34" charset="-79"/>
                </a:rPr>
                <a:t>𝒄 =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𝟐𝚷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√(𝑾_𝒄/〖𝒈𝒌〗_𝒄 )</a:t>
              </a:r>
              <a:r>
                <a:rPr lang="en-US" sz="1600" b="1">
                  <a:latin typeface="David" pitchFamily="34" charset="-79"/>
                  <a:cs typeface="David" pitchFamily="34" charset="-79"/>
                </a:rPr>
                <a:t> , </a:t>
              </a:r>
              <a:r>
                <a:rPr lang="en-US" sz="1600" b="1" i="0">
                  <a:latin typeface="Cambria Math"/>
                  <a:ea typeface="Cambria Math"/>
                  <a:cs typeface="David" pitchFamily="34" charset="-79"/>
                </a:rPr>
                <a:t>∴ 𝑲_𝒄</a:t>
              </a:r>
              <a:r>
                <a:rPr lang="en-US" sz="1600" b="1">
                  <a:latin typeface="David" pitchFamily="34" charset="-79"/>
                  <a:cs typeface="David" pitchFamily="34" charset="-79"/>
                </a:rPr>
                <a:t>= (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〖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𝟐𝚷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/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𝑻_𝒄</a:t>
              </a:r>
              <a:r>
                <a:rPr lang="en-US" sz="1100" b="1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 )〗^𝟐∗𝑾_𝒄/𝒈</a:t>
              </a:r>
              <a:endParaRPr lang="en-US" sz="1600" b="1">
                <a:latin typeface="David" pitchFamily="34" charset="-79"/>
                <a:cs typeface="David" pitchFamily="34" charset="-79"/>
              </a:endParaRPr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76200</xdr:rowOff>
    </xdr:from>
    <xdr:to>
      <xdr:col>8</xdr:col>
      <xdr:colOff>66675</xdr:colOff>
      <xdr:row>10</xdr:row>
      <xdr:rowOff>58825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" y="266700"/>
          <a:ext cx="4629150" cy="1973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390525</xdr:colOff>
      <xdr:row>11</xdr:row>
      <xdr:rowOff>28576</xdr:rowOff>
    </xdr:from>
    <xdr:to>
      <xdr:col>8</xdr:col>
      <xdr:colOff>66675</xdr:colOff>
      <xdr:row>22</xdr:row>
      <xdr:rowOff>156897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0525" y="2362201"/>
          <a:ext cx="4552950" cy="331919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476250</xdr:colOff>
      <xdr:row>22</xdr:row>
      <xdr:rowOff>142875</xdr:rowOff>
    </xdr:from>
    <xdr:to>
      <xdr:col>22</xdr:col>
      <xdr:colOff>1952625</xdr:colOff>
      <xdr:row>53</xdr:row>
      <xdr:rowOff>85725</xdr:rowOff>
    </xdr:to>
    <xdr:pic>
      <xdr:nvPicPr>
        <xdr:cNvPr id="14" name="Picture 17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53050" y="5705475"/>
          <a:ext cx="10010775" cy="5848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476250</xdr:colOff>
      <xdr:row>53</xdr:row>
      <xdr:rowOff>142875</xdr:rowOff>
    </xdr:from>
    <xdr:to>
      <xdr:col>22</xdr:col>
      <xdr:colOff>1704975</xdr:colOff>
      <xdr:row>68</xdr:row>
      <xdr:rowOff>57150</xdr:rowOff>
    </xdr:to>
    <xdr:pic>
      <xdr:nvPicPr>
        <xdr:cNvPr id="15" name="Picture 20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353050" y="11610975"/>
          <a:ext cx="9763125" cy="2771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438150</xdr:colOff>
      <xdr:row>4</xdr:row>
      <xdr:rowOff>19050</xdr:rowOff>
    </xdr:from>
    <xdr:to>
      <xdr:col>20</xdr:col>
      <xdr:colOff>533400</xdr:colOff>
      <xdr:row>4</xdr:row>
      <xdr:rowOff>180975</xdr:rowOff>
    </xdr:to>
    <xdr:pic>
      <xdr:nvPicPr>
        <xdr:cNvPr id="16" name="Picture 8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630150" y="103822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438150</xdr:colOff>
      <xdr:row>5</xdr:row>
      <xdr:rowOff>19050</xdr:rowOff>
    </xdr:from>
    <xdr:to>
      <xdr:col>20</xdr:col>
      <xdr:colOff>533400</xdr:colOff>
      <xdr:row>5</xdr:row>
      <xdr:rowOff>180975</xdr:rowOff>
    </xdr:to>
    <xdr:pic>
      <xdr:nvPicPr>
        <xdr:cNvPr id="17" name="Picture 9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630150" y="122872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438150</xdr:colOff>
      <xdr:row>6</xdr:row>
      <xdr:rowOff>19050</xdr:rowOff>
    </xdr:from>
    <xdr:to>
      <xdr:col>20</xdr:col>
      <xdr:colOff>533400</xdr:colOff>
      <xdr:row>6</xdr:row>
      <xdr:rowOff>180975</xdr:rowOff>
    </xdr:to>
    <xdr:pic>
      <xdr:nvPicPr>
        <xdr:cNvPr id="18" name="Picture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630150" y="141922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438150</xdr:colOff>
      <xdr:row>7</xdr:row>
      <xdr:rowOff>19050</xdr:rowOff>
    </xdr:from>
    <xdr:to>
      <xdr:col>20</xdr:col>
      <xdr:colOff>533400</xdr:colOff>
      <xdr:row>7</xdr:row>
      <xdr:rowOff>180975</xdr:rowOff>
    </xdr:to>
    <xdr:pic>
      <xdr:nvPicPr>
        <xdr:cNvPr id="19" name="Picture 11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630150" y="160972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438150</xdr:colOff>
      <xdr:row>8</xdr:row>
      <xdr:rowOff>19050</xdr:rowOff>
    </xdr:from>
    <xdr:to>
      <xdr:col>20</xdr:col>
      <xdr:colOff>533400</xdr:colOff>
      <xdr:row>8</xdr:row>
      <xdr:rowOff>180975</xdr:rowOff>
    </xdr:to>
    <xdr:pic>
      <xdr:nvPicPr>
        <xdr:cNvPr id="20" name="Picture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630150" y="1809750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438150</xdr:colOff>
      <xdr:row>14</xdr:row>
      <xdr:rowOff>19050</xdr:rowOff>
    </xdr:from>
    <xdr:to>
      <xdr:col>20</xdr:col>
      <xdr:colOff>533400</xdr:colOff>
      <xdr:row>14</xdr:row>
      <xdr:rowOff>190500</xdr:rowOff>
    </xdr:to>
    <xdr:pic>
      <xdr:nvPicPr>
        <xdr:cNvPr id="21" name="Picture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630150" y="2981325"/>
          <a:ext cx="952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447675</xdr:colOff>
      <xdr:row>15</xdr:row>
      <xdr:rowOff>9525</xdr:rowOff>
    </xdr:from>
    <xdr:to>
      <xdr:col>20</xdr:col>
      <xdr:colOff>533400</xdr:colOff>
      <xdr:row>15</xdr:row>
      <xdr:rowOff>190500</xdr:rowOff>
    </xdr:to>
    <xdr:pic>
      <xdr:nvPicPr>
        <xdr:cNvPr id="22" name="Picture 4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639675" y="3171825"/>
          <a:ext cx="85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447675</xdr:colOff>
      <xdr:row>16</xdr:row>
      <xdr:rowOff>9525</xdr:rowOff>
    </xdr:from>
    <xdr:to>
      <xdr:col>20</xdr:col>
      <xdr:colOff>533400</xdr:colOff>
      <xdr:row>16</xdr:row>
      <xdr:rowOff>190500</xdr:rowOff>
    </xdr:to>
    <xdr:pic>
      <xdr:nvPicPr>
        <xdr:cNvPr id="23" name="Picture 5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639675" y="3895725"/>
          <a:ext cx="85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447675</xdr:colOff>
      <xdr:row>17</xdr:row>
      <xdr:rowOff>9525</xdr:rowOff>
    </xdr:from>
    <xdr:to>
      <xdr:col>20</xdr:col>
      <xdr:colOff>533400</xdr:colOff>
      <xdr:row>18</xdr:row>
      <xdr:rowOff>0</xdr:rowOff>
    </xdr:to>
    <xdr:pic>
      <xdr:nvPicPr>
        <xdr:cNvPr id="24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639675" y="4257675"/>
          <a:ext cx="85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447675</xdr:colOff>
      <xdr:row>18</xdr:row>
      <xdr:rowOff>9525</xdr:rowOff>
    </xdr:from>
    <xdr:to>
      <xdr:col>20</xdr:col>
      <xdr:colOff>533400</xdr:colOff>
      <xdr:row>18</xdr:row>
      <xdr:rowOff>190500</xdr:rowOff>
    </xdr:to>
    <xdr:pic>
      <xdr:nvPicPr>
        <xdr:cNvPr id="25" name="Picture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639675" y="4448175"/>
          <a:ext cx="857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</xdr:row>
      <xdr:rowOff>47625</xdr:rowOff>
    </xdr:from>
    <xdr:to>
      <xdr:col>0</xdr:col>
      <xdr:colOff>7239000</xdr:colOff>
      <xdr:row>46</xdr:row>
      <xdr:rowOff>47625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381125"/>
          <a:ext cx="7210425" cy="7296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1%20CODES%20&amp;%20AIDS\Design%20Aids\UBC%20CODE%20SHEETS\UBC97%20Earthquak%20Lateral%20Forces-edit%20protected%20-09-06-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1%20CODES%20&amp;%20AIDS\Design%20Aids\ECP%20EGYPTIAN%20CODE%20SHEETS\m.ali.abushady@gmail.com%20M%20Abu%20Shady%20Sheets\ECP201-2008%20Earthquak%20Lateral%20Forces%20-%20edit%20protected%20-%20password%20e12345e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smic Loads"/>
      <sheetName val="Tables"/>
      <sheetName val="response spectrum"/>
      <sheetName val="websites"/>
    </sheetNames>
    <sheetDataSet>
      <sheetData sheetId="0">
        <row r="7">
          <cell r="C7" t="str">
            <v>2B</v>
          </cell>
        </row>
        <row r="11">
          <cell r="C11">
            <v>1</v>
          </cell>
        </row>
        <row r="12">
          <cell r="C12">
            <v>1</v>
          </cell>
        </row>
        <row r="15">
          <cell r="C15">
            <v>5.5</v>
          </cell>
        </row>
        <row r="16">
          <cell r="C16">
            <v>7.3099999999999998E-2</v>
          </cell>
        </row>
        <row r="17">
          <cell r="C17">
            <v>13.5</v>
          </cell>
        </row>
        <row r="18">
          <cell r="C18">
            <v>16400</v>
          </cell>
        </row>
        <row r="19">
          <cell r="C19">
            <v>0.51483457261510779</v>
          </cell>
          <cell r="F19">
            <v>0.72109999999999996</v>
          </cell>
        </row>
        <row r="20">
          <cell r="C20">
            <v>1</v>
          </cell>
          <cell r="F20">
            <v>0.72109999999999996</v>
          </cell>
        </row>
        <row r="22">
          <cell r="C22">
            <v>8.0684812344776299E-2</v>
          </cell>
        </row>
        <row r="23">
          <cell r="C23">
            <v>0.10909090909090909</v>
          </cell>
        </row>
        <row r="24">
          <cell r="C24">
            <v>2.64E-2</v>
          </cell>
        </row>
        <row r="25">
          <cell r="C25">
            <v>2.9090909090909098E-2</v>
          </cell>
        </row>
        <row r="27">
          <cell r="C27">
            <v>8.0684812344776299E-2</v>
          </cell>
          <cell r="D27">
            <v>1323.2309224543312</v>
          </cell>
        </row>
        <row r="28">
          <cell r="C28">
            <v>66.792727272727276</v>
          </cell>
        </row>
        <row r="76">
          <cell r="B76">
            <v>16400</v>
          </cell>
          <cell r="C76">
            <v>13.5</v>
          </cell>
          <cell r="E76">
            <v>135000</v>
          </cell>
        </row>
        <row r="80">
          <cell r="C80">
            <v>0.53333333333333333</v>
          </cell>
        </row>
        <row r="81">
          <cell r="C81">
            <v>0.10666666666666667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smic Loads"/>
      <sheetName val="Tables"/>
      <sheetName val="Map8 &amp; Annex8-C"/>
      <sheetName val="response spectrum"/>
      <sheetName val="websites"/>
    </sheetNames>
    <sheetDataSet>
      <sheetData sheetId="0">
        <row r="7">
          <cell r="C7" t="str">
            <v>Type 1</v>
          </cell>
        </row>
        <row r="13">
          <cell r="E13">
            <v>0.1</v>
          </cell>
        </row>
        <row r="14">
          <cell r="E14">
            <v>1.2</v>
          </cell>
        </row>
        <row r="17">
          <cell r="C17" t="str">
            <v>RC bldg.</v>
          </cell>
        </row>
        <row r="18">
          <cell r="C18">
            <v>1</v>
          </cell>
        </row>
        <row r="23">
          <cell r="C23" t="str">
            <v>III</v>
          </cell>
        </row>
        <row r="26">
          <cell r="E26">
            <v>-6.436850312772803E-2</v>
          </cell>
        </row>
        <row r="27">
          <cell r="E27">
            <v>0.11249999999999999</v>
          </cell>
        </row>
        <row r="28">
          <cell r="E28">
            <v>4.9199741781635761E-2</v>
          </cell>
        </row>
        <row r="29">
          <cell r="E29">
            <v>0.10327955589886446</v>
          </cell>
        </row>
        <row r="32">
          <cell r="C32">
            <v>13</v>
          </cell>
          <cell r="E32">
            <v>4.9199741781635761E-2</v>
          </cell>
        </row>
        <row r="38">
          <cell r="D38">
            <v>1229.9935445408939</v>
          </cell>
        </row>
      </sheetData>
      <sheetData sheetId="1">
        <row r="4">
          <cell r="A4">
            <v>1</v>
          </cell>
        </row>
        <row r="14">
          <cell r="A14" t="str">
            <v>Type 1</v>
          </cell>
        </row>
        <row r="15">
          <cell r="A15" t="str">
            <v>Type 2</v>
          </cell>
        </row>
        <row r="28">
          <cell r="A28" t="str">
            <v>I</v>
          </cell>
          <cell r="B28">
            <v>1.4</v>
          </cell>
        </row>
        <row r="29">
          <cell r="A29" t="str">
            <v>II</v>
          </cell>
          <cell r="B29">
            <v>1.2</v>
          </cell>
        </row>
        <row r="30">
          <cell r="A30" t="str">
            <v>III</v>
          </cell>
          <cell r="B30">
            <v>1</v>
          </cell>
        </row>
        <row r="31">
          <cell r="A31" t="str">
            <v>IV</v>
          </cell>
          <cell r="B31">
            <v>0.8</v>
          </cell>
        </row>
        <row r="47">
          <cell r="A47">
            <v>2</v>
          </cell>
        </row>
        <row r="48">
          <cell r="A48">
            <v>3</v>
          </cell>
        </row>
        <row r="49">
          <cell r="A49">
            <v>3.5</v>
          </cell>
        </row>
        <row r="50">
          <cell r="A50">
            <v>4.5</v>
          </cell>
        </row>
        <row r="51">
          <cell r="A51">
            <v>5</v>
          </cell>
        </row>
        <row r="52">
          <cell r="A52">
            <v>6</v>
          </cell>
        </row>
        <row r="53">
          <cell r="A53">
            <v>7</v>
          </cell>
        </row>
        <row r="77">
          <cell r="A77" t="str">
            <v>Steel with welded connections</v>
          </cell>
          <cell r="B77">
            <v>1.2</v>
          </cell>
          <cell r="C77">
            <v>1</v>
          </cell>
        </row>
        <row r="78">
          <cell r="A78" t="str">
            <v>Steel with bolted or riveted connections</v>
          </cell>
          <cell r="B78">
            <v>1.05</v>
          </cell>
          <cell r="C78">
            <v>0.75</v>
          </cell>
        </row>
        <row r="79">
          <cell r="A79" t="str">
            <v>RC bldg.</v>
          </cell>
          <cell r="B79">
            <v>1</v>
          </cell>
          <cell r="C79">
            <v>0.7</v>
          </cell>
        </row>
        <row r="80">
          <cell r="A80" t="str">
            <v>Prestressed RC bldg.</v>
          </cell>
          <cell r="B80">
            <v>1.05</v>
          </cell>
          <cell r="C80">
            <v>0.75</v>
          </cell>
        </row>
        <row r="81">
          <cell r="A81" t="str">
            <v>C.M.U bldg.</v>
          </cell>
          <cell r="B81">
            <v>0.95</v>
          </cell>
          <cell r="C81">
            <v>0.65</v>
          </cell>
        </row>
        <row r="85">
          <cell r="A85" t="str">
            <v>A</v>
          </cell>
          <cell r="B85">
            <v>1</v>
          </cell>
          <cell r="C85">
            <v>0.05</v>
          </cell>
          <cell r="D85">
            <v>0.25</v>
          </cell>
          <cell r="E85">
            <v>1.2</v>
          </cell>
        </row>
        <row r="86">
          <cell r="A86" t="str">
            <v>B</v>
          </cell>
          <cell r="B86">
            <v>1.35</v>
          </cell>
          <cell r="C86">
            <v>0.05</v>
          </cell>
          <cell r="D86">
            <v>0.25</v>
          </cell>
          <cell r="E86">
            <v>1.2</v>
          </cell>
        </row>
        <row r="87">
          <cell r="A87" t="str">
            <v>C</v>
          </cell>
          <cell r="B87">
            <v>1.5</v>
          </cell>
          <cell r="C87">
            <v>0.1</v>
          </cell>
          <cell r="D87">
            <v>0.25</v>
          </cell>
          <cell r="E87">
            <v>1.2</v>
          </cell>
        </row>
        <row r="88">
          <cell r="A88" t="str">
            <v>D</v>
          </cell>
          <cell r="B88">
            <v>1.8</v>
          </cell>
          <cell r="C88">
            <v>0.1</v>
          </cell>
          <cell r="D88">
            <v>0.3</v>
          </cell>
          <cell r="E88">
            <v>1.2</v>
          </cell>
        </row>
        <row r="92">
          <cell r="A92" t="str">
            <v>A</v>
          </cell>
          <cell r="B92">
            <v>1</v>
          </cell>
          <cell r="C92">
            <v>0.15</v>
          </cell>
          <cell r="D92">
            <v>0.4</v>
          </cell>
          <cell r="E92">
            <v>2</v>
          </cell>
        </row>
        <row r="93">
          <cell r="A93" t="str">
            <v>B</v>
          </cell>
          <cell r="B93">
            <v>1.2</v>
          </cell>
          <cell r="C93">
            <v>0.15</v>
          </cell>
          <cell r="D93">
            <v>0.5</v>
          </cell>
          <cell r="E93">
            <v>2</v>
          </cell>
        </row>
        <row r="94">
          <cell r="A94" t="str">
            <v>C</v>
          </cell>
          <cell r="B94">
            <v>1.25</v>
          </cell>
          <cell r="C94">
            <v>0.2</v>
          </cell>
          <cell r="D94">
            <v>0.6</v>
          </cell>
          <cell r="E94">
            <v>2</v>
          </cell>
        </row>
        <row r="95">
          <cell r="A95" t="str">
            <v>D</v>
          </cell>
          <cell r="B95">
            <v>1.35</v>
          </cell>
          <cell r="C95">
            <v>0.2</v>
          </cell>
          <cell r="D95">
            <v>0.8</v>
          </cell>
          <cell r="E95">
            <v>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nicee.org/IITK-GSDMA_Codes.php" TargetMode="External"/><Relationship Id="rId1" Type="http://schemas.openxmlformats.org/officeDocument/2006/relationships/hyperlink" Target="http://www.iitk.ac.in/nicee/IITK-GSDMA/EQ08.pdf" TargetMode="Externa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77"/>
  <sheetViews>
    <sheetView view="pageBreakPreview" zoomScaleSheetLayoutView="100" workbookViewId="0">
      <selection activeCell="M11" sqref="M11"/>
    </sheetView>
  </sheetViews>
  <sheetFormatPr defaultRowHeight="15"/>
  <cols>
    <col min="1" max="1" width="2.85546875" style="6" customWidth="1"/>
    <col min="2" max="2" width="19.28515625" style="6" customWidth="1"/>
    <col min="3" max="3" width="13.7109375" style="6" customWidth="1"/>
    <col min="4" max="4" width="9.140625" style="6" customWidth="1"/>
    <col min="5" max="5" width="14.7109375" style="6" customWidth="1"/>
    <col min="6" max="6" width="11.5703125" style="6" customWidth="1"/>
    <col min="7" max="7" width="12.5703125" style="6" customWidth="1"/>
    <col min="8" max="8" width="8.42578125" style="6" customWidth="1"/>
    <col min="9" max="9" width="25" style="6" customWidth="1"/>
    <col min="10" max="10" width="3.140625" style="6" customWidth="1"/>
    <col min="11" max="11" width="9.140625" style="6"/>
    <col min="12" max="12" width="12" style="6" bestFit="1" customWidth="1"/>
    <col min="13" max="13" width="9.140625" style="6" customWidth="1"/>
    <col min="14" max="14" width="6.5703125" style="6" customWidth="1"/>
    <col min="15" max="15" width="9.140625" style="6"/>
    <col min="16" max="16" width="12.5703125" style="6" customWidth="1"/>
    <col min="17" max="16384" width="9.140625" style="6"/>
  </cols>
  <sheetData>
    <row r="1" spans="1:14" ht="16.5" customHeight="1">
      <c r="A1" s="51" t="s">
        <v>58</v>
      </c>
      <c r="B1" s="52"/>
      <c r="C1" s="52"/>
      <c r="D1" s="52"/>
      <c r="E1" s="52"/>
      <c r="F1" s="53"/>
      <c r="G1" s="52"/>
      <c r="H1" s="52"/>
      <c r="I1" s="50"/>
      <c r="J1" s="54"/>
      <c r="K1" s="143" t="s">
        <v>9</v>
      </c>
      <c r="L1" s="143"/>
      <c r="M1" s="143"/>
      <c r="N1" s="144"/>
    </row>
    <row r="2" spans="1:14" ht="16.5" customHeight="1" thickBot="1">
      <c r="A2" s="55" t="s">
        <v>57</v>
      </c>
      <c r="B2" s="56"/>
      <c r="C2" s="56"/>
      <c r="D2" s="56"/>
      <c r="E2" s="56"/>
      <c r="F2" s="57"/>
      <c r="G2" s="56"/>
      <c r="H2" s="56"/>
      <c r="I2" s="58" t="s">
        <v>126</v>
      </c>
      <c r="J2" s="59"/>
      <c r="K2" s="145"/>
      <c r="L2" s="145"/>
      <c r="M2" s="145"/>
      <c r="N2" s="146"/>
    </row>
    <row r="3" spans="1:14">
      <c r="A3" s="5"/>
      <c r="B3" s="1"/>
      <c r="C3" s="8" t="s">
        <v>0</v>
      </c>
      <c r="D3" s="2" t="s">
        <v>122</v>
      </c>
      <c r="E3" s="1"/>
      <c r="F3" s="8" t="s">
        <v>3</v>
      </c>
      <c r="G3" s="3" t="s">
        <v>4</v>
      </c>
      <c r="H3" s="3"/>
      <c r="I3" s="22"/>
      <c r="J3" s="4"/>
      <c r="K3" s="145"/>
      <c r="L3" s="145"/>
      <c r="M3" s="145"/>
      <c r="N3" s="146"/>
    </row>
    <row r="4" spans="1:14" ht="15.75">
      <c r="A4" s="11"/>
      <c r="B4" s="1"/>
      <c r="C4" s="8" t="s">
        <v>1</v>
      </c>
      <c r="D4" s="2" t="s">
        <v>123</v>
      </c>
      <c r="E4" s="1"/>
      <c r="F4" s="8" t="s">
        <v>7</v>
      </c>
      <c r="G4" s="3" t="s">
        <v>4</v>
      </c>
      <c r="H4" s="3"/>
      <c r="I4" s="22"/>
      <c r="J4" s="4"/>
      <c r="K4" s="145"/>
      <c r="L4" s="145"/>
      <c r="M4" s="145"/>
      <c r="N4" s="146"/>
    </row>
    <row r="5" spans="1:14" ht="15.75">
      <c r="A5" s="11"/>
      <c r="B5" s="1"/>
      <c r="C5" s="8" t="s">
        <v>2</v>
      </c>
      <c r="D5" s="2" t="s">
        <v>124</v>
      </c>
      <c r="E5" s="1"/>
      <c r="F5" s="8" t="s">
        <v>8</v>
      </c>
      <c r="G5" s="149">
        <f ca="1">TODAY()</f>
        <v>41947</v>
      </c>
      <c r="H5" s="149"/>
      <c r="I5" s="149"/>
      <c r="J5" s="20"/>
      <c r="K5" s="145"/>
      <c r="L5" s="145"/>
      <c r="M5" s="145"/>
      <c r="N5" s="146"/>
    </row>
    <row r="6" spans="1:14" ht="15.75" thickBot="1">
      <c r="A6" s="12"/>
      <c r="B6" s="13"/>
      <c r="C6" s="14" t="s">
        <v>6</v>
      </c>
      <c r="D6" s="15" t="s">
        <v>125</v>
      </c>
      <c r="E6" s="13"/>
      <c r="F6" s="16"/>
      <c r="G6" s="13"/>
      <c r="H6" s="13"/>
      <c r="I6" s="23" t="s">
        <v>10</v>
      </c>
      <c r="J6" s="106"/>
      <c r="K6" s="147"/>
      <c r="L6" s="147"/>
      <c r="M6" s="147"/>
      <c r="N6" s="148"/>
    </row>
    <row r="7" spans="1:14" ht="22.5" customHeight="1">
      <c r="A7" s="102" t="s">
        <v>5</v>
      </c>
      <c r="B7" s="50"/>
      <c r="C7" s="103"/>
      <c r="D7" s="50"/>
      <c r="E7" s="50"/>
      <c r="F7" s="103"/>
      <c r="G7" s="50"/>
      <c r="H7" s="50"/>
      <c r="I7" s="50"/>
      <c r="J7" s="78"/>
      <c r="L7" s="9"/>
    </row>
    <row r="8" spans="1:14">
      <c r="A8" s="7"/>
      <c r="B8" s="8"/>
      <c r="C8" s="8"/>
      <c r="D8" s="8"/>
      <c r="E8" s="8"/>
      <c r="F8" s="150">
        <v>0.2</v>
      </c>
      <c r="G8" s="150"/>
      <c r="H8" s="8"/>
      <c r="I8" s="8"/>
      <c r="J8" s="10"/>
    </row>
    <row r="9" spans="1:14">
      <c r="A9" s="7"/>
      <c r="B9" s="8"/>
      <c r="C9" s="8"/>
      <c r="D9" s="8"/>
      <c r="E9" s="135" t="s">
        <v>92</v>
      </c>
      <c r="F9" s="8"/>
      <c r="G9" s="8"/>
      <c r="H9" s="8"/>
      <c r="I9" s="8"/>
      <c r="J9" s="10"/>
    </row>
    <row r="10" spans="1:14" ht="15" customHeight="1">
      <c r="A10" s="7"/>
      <c r="B10" s="8"/>
      <c r="C10" s="8"/>
      <c r="D10" s="8"/>
      <c r="E10" s="136"/>
      <c r="F10" s="8"/>
      <c r="G10" s="8"/>
      <c r="H10" s="8"/>
      <c r="I10" s="8"/>
      <c r="J10" s="10"/>
      <c r="L10" s="18"/>
    </row>
    <row r="11" spans="1:14" ht="15" customHeight="1">
      <c r="A11" s="7"/>
      <c r="B11" s="8"/>
      <c r="C11" s="8"/>
      <c r="D11" s="8"/>
      <c r="E11" s="136"/>
      <c r="F11" s="8"/>
      <c r="G11" s="8"/>
      <c r="H11" s="8"/>
      <c r="I11" s="8"/>
      <c r="J11" s="10"/>
    </row>
    <row r="12" spans="1:14">
      <c r="A12" s="7"/>
      <c r="B12" s="107">
        <v>9.3000000000000007</v>
      </c>
      <c r="C12" s="140">
        <v>0.3</v>
      </c>
      <c r="D12" s="140"/>
      <c r="E12" s="136"/>
      <c r="F12" s="138">
        <v>2.2000000000000002</v>
      </c>
      <c r="G12" s="138"/>
      <c r="H12" s="82"/>
      <c r="I12" s="109">
        <v>2.95</v>
      </c>
      <c r="J12" s="60"/>
      <c r="K12" s="49"/>
    </row>
    <row r="13" spans="1:14">
      <c r="A13" s="7"/>
      <c r="B13" s="8"/>
      <c r="C13" s="8"/>
      <c r="D13" s="8"/>
      <c r="E13" s="136"/>
      <c r="F13" s="139">
        <v>10</v>
      </c>
      <c r="G13" s="139"/>
      <c r="H13" s="8"/>
      <c r="I13" s="8"/>
      <c r="J13" s="10"/>
    </row>
    <row r="14" spans="1:14">
      <c r="A14" s="7"/>
      <c r="B14" s="8"/>
      <c r="C14" s="8"/>
      <c r="D14" s="8"/>
      <c r="E14" s="136"/>
      <c r="F14" s="8"/>
      <c r="G14" s="8"/>
      <c r="H14" s="8"/>
      <c r="I14" s="8"/>
      <c r="J14" s="10"/>
    </row>
    <row r="15" spans="1:14">
      <c r="A15" s="7"/>
      <c r="B15" s="8"/>
      <c r="C15" s="8"/>
      <c r="D15" s="8"/>
      <c r="E15" s="136"/>
      <c r="F15" s="8"/>
      <c r="G15" s="8"/>
      <c r="H15" s="8"/>
      <c r="I15" s="8"/>
      <c r="J15" s="10"/>
    </row>
    <row r="16" spans="1:14">
      <c r="A16" s="7"/>
      <c r="B16" s="8"/>
      <c r="C16" s="108">
        <v>9.3000000000000007</v>
      </c>
      <c r="D16" s="8"/>
      <c r="E16" s="136"/>
      <c r="F16" s="8"/>
      <c r="G16" s="8"/>
      <c r="H16" s="8"/>
      <c r="I16" s="8"/>
      <c r="J16" s="10"/>
    </row>
    <row r="17" spans="1:12">
      <c r="A17" s="7"/>
      <c r="B17" s="8"/>
      <c r="C17" s="61" t="s">
        <v>13</v>
      </c>
      <c r="D17" s="8"/>
      <c r="E17" s="8"/>
      <c r="F17" s="8"/>
      <c r="G17" s="61" t="s">
        <v>14</v>
      </c>
      <c r="H17" s="61"/>
      <c r="I17" s="8"/>
      <c r="J17" s="10"/>
    </row>
    <row r="18" spans="1:12">
      <c r="A18" s="7"/>
      <c r="B18" s="8"/>
      <c r="C18" s="61"/>
      <c r="D18" s="8"/>
      <c r="E18" s="8"/>
      <c r="F18" s="8"/>
      <c r="G18" s="61"/>
      <c r="H18" s="61"/>
      <c r="I18" s="8"/>
      <c r="J18" s="10"/>
    </row>
    <row r="19" spans="1:12">
      <c r="A19" s="7"/>
      <c r="B19" s="110">
        <v>24</v>
      </c>
      <c r="C19" s="62"/>
      <c r="D19" s="8"/>
      <c r="E19" s="8"/>
      <c r="F19" s="8"/>
      <c r="G19" s="8"/>
      <c r="H19" s="8"/>
      <c r="I19" s="8"/>
      <c r="J19" s="10"/>
    </row>
    <row r="20" spans="1:12">
      <c r="A20" s="7"/>
      <c r="B20" s="111">
        <v>35</v>
      </c>
      <c r="C20" s="8"/>
      <c r="D20" s="137">
        <f>4700*SQRT(fc)</f>
        <v>27805.574980568195</v>
      </c>
      <c r="E20" s="137"/>
      <c r="F20" s="8" t="s">
        <v>78</v>
      </c>
      <c r="G20" s="8"/>
      <c r="H20" s="8"/>
      <c r="I20" s="8"/>
      <c r="J20" s="10"/>
    </row>
    <row r="21" spans="1:12" ht="26.25" customHeight="1">
      <c r="A21" s="7"/>
      <c r="B21" s="112">
        <v>9.81</v>
      </c>
      <c r="C21" s="8"/>
      <c r="D21" s="8"/>
      <c r="E21" s="8"/>
      <c r="F21" s="8"/>
      <c r="G21" s="8"/>
      <c r="H21" s="8"/>
      <c r="I21" s="8"/>
      <c r="J21" s="10"/>
    </row>
    <row r="22" spans="1:12">
      <c r="A22" s="7"/>
      <c r="B22" s="63" t="s">
        <v>15</v>
      </c>
      <c r="C22" s="113">
        <v>1</v>
      </c>
      <c r="D22" s="8" t="s">
        <v>16</v>
      </c>
      <c r="E22" s="8"/>
      <c r="F22" s="8"/>
      <c r="G22" s="8"/>
      <c r="H22" s="8"/>
      <c r="I22" s="8"/>
      <c r="J22" s="10"/>
    </row>
    <row r="23" spans="1:12" ht="18">
      <c r="A23" s="7"/>
      <c r="B23" s="63" t="s">
        <v>61</v>
      </c>
      <c r="C23" s="113">
        <v>1</v>
      </c>
      <c r="D23" s="8" t="s">
        <v>17</v>
      </c>
      <c r="E23" s="8"/>
      <c r="F23" s="8"/>
      <c r="G23" s="8"/>
      <c r="H23" s="8"/>
      <c r="I23" s="8"/>
      <c r="J23" s="10"/>
      <c r="L23" s="64"/>
    </row>
    <row r="24" spans="1:12" ht="18">
      <c r="A24" s="7"/>
      <c r="B24" s="63" t="s">
        <v>62</v>
      </c>
      <c r="C24" s="113">
        <v>2</v>
      </c>
      <c r="D24" s="8" t="s">
        <v>17</v>
      </c>
      <c r="E24" s="8"/>
      <c r="F24" s="8"/>
      <c r="G24" s="8"/>
      <c r="H24" s="8"/>
      <c r="I24" s="8"/>
      <c r="J24" s="10"/>
    </row>
    <row r="25" spans="1:12" s="42" customFormat="1">
      <c r="A25" s="45"/>
      <c r="B25" s="48" t="s">
        <v>47</v>
      </c>
      <c r="C25" s="46" t="s">
        <v>27</v>
      </c>
      <c r="D25" s="43"/>
      <c r="E25" s="43"/>
      <c r="F25" s="43"/>
      <c r="G25" s="8"/>
      <c r="H25" s="8"/>
      <c r="I25" s="43"/>
      <c r="J25" s="44"/>
    </row>
    <row r="26" spans="1:12" s="42" customFormat="1">
      <c r="A26" s="45"/>
      <c r="B26" s="48" t="s">
        <v>48</v>
      </c>
      <c r="C26" s="47">
        <f>VLOOKUP(zone,Zone_Table,2,FALSE)</f>
        <v>0.2</v>
      </c>
      <c r="D26" s="43" t="s">
        <v>49</v>
      </c>
      <c r="E26" s="43"/>
      <c r="F26" s="43"/>
      <c r="G26" s="8"/>
      <c r="H26" s="8"/>
      <c r="I26" s="43"/>
      <c r="J26" s="44"/>
    </row>
    <row r="27" spans="1:12" s="42" customFormat="1">
      <c r="A27" s="45"/>
      <c r="B27" s="48" t="s">
        <v>56</v>
      </c>
      <c r="C27" s="46" t="s">
        <v>35</v>
      </c>
      <c r="D27" s="43"/>
      <c r="E27" s="43"/>
      <c r="F27" s="43"/>
      <c r="G27" s="8"/>
      <c r="H27" s="8"/>
      <c r="I27" s="43"/>
      <c r="J27" s="44"/>
    </row>
    <row r="28" spans="1:12" s="42" customFormat="1">
      <c r="A28" s="45"/>
      <c r="B28" s="48" t="s">
        <v>30</v>
      </c>
      <c r="C28" s="47" t="str">
        <f>VLOOKUP(Soil_Desp,Soil_Table,2,FALSE)</f>
        <v>SC</v>
      </c>
      <c r="D28" s="43" t="s">
        <v>50</v>
      </c>
      <c r="E28" s="43"/>
      <c r="F28" s="43"/>
      <c r="G28" s="8"/>
      <c r="H28" s="8"/>
      <c r="I28" s="43"/>
      <c r="J28" s="44"/>
      <c r="L28" s="76"/>
    </row>
    <row r="29" spans="1:12" s="42" customFormat="1" ht="16.5">
      <c r="A29" s="45"/>
      <c r="B29" s="48" t="s">
        <v>63</v>
      </c>
      <c r="C29" s="46">
        <v>1</v>
      </c>
      <c r="D29" s="43" t="s">
        <v>51</v>
      </c>
      <c r="E29" s="43"/>
      <c r="F29" s="43"/>
      <c r="G29" s="8"/>
      <c r="H29" s="8"/>
      <c r="I29" s="43"/>
      <c r="J29" s="44"/>
      <c r="L29" s="77"/>
    </row>
    <row r="30" spans="1:12" s="42" customFormat="1" ht="16.5">
      <c r="A30" s="45"/>
      <c r="B30" s="48" t="s">
        <v>64</v>
      </c>
      <c r="C30" s="46">
        <v>1</v>
      </c>
      <c r="D30" s="43" t="s">
        <v>52</v>
      </c>
      <c r="E30" s="43"/>
      <c r="F30" s="43"/>
      <c r="G30" s="8"/>
      <c r="H30" s="8"/>
      <c r="I30" s="8"/>
      <c r="J30" s="10"/>
    </row>
    <row r="31" spans="1:12" s="42" customFormat="1" ht="15" customHeight="1">
      <c r="A31" s="45"/>
      <c r="B31" s="48" t="s">
        <v>65</v>
      </c>
      <c r="C31" s="104">
        <f>IF(Z=0.075,VLOOKUP(Soil_Type,Ca_Table,2,FALSE),IF(Z=0.15,VLOOKUP(Soil_Type,Ca_Table,3,FALSE),IF(Z=0.2,VLOOKUP(Soil_Type,Ca_Table,4,FALSE),IF(Z=0.3,VLOOKUP(Soil_Type,Ca_Table,5,FALSE),VLOOKUP(Soil_Type,Ca_Table,6,FALSE)*N_a))))</f>
        <v>0.24</v>
      </c>
      <c r="D31" s="43" t="s">
        <v>53</v>
      </c>
      <c r="E31" s="43"/>
      <c r="F31" s="141" t="str">
        <f>IF(Ca=0,"Calculate Ca &amp; Cv from Soil data.","")</f>
        <v/>
      </c>
      <c r="G31" s="141"/>
      <c r="H31" s="43"/>
      <c r="I31" s="43"/>
      <c r="J31" s="44"/>
    </row>
    <row r="32" spans="1:12" s="42" customFormat="1" ht="18">
      <c r="A32" s="45"/>
      <c r="B32" s="48" t="s">
        <v>66</v>
      </c>
      <c r="C32" s="104">
        <f>IF(Z=0.075,VLOOKUP(Soil_Type,Cv_Table,2,FALSE),IF(Z=0.15,VLOOKUP(Soil_Type,Cv_Table,3,FALSE),IF(Z=0.2,VLOOKUP(Soil_Type,Cv_Table,4,FALSE),IF(Z=0.3,VLOOKUP(Soil_Type,Cv_Table,5,FALSE),VLOOKUP(Soil_Type,Cv_Table,6,FALSE)*N_a))))</f>
        <v>0.32</v>
      </c>
      <c r="D32" s="43" t="s">
        <v>54</v>
      </c>
      <c r="E32" s="75"/>
      <c r="F32" s="141"/>
      <c r="G32" s="141"/>
      <c r="H32" s="43"/>
      <c r="I32" s="43"/>
      <c r="J32" s="44"/>
    </row>
    <row r="33" spans="1:14" ht="16.5">
      <c r="A33" s="7"/>
      <c r="B33" s="48" t="s">
        <v>67</v>
      </c>
      <c r="C33" s="104">
        <f>Cv/(2.5*Ca)</f>
        <v>0.53333333333333333</v>
      </c>
      <c r="D33" s="43" t="s">
        <v>55</v>
      </c>
      <c r="E33" s="43"/>
      <c r="F33" s="8"/>
      <c r="G33" s="8"/>
      <c r="H33" s="8"/>
      <c r="I33" s="8"/>
      <c r="J33" s="10"/>
    </row>
    <row r="34" spans="1:14" ht="30" customHeight="1">
      <c r="A34" s="105" t="s">
        <v>87</v>
      </c>
      <c r="B34" s="8"/>
      <c r="C34" s="8"/>
      <c r="D34" s="8"/>
      <c r="E34" s="8"/>
      <c r="F34" s="8"/>
      <c r="G34" s="8"/>
      <c r="H34" s="8"/>
      <c r="I34" s="8"/>
      <c r="J34" s="10"/>
    </row>
    <row r="35" spans="1:14" ht="24" customHeight="1">
      <c r="A35" s="7"/>
      <c r="B35" s="19" t="s">
        <v>70</v>
      </c>
      <c r="C35" s="65">
        <f>L*B*HL*γL</f>
        <v>1902.7800000000004</v>
      </c>
      <c r="D35" s="19" t="s">
        <v>71</v>
      </c>
      <c r="E35" s="66">
        <f>L/HL</f>
        <v>4.2272727272727275</v>
      </c>
      <c r="F35" s="19" t="s">
        <v>68</v>
      </c>
      <c r="G35" s="65">
        <f>2*((B+tw)+(L+tw))*HW*tw*γc</f>
        <v>815.61600000000021</v>
      </c>
      <c r="H35" s="19" t="s">
        <v>69</v>
      </c>
      <c r="I35" s="65">
        <f>(B+tw)*(L+tw)*tr*γc</f>
        <v>442.36800000000017</v>
      </c>
      <c r="J35" s="10"/>
    </row>
    <row r="36" spans="1:14" ht="47.25" customHeight="1">
      <c r="A36" s="7"/>
      <c r="B36" s="8"/>
      <c r="C36" s="8"/>
      <c r="D36" s="67">
        <f>(TANH(0.866*L_HL)/(0.866*L_HL))</f>
        <v>0.27280205264407148</v>
      </c>
      <c r="E36" s="68">
        <f>Wi_coff*WL</f>
        <v>519.08228973008647</v>
      </c>
      <c r="F36" s="17" t="s">
        <v>59</v>
      </c>
      <c r="G36" s="8"/>
      <c r="H36" s="8"/>
      <c r="I36" s="8"/>
      <c r="J36" s="10"/>
    </row>
    <row r="37" spans="1:14" ht="35.25" customHeight="1">
      <c r="A37" s="7"/>
      <c r="B37" s="8"/>
      <c r="C37" s="8"/>
      <c r="D37" s="8"/>
      <c r="E37" s="67">
        <f>0.264*L_HL*TANH(3.16*HL/L)</f>
        <v>0.70717706689135407</v>
      </c>
      <c r="F37" s="68">
        <f>Wc_coff*WL</f>
        <v>1345.6023793395309</v>
      </c>
      <c r="G37" s="17" t="s">
        <v>60</v>
      </c>
      <c r="H37" s="8"/>
      <c r="I37" s="8"/>
      <c r="J37" s="10"/>
    </row>
    <row r="38" spans="1:14" ht="36" customHeight="1">
      <c r="A38" s="105" t="s">
        <v>88</v>
      </c>
      <c r="B38" s="8"/>
      <c r="C38" s="8"/>
      <c r="D38" s="8"/>
      <c r="E38" s="8"/>
      <c r="F38" s="8"/>
      <c r="G38" s="8"/>
      <c r="H38" s="8"/>
      <c r="I38" s="8"/>
      <c r="J38" s="10"/>
    </row>
    <row r="39" spans="1:14" ht="68.25" customHeight="1">
      <c r="A39" s="7"/>
      <c r="B39" s="8"/>
      <c r="C39" s="8"/>
      <c r="D39" s="8"/>
      <c r="E39" s="8"/>
      <c r="F39" s="69">
        <f>IF(L_HL&lt;1.333,HL*(0.5-0.09375*L_HL),HL*0.375)</f>
        <v>0.82500000000000007</v>
      </c>
      <c r="G39" s="17" t="s">
        <v>72</v>
      </c>
      <c r="H39" s="8"/>
      <c r="I39" s="8"/>
      <c r="J39" s="10"/>
    </row>
    <row r="40" spans="1:14" ht="48" customHeight="1">
      <c r="A40" s="7"/>
      <c r="B40" s="8"/>
      <c r="C40" s="8"/>
      <c r="D40" s="8"/>
      <c r="E40" s="8"/>
      <c r="F40" s="69">
        <f>HL*(1-((COSH(3.16*HL/L)-1)/(3.16*(HL/L)*SINH(3.16*HL/L))))</f>
        <v>1.1485138618591439</v>
      </c>
      <c r="G40" s="17" t="s">
        <v>73</v>
      </c>
      <c r="H40" s="8"/>
      <c r="I40" s="8"/>
      <c r="J40" s="10"/>
    </row>
    <row r="41" spans="1:14" ht="31.5" customHeight="1">
      <c r="A41" s="105" t="s">
        <v>89</v>
      </c>
      <c r="B41" s="8"/>
      <c r="C41" s="8"/>
      <c r="D41" s="8"/>
      <c r="E41" s="8"/>
      <c r="F41" s="8"/>
      <c r="G41" s="8"/>
      <c r="H41" s="8"/>
      <c r="I41" s="8"/>
      <c r="J41" s="10"/>
      <c r="K41" s="86" t="s">
        <v>104</v>
      </c>
    </row>
    <row r="42" spans="1:14" ht="28.5" customHeight="1" thickBot="1">
      <c r="A42" s="7"/>
      <c r="B42" s="8"/>
      <c r="C42" s="68">
        <f>Ww+Wr+Wi</f>
        <v>1777.0662897300867</v>
      </c>
      <c r="D42" s="8" t="s">
        <v>79</v>
      </c>
      <c r="E42" s="85">
        <f>HW/2</f>
        <v>1.4750000000000001</v>
      </c>
      <c r="F42" s="8" t="s">
        <v>93</v>
      </c>
      <c r="G42" s="8"/>
      <c r="H42" s="142">
        <f>HW+tr/2</f>
        <v>3.0500000000000003</v>
      </c>
      <c r="I42" s="142"/>
      <c r="J42" s="10"/>
      <c r="K42" s="153" t="s">
        <v>102</v>
      </c>
      <c r="L42" s="154"/>
      <c r="M42" s="154"/>
      <c r="N42" s="154"/>
    </row>
    <row r="43" spans="1:14" ht="33.75" customHeight="1" thickBot="1">
      <c r="A43" s="7"/>
      <c r="B43" s="8"/>
      <c r="C43" s="71">
        <f>(Ww*h_w+Wi*hi)/(Ww+Wi)</f>
        <v>1.2222061731698266</v>
      </c>
      <c r="D43" s="17" t="s">
        <v>79</v>
      </c>
      <c r="E43" s="8"/>
      <c r="F43" s="155">
        <f>IF(K_option="use External calculated for K",K_ext_cal,Ec/1000*(tw*1000/h)^3/4000)</f>
        <v>102802.15865046222</v>
      </c>
      <c r="G43" s="155"/>
      <c r="H43" s="17" t="s">
        <v>77</v>
      </c>
      <c r="I43" s="8"/>
      <c r="J43" s="10"/>
      <c r="K43" s="151">
        <v>0</v>
      </c>
      <c r="L43" s="152"/>
    </row>
    <row r="44" spans="1:14" ht="41.25" customHeight="1">
      <c r="A44" s="7"/>
      <c r="B44" s="8"/>
      <c r="C44" s="72">
        <f>2*PI()*SQRT(W/(g*K))</f>
        <v>0.26375218241496085</v>
      </c>
      <c r="D44" s="17" t="s">
        <v>74</v>
      </c>
      <c r="E44" s="8"/>
      <c r="F44" s="8"/>
      <c r="G44" s="8"/>
      <c r="H44" s="8"/>
      <c r="I44" s="8"/>
      <c r="J44" s="10"/>
      <c r="L44" s="72"/>
    </row>
    <row r="45" spans="1:14" ht="37.5" customHeight="1">
      <c r="A45" s="7"/>
      <c r="B45" s="8"/>
      <c r="C45" s="8"/>
      <c r="D45" s="21">
        <f>SQRT(3.16*g*TANH(3.16*HL/L))</f>
        <v>4.4321049113447177</v>
      </c>
      <c r="E45" s="8"/>
      <c r="F45" s="8"/>
      <c r="G45" s="72">
        <f>2*PI()*SQRT(L)/λ</f>
        <v>4.323259562036335</v>
      </c>
      <c r="H45" s="17" t="s">
        <v>80</v>
      </c>
      <c r="I45" s="8"/>
      <c r="J45" s="10"/>
    </row>
    <row r="46" spans="1:14" ht="45" customHeight="1" thickBot="1">
      <c r="A46" s="79"/>
      <c r="B46" s="80"/>
      <c r="C46" s="80"/>
      <c r="D46" s="94"/>
      <c r="E46" s="80"/>
      <c r="F46" s="80"/>
      <c r="G46" s="95"/>
      <c r="H46" s="156">
        <f>(2*PI()/Tc)^2*Wc/g</f>
        <v>289.72425468086925</v>
      </c>
      <c r="I46" s="156"/>
      <c r="J46" s="81"/>
    </row>
    <row r="47" spans="1:14" ht="23.25" customHeight="1">
      <c r="A47" s="105" t="s">
        <v>90</v>
      </c>
      <c r="B47" s="8"/>
      <c r="C47" s="8"/>
      <c r="D47" s="70"/>
      <c r="E47" s="8"/>
      <c r="F47" s="8"/>
      <c r="G47" s="8"/>
      <c r="H47" s="8"/>
      <c r="I47" s="73"/>
      <c r="J47" s="10"/>
    </row>
    <row r="48" spans="1:14" ht="72" customHeight="1">
      <c r="A48" s="7"/>
      <c r="B48" s="8"/>
      <c r="C48" s="8"/>
      <c r="D48" s="74">
        <f>IF(Z=0.4,MAX(1.6*Z*Nv,IF(Ti&lt;=Ts,2.5*Ca,Cv/Ti)),IF(Ti&lt;=Ts,2.5*Ca,Cv/Ti))</f>
        <v>0.6</v>
      </c>
      <c r="E48" s="17" t="s">
        <v>81</v>
      </c>
      <c r="F48" s="8"/>
      <c r="G48" s="8"/>
      <c r="H48" s="8"/>
      <c r="I48" s="8"/>
      <c r="J48" s="10"/>
    </row>
    <row r="49" spans="1:15" ht="75.75" customHeight="1">
      <c r="A49" s="7"/>
      <c r="B49" s="8"/>
      <c r="C49" s="8"/>
      <c r="D49" s="74">
        <f>IF(Tc&lt;=1.6/Ts,1.5*Cv/Tc,6*Ca/Tc^2)</f>
        <v>7.7044185935470785E-2</v>
      </c>
      <c r="E49" s="17" t="s">
        <v>82</v>
      </c>
      <c r="F49" s="8"/>
      <c r="G49" s="8"/>
      <c r="H49" s="8"/>
      <c r="I49" s="8"/>
      <c r="J49" s="10"/>
    </row>
    <row r="50" spans="1:15" ht="30.75" customHeight="1">
      <c r="A50" s="7"/>
      <c r="B50" s="8"/>
      <c r="C50" s="68">
        <f>Ci*I*Ww/Ri</f>
        <v>244.68480000000005</v>
      </c>
      <c r="D50" s="8"/>
      <c r="E50" s="8"/>
      <c r="F50" s="68">
        <f>Ci*I*Wr/Ri</f>
        <v>132.71040000000005</v>
      </c>
      <c r="G50" s="17" t="s">
        <v>83</v>
      </c>
      <c r="H50" s="8"/>
      <c r="I50" s="8"/>
      <c r="J50" s="10"/>
    </row>
    <row r="51" spans="1:15" ht="31.5" customHeight="1">
      <c r="A51" s="7"/>
      <c r="B51" s="8"/>
      <c r="C51" s="68">
        <f>Ci*I*Wi/Ri</f>
        <v>155.72468691902594</v>
      </c>
      <c r="D51" s="8"/>
      <c r="E51" s="8"/>
      <c r="F51" s="68">
        <f>Cc*I*Wc/Rc_</f>
        <v>103.67083990904671</v>
      </c>
      <c r="G51" s="17" t="s">
        <v>84</v>
      </c>
      <c r="H51" s="8"/>
      <c r="I51" s="8"/>
      <c r="J51" s="10"/>
    </row>
    <row r="52" spans="1:15">
      <c r="A52" s="105" t="s">
        <v>91</v>
      </c>
      <c r="B52" s="8"/>
      <c r="C52" s="8"/>
      <c r="D52" s="8"/>
      <c r="E52" s="8"/>
      <c r="F52" s="8"/>
      <c r="G52" s="17"/>
      <c r="H52" s="8"/>
      <c r="I52" s="8"/>
      <c r="J52" s="10"/>
    </row>
    <row r="53" spans="1:15" ht="25.5" customHeight="1">
      <c r="A53" s="7"/>
      <c r="B53" s="8"/>
      <c r="C53" s="8"/>
      <c r="D53" s="134">
        <f>SQRT((Pw+Pr+Pi)^2+Pc^2)</f>
        <v>543.10630347658673</v>
      </c>
      <c r="E53" s="134"/>
      <c r="F53" s="8"/>
      <c r="G53" s="17" t="s">
        <v>85</v>
      </c>
      <c r="H53" s="8"/>
      <c r="I53" s="8"/>
      <c r="J53" s="10"/>
      <c r="L53" s="134"/>
      <c r="M53" s="134"/>
      <c r="N53" s="134"/>
      <c r="O53" s="134"/>
    </row>
    <row r="54" spans="1:15">
      <c r="A54" s="105" t="s">
        <v>117</v>
      </c>
      <c r="B54" s="8"/>
      <c r="C54" s="8"/>
      <c r="D54" s="8"/>
      <c r="E54" s="8"/>
      <c r="F54" s="8"/>
      <c r="G54" s="8"/>
      <c r="H54" s="8"/>
      <c r="I54" s="8"/>
      <c r="J54" s="10"/>
    </row>
    <row r="55" spans="1:15" ht="15.75" customHeight="1">
      <c r="A55" s="105"/>
      <c r="B55" s="8"/>
      <c r="C55" s="8"/>
      <c r="D55" s="8"/>
      <c r="E55" s="8"/>
      <c r="F55" s="8"/>
      <c r="G55" s="8"/>
      <c r="H55" s="8"/>
      <c r="I55" s="8"/>
      <c r="J55" s="10"/>
    </row>
    <row r="56" spans="1:15" ht="30.75" customHeight="1">
      <c r="A56" s="7"/>
      <c r="B56" s="8"/>
      <c r="C56" s="8"/>
      <c r="D56" s="87" t="s">
        <v>105</v>
      </c>
      <c r="E56" s="91">
        <f>(Pi*(4*HL-6*hi-(6*HL-12*hi)*HL/HL)/(2*HL^2))/B</f>
        <v>0.95139715859619911</v>
      </c>
      <c r="F56" s="8"/>
      <c r="G56" s="8"/>
      <c r="H56" s="8"/>
      <c r="I56" s="8"/>
      <c r="J56" s="10"/>
    </row>
    <row r="57" spans="1:15" ht="30" customHeight="1">
      <c r="A57" s="7"/>
      <c r="B57" s="8"/>
      <c r="C57" s="8"/>
      <c r="D57" s="87" t="s">
        <v>106</v>
      </c>
      <c r="E57" s="91">
        <f>(Pi*(4*HL-6*hi-(6*HL-12*hi)*0/HL)/(2*HL^2))/B</f>
        <v>6.6597801101733962</v>
      </c>
      <c r="F57" s="8"/>
      <c r="G57" s="8"/>
      <c r="H57" s="8"/>
      <c r="I57" s="8"/>
      <c r="J57" s="10"/>
    </row>
    <row r="58" spans="1:15" ht="33" customHeight="1">
      <c r="A58" s="7"/>
      <c r="B58" s="8"/>
      <c r="C58" s="8"/>
      <c r="D58" s="87" t="s">
        <v>107</v>
      </c>
      <c r="E58" s="91">
        <f>(Pc*(4*HL-6*hc-(6*HL-12*hc)*HL/HL)/(2*HL^2))/B</f>
        <v>2.868709284600953</v>
      </c>
      <c r="F58" s="127" t="s">
        <v>111</v>
      </c>
      <c r="G58" s="127"/>
      <c r="J58" s="10"/>
    </row>
    <row r="59" spans="1:15" ht="30" customHeight="1">
      <c r="A59" s="7"/>
      <c r="B59" s="8"/>
      <c r="C59" s="8"/>
      <c r="D59" s="87" t="s">
        <v>108</v>
      </c>
      <c r="E59" s="91">
        <f>(Pc*(4*HL-6*hc-(6*HL-12*hc)*0/HL)/(2*HL^2))/B</f>
        <v>2.1982916884707331</v>
      </c>
      <c r="F59" s="8"/>
      <c r="G59" s="8"/>
      <c r="H59" s="8"/>
      <c r="I59" s="8"/>
      <c r="J59" s="10"/>
    </row>
    <row r="60" spans="1:15" ht="44.25" customHeight="1">
      <c r="A60" s="7"/>
      <c r="B60" s="8"/>
      <c r="C60" s="132">
        <f>Pw/(2*(B+tw)*HW)</f>
        <v>4.3199999999999994</v>
      </c>
      <c r="D60" s="132"/>
      <c r="E60" s="8"/>
      <c r="F60" s="8"/>
      <c r="G60" s="8"/>
      <c r="H60" s="8"/>
      <c r="I60" s="8"/>
      <c r="J60" s="10"/>
    </row>
    <row r="61" spans="1:15" ht="15" customHeight="1">
      <c r="A61" s="7"/>
      <c r="B61" s="8"/>
      <c r="C61" s="92">
        <f>Pw_dist</f>
        <v>4.3199999999999994</v>
      </c>
      <c r="D61" s="8"/>
      <c r="F61" s="8"/>
      <c r="H61" s="8"/>
      <c r="I61" s="91">
        <f>C61</f>
        <v>4.3199999999999994</v>
      </c>
      <c r="J61" s="10"/>
    </row>
    <row r="62" spans="1:15">
      <c r="A62" s="7"/>
      <c r="B62" s="8"/>
      <c r="C62" s="101"/>
      <c r="D62" s="8"/>
      <c r="E62" s="92">
        <f>Pi_T_dist</f>
        <v>0.95139715859619911</v>
      </c>
      <c r="F62" s="8"/>
      <c r="G62" s="92">
        <f>Pc_T_dist</f>
        <v>2.868709284600953</v>
      </c>
      <c r="H62" s="8"/>
      <c r="I62" s="91">
        <f>C61+E62+G62</f>
        <v>8.1401064431971513</v>
      </c>
      <c r="J62" s="10"/>
    </row>
    <row r="63" spans="1:15" ht="15" customHeight="1">
      <c r="A63" s="7"/>
      <c r="B63" s="8"/>
      <c r="C63" s="101"/>
      <c r="D63" s="90"/>
      <c r="E63" s="8"/>
      <c r="F63" s="8"/>
      <c r="G63" s="8"/>
      <c r="H63" s="8"/>
      <c r="I63" s="91"/>
      <c r="J63" s="10"/>
    </row>
    <row r="64" spans="1:15">
      <c r="A64" s="7"/>
      <c r="B64" s="8"/>
      <c r="C64" s="101"/>
      <c r="D64" s="8"/>
      <c r="E64" s="93"/>
      <c r="F64" s="8"/>
      <c r="G64" s="8"/>
      <c r="H64" s="8"/>
      <c r="I64" s="91"/>
      <c r="J64" s="10"/>
    </row>
    <row r="65" spans="1:10">
      <c r="A65" s="7"/>
      <c r="B65" s="8"/>
      <c r="C65" s="101"/>
      <c r="D65" s="8"/>
      <c r="E65" s="8"/>
      <c r="F65" s="8"/>
      <c r="G65" s="8"/>
      <c r="H65" s="8"/>
      <c r="I65" s="91"/>
      <c r="J65" s="10"/>
    </row>
    <row r="66" spans="1:10">
      <c r="A66" s="7"/>
      <c r="B66" s="8"/>
      <c r="C66" s="101"/>
      <c r="D66" s="8"/>
      <c r="E66" s="8"/>
      <c r="F66" s="8"/>
      <c r="G66" s="8"/>
      <c r="H66" s="8"/>
      <c r="I66" s="91"/>
      <c r="J66" s="10"/>
    </row>
    <row r="67" spans="1:10">
      <c r="A67" s="7"/>
      <c r="B67" s="8"/>
      <c r="C67" s="101"/>
      <c r="D67" s="8"/>
      <c r="E67" s="8"/>
      <c r="F67" s="8"/>
      <c r="G67" s="8"/>
      <c r="H67" s="8"/>
      <c r="I67" s="91"/>
      <c r="J67" s="10"/>
    </row>
    <row r="68" spans="1:10">
      <c r="A68" s="7"/>
      <c r="B68" s="8"/>
      <c r="C68" s="101"/>
      <c r="D68" s="8"/>
      <c r="E68" s="92">
        <f>Pi_B_dist</f>
        <v>6.6597801101733962</v>
      </c>
      <c r="F68" s="8"/>
      <c r="G68" s="92">
        <f>Pc_B_dist</f>
        <v>2.1982916884707331</v>
      </c>
      <c r="H68" s="8"/>
      <c r="I68" s="91">
        <f>C61+E68+G68</f>
        <v>13.17807179864413</v>
      </c>
      <c r="J68" s="10"/>
    </row>
    <row r="69" spans="1:10" ht="19.5">
      <c r="A69" s="7"/>
      <c r="B69" s="89" t="s">
        <v>110</v>
      </c>
      <c r="C69" s="99"/>
      <c r="D69" s="133" t="s">
        <v>113</v>
      </c>
      <c r="E69" s="133"/>
      <c r="F69" s="133" t="s">
        <v>109</v>
      </c>
      <c r="G69" s="133"/>
      <c r="H69" s="130" t="s">
        <v>116</v>
      </c>
      <c r="I69" s="130"/>
      <c r="J69" s="131"/>
    </row>
    <row r="70" spans="1:10" ht="18.75">
      <c r="A70" s="7"/>
      <c r="B70" s="89"/>
      <c r="C70" s="99"/>
      <c r="D70" s="100"/>
      <c r="E70" s="100"/>
      <c r="F70" s="100"/>
      <c r="H70" s="128" t="s">
        <v>112</v>
      </c>
      <c r="I70" s="128"/>
      <c r="J70" s="129"/>
    </row>
    <row r="71" spans="1:10" ht="27" customHeight="1">
      <c r="A71" s="124" t="s">
        <v>118</v>
      </c>
      <c r="B71" s="125"/>
      <c r="C71" s="125"/>
      <c r="D71" s="125"/>
      <c r="E71" s="125"/>
      <c r="F71" s="125"/>
      <c r="G71" s="125"/>
      <c r="H71" s="125"/>
      <c r="I71" s="125"/>
      <c r="J71" s="126"/>
    </row>
    <row r="72" spans="1:10">
      <c r="A72" s="98" t="s">
        <v>121</v>
      </c>
      <c r="B72" s="8"/>
      <c r="C72" s="8"/>
      <c r="D72" s="8"/>
      <c r="E72" s="8"/>
      <c r="F72" s="8"/>
      <c r="G72" s="8"/>
      <c r="H72" s="8"/>
      <c r="I72" s="8"/>
      <c r="J72" s="10"/>
    </row>
    <row r="73" spans="1:10" ht="15" customHeight="1">
      <c r="A73" s="98"/>
      <c r="B73" s="88" t="s">
        <v>120</v>
      </c>
      <c r="C73" s="8"/>
      <c r="D73" s="8"/>
      <c r="E73" s="8"/>
      <c r="F73" s="8"/>
      <c r="G73" s="8"/>
      <c r="H73" s="8"/>
      <c r="I73" s="8"/>
      <c r="J73" s="10"/>
    </row>
    <row r="74" spans="1:10" ht="18" customHeight="1">
      <c r="A74" s="7"/>
      <c r="B74" s="122" t="s">
        <v>115</v>
      </c>
      <c r="C74" s="123"/>
      <c r="D74" s="123"/>
      <c r="E74" s="123"/>
      <c r="F74" s="123"/>
      <c r="G74" s="123"/>
      <c r="H74" s="123"/>
      <c r="I74" s="123"/>
      <c r="J74" s="10"/>
    </row>
    <row r="75" spans="1:10" ht="15" customHeight="1">
      <c r="A75" s="7"/>
      <c r="B75" s="97"/>
      <c r="C75" s="97"/>
      <c r="D75" s="97" t="s">
        <v>114</v>
      </c>
      <c r="E75" s="97"/>
      <c r="F75" s="97"/>
      <c r="G75" s="97"/>
      <c r="H75" s="97"/>
      <c r="I75" s="97"/>
      <c r="J75" s="10"/>
    </row>
    <row r="76" spans="1:10" ht="18" customHeight="1">
      <c r="A76" s="7"/>
      <c r="B76" s="122" t="s">
        <v>119</v>
      </c>
      <c r="C76" s="123"/>
      <c r="D76" s="123"/>
      <c r="E76" s="123"/>
      <c r="F76" s="123"/>
      <c r="G76" s="123"/>
      <c r="H76" s="123"/>
      <c r="I76" s="123"/>
      <c r="J76" s="10"/>
    </row>
    <row r="77" spans="1:10" ht="208.5" customHeight="1" thickBot="1">
      <c r="A77" s="79"/>
      <c r="B77" s="96"/>
      <c r="C77" s="80"/>
      <c r="D77" s="80"/>
      <c r="E77" s="80"/>
      <c r="F77" s="80"/>
      <c r="G77" s="80"/>
      <c r="H77" s="80"/>
      <c r="I77" s="80"/>
      <c r="J77" s="81"/>
    </row>
  </sheetData>
  <sheetProtection algorithmName="SHA-512" hashValue="eMkJVK2la9Qg1aYLiOdd81YVnKiQr95zl6Ey4o8k0kBREk62PuhHY4Tik8VhpGgOoYnsf1cNSJT1g0IjYunZAw==" saltValue="oTsfgdWXvnOcZg9I9QGKqg==" spinCount="100000" sheet="1" objects="1" scenarios="1"/>
  <mergeCells count="26">
    <mergeCell ref="H42:I42"/>
    <mergeCell ref="N53:O53"/>
    <mergeCell ref="K1:N6"/>
    <mergeCell ref="G5:I5"/>
    <mergeCell ref="F8:G8"/>
    <mergeCell ref="K43:L43"/>
    <mergeCell ref="K42:N42"/>
    <mergeCell ref="L53:M53"/>
    <mergeCell ref="F43:G43"/>
    <mergeCell ref="H46:I46"/>
    <mergeCell ref="D53:E53"/>
    <mergeCell ref="E9:E16"/>
    <mergeCell ref="D20:E20"/>
    <mergeCell ref="F12:G12"/>
    <mergeCell ref="F13:G13"/>
    <mergeCell ref="C12:D12"/>
    <mergeCell ref="F31:G32"/>
    <mergeCell ref="B76:I76"/>
    <mergeCell ref="A71:J71"/>
    <mergeCell ref="F58:G58"/>
    <mergeCell ref="B74:I74"/>
    <mergeCell ref="H70:J70"/>
    <mergeCell ref="H69:J69"/>
    <mergeCell ref="C60:D60"/>
    <mergeCell ref="D69:E69"/>
    <mergeCell ref="F69:G69"/>
  </mergeCells>
  <conditionalFormatting sqref="F31">
    <cfRule type="cellIs" dxfId="0" priority="1" operator="equal">
      <formula>"Calculate Ca &amp; Cv from Soil data."</formula>
    </cfRule>
  </conditionalFormatting>
  <dataValidations count="3">
    <dataValidation type="list" allowBlank="1" showInputMessage="1" showErrorMessage="1" sqref="K42">
      <formula1>K_table</formula1>
    </dataValidation>
    <dataValidation type="list" allowBlank="1" showInputMessage="1" showErrorMessage="1" sqref="C25">
      <formula1>Zone_T1</formula1>
    </dataValidation>
    <dataValidation type="list" allowBlank="1" showInputMessage="1" showErrorMessage="1" sqref="C27">
      <formula1>Soil_T1</formula1>
    </dataValidation>
  </dataValidations>
  <printOptions horizontalCentered="1" verticalCentered="1"/>
  <pageMargins left="0.3" right="0.3" top="0.6" bottom="0.4" header="0" footer="0"/>
  <pageSetup paperSize="9" scale="76" orientation="portrait" horizontalDpi="200" verticalDpi="200" r:id="rId1"/>
  <headerFooter>
    <oddFooter>&amp;RPage &amp;P of &amp;N</oddFooter>
  </headerFooter>
  <rowBreaks count="1" manualBreakCount="1">
    <brk id="46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J1:W22"/>
  <sheetViews>
    <sheetView topLeftCell="M1" workbookViewId="0">
      <selection activeCell="W16" sqref="W16"/>
    </sheetView>
  </sheetViews>
  <sheetFormatPr defaultColWidth="9.140625" defaultRowHeight="15"/>
  <cols>
    <col min="1" max="10" width="9.140625" style="6"/>
    <col min="11" max="11" width="9.140625" style="6" customWidth="1"/>
    <col min="12" max="22" width="9.140625" style="6"/>
    <col min="23" max="23" width="37.42578125" style="6" customWidth="1"/>
    <col min="24" max="16384" width="9.140625" style="6"/>
  </cols>
  <sheetData>
    <row r="1" spans="10:23">
      <c r="J1" s="6" t="s">
        <v>86</v>
      </c>
    </row>
    <row r="2" spans="10:23" ht="33.75" customHeight="1" thickBot="1">
      <c r="J2" s="24" t="s">
        <v>18</v>
      </c>
      <c r="K2" s="24"/>
      <c r="P2" s="24"/>
      <c r="Q2" s="24" t="s">
        <v>43</v>
      </c>
      <c r="R2" s="24"/>
      <c r="S2" s="24"/>
      <c r="T2" s="24"/>
      <c r="U2" s="24"/>
    </row>
    <row r="3" spans="10:23" ht="15.75" thickBot="1">
      <c r="J3" s="25" t="s">
        <v>20</v>
      </c>
      <c r="K3" s="26" t="s">
        <v>21</v>
      </c>
      <c r="P3" s="157" t="s">
        <v>44</v>
      </c>
      <c r="Q3" s="159" t="s">
        <v>45</v>
      </c>
      <c r="R3" s="160"/>
      <c r="S3" s="160"/>
      <c r="T3" s="160"/>
      <c r="U3" s="161"/>
      <c r="W3" s="6" t="s">
        <v>103</v>
      </c>
    </row>
    <row r="4" spans="10:23" ht="15.75" thickBot="1">
      <c r="J4" s="28">
        <v>1</v>
      </c>
      <c r="K4" s="29">
        <v>7.4999999999999997E-2</v>
      </c>
      <c r="P4" s="158"/>
      <c r="Q4" s="35">
        <v>7.4999999999999997E-2</v>
      </c>
      <c r="R4" s="35">
        <v>0.15</v>
      </c>
      <c r="S4" s="35">
        <v>0.2</v>
      </c>
      <c r="T4" s="35">
        <v>0.3</v>
      </c>
      <c r="U4" s="36">
        <v>0.4</v>
      </c>
      <c r="W4" s="6" t="s">
        <v>102</v>
      </c>
    </row>
    <row r="5" spans="10:23">
      <c r="J5" s="30" t="s">
        <v>25</v>
      </c>
      <c r="K5" s="31">
        <v>0.15</v>
      </c>
      <c r="P5" s="83" t="s">
        <v>32</v>
      </c>
      <c r="Q5" s="37">
        <v>0.06</v>
      </c>
      <c r="R5" s="37">
        <v>0.12</v>
      </c>
      <c r="S5" s="37">
        <v>0.16</v>
      </c>
      <c r="T5" s="37">
        <v>0.24</v>
      </c>
      <c r="U5" s="38">
        <v>0.32</v>
      </c>
    </row>
    <row r="6" spans="10:23">
      <c r="J6" s="30" t="s">
        <v>27</v>
      </c>
      <c r="K6" s="31">
        <v>0.2</v>
      </c>
      <c r="P6" s="39" t="s">
        <v>34</v>
      </c>
      <c r="Q6" s="40">
        <v>0.08</v>
      </c>
      <c r="R6" s="40">
        <v>0.15</v>
      </c>
      <c r="S6" s="40">
        <v>0.2</v>
      </c>
      <c r="T6" s="40">
        <v>0.3</v>
      </c>
      <c r="U6" s="41">
        <v>0.4</v>
      </c>
    </row>
    <row r="7" spans="10:23">
      <c r="J7" s="30">
        <v>3</v>
      </c>
      <c r="K7" s="31">
        <v>0.3</v>
      </c>
      <c r="P7" s="39" t="s">
        <v>36</v>
      </c>
      <c r="Q7" s="40">
        <v>0.09</v>
      </c>
      <c r="R7" s="40">
        <v>0.18</v>
      </c>
      <c r="S7" s="40">
        <v>0.24</v>
      </c>
      <c r="T7" s="40">
        <v>0.33</v>
      </c>
      <c r="U7" s="41">
        <v>0.4</v>
      </c>
    </row>
    <row r="8" spans="10:23" ht="15.75" thickBot="1">
      <c r="J8" s="32">
        <v>4</v>
      </c>
      <c r="K8" s="33">
        <v>0.4</v>
      </c>
      <c r="P8" s="39" t="s">
        <v>38</v>
      </c>
      <c r="Q8" s="40">
        <v>0.12</v>
      </c>
      <c r="R8" s="40">
        <v>0.22</v>
      </c>
      <c r="S8" s="40">
        <v>0.28000000000000003</v>
      </c>
      <c r="T8" s="40">
        <v>0.36</v>
      </c>
      <c r="U8" s="41">
        <v>0.44</v>
      </c>
    </row>
    <row r="9" spans="10:23">
      <c r="P9" s="39" t="s">
        <v>40</v>
      </c>
      <c r="Q9" s="40">
        <v>0.19</v>
      </c>
      <c r="R9" s="40">
        <v>0.3</v>
      </c>
      <c r="S9" s="40">
        <v>0.34</v>
      </c>
      <c r="T9" s="40">
        <v>0.36</v>
      </c>
      <c r="U9" s="41">
        <v>0.36</v>
      </c>
    </row>
    <row r="10" spans="10:23" ht="15.75" thickBot="1">
      <c r="J10" s="24" t="s">
        <v>19</v>
      </c>
      <c r="K10" s="24"/>
      <c r="L10" s="24"/>
      <c r="P10" s="84" t="s">
        <v>42</v>
      </c>
      <c r="Q10" s="35">
        <v>0</v>
      </c>
      <c r="R10" s="35">
        <v>0</v>
      </c>
      <c r="S10" s="35">
        <v>0</v>
      </c>
      <c r="T10" s="35">
        <v>0</v>
      </c>
      <c r="U10" s="36">
        <v>0</v>
      </c>
    </row>
    <row r="11" spans="10:23">
      <c r="J11" s="27">
        <v>8.5300000000000001E-2</v>
      </c>
      <c r="K11" s="27" t="s">
        <v>22</v>
      </c>
      <c r="L11" s="24"/>
    </row>
    <row r="12" spans="10:23" ht="15.75" thickBot="1">
      <c r="J12" s="27">
        <v>7.3099999999999998E-2</v>
      </c>
      <c r="K12" s="27" t="s">
        <v>23</v>
      </c>
      <c r="L12" s="24" t="s">
        <v>24</v>
      </c>
      <c r="P12" s="24"/>
      <c r="Q12" s="24" t="s">
        <v>46</v>
      </c>
      <c r="R12" s="24"/>
      <c r="S12" s="24"/>
      <c r="T12" s="24"/>
      <c r="U12" s="24"/>
    </row>
    <row r="13" spans="10:23">
      <c r="J13" s="27">
        <v>4.8800000000000003E-2</v>
      </c>
      <c r="K13" s="27" t="s">
        <v>26</v>
      </c>
      <c r="L13" s="24"/>
      <c r="P13" s="157" t="s">
        <v>44</v>
      </c>
      <c r="Q13" s="159" t="s">
        <v>45</v>
      </c>
      <c r="R13" s="160"/>
      <c r="S13" s="160"/>
      <c r="T13" s="160"/>
      <c r="U13" s="161"/>
    </row>
    <row r="14" spans="10:23" ht="15.75" thickBot="1">
      <c r="P14" s="158"/>
      <c r="Q14" s="35">
        <v>7.4999999999999997E-2</v>
      </c>
      <c r="R14" s="35">
        <v>0.15</v>
      </c>
      <c r="S14" s="35">
        <v>0.2</v>
      </c>
      <c r="T14" s="35">
        <v>0.3</v>
      </c>
      <c r="U14" s="36">
        <v>0.4</v>
      </c>
    </row>
    <row r="15" spans="10:23" ht="15.75" thickBot="1">
      <c r="J15" s="24" t="s">
        <v>28</v>
      </c>
      <c r="K15" s="24"/>
      <c r="P15" s="83" t="s">
        <v>32</v>
      </c>
      <c r="Q15" s="37">
        <v>0.06</v>
      </c>
      <c r="R15" s="37">
        <v>0.12</v>
      </c>
      <c r="S15" s="37">
        <v>0.16</v>
      </c>
      <c r="T15" s="37">
        <v>0.24</v>
      </c>
      <c r="U15" s="38">
        <v>0.32</v>
      </c>
    </row>
    <row r="16" spans="10:23" ht="57">
      <c r="J16" s="28" t="s">
        <v>29</v>
      </c>
      <c r="K16" s="34" t="s">
        <v>30</v>
      </c>
      <c r="P16" s="39" t="s">
        <v>34</v>
      </c>
      <c r="Q16" s="40">
        <v>0.08</v>
      </c>
      <c r="R16" s="40">
        <v>0.15</v>
      </c>
      <c r="S16" s="40">
        <v>0.2</v>
      </c>
      <c r="T16" s="40">
        <v>0.3</v>
      </c>
      <c r="U16" s="41">
        <v>0.4</v>
      </c>
    </row>
    <row r="17" spans="10:21" ht="28.5">
      <c r="J17" s="30" t="s">
        <v>31</v>
      </c>
      <c r="K17" s="31" t="s">
        <v>32</v>
      </c>
      <c r="P17" s="39" t="s">
        <v>36</v>
      </c>
      <c r="Q17" s="40">
        <v>0.13</v>
      </c>
      <c r="R17" s="40">
        <v>0.25</v>
      </c>
      <c r="S17" s="40">
        <v>0.32</v>
      </c>
      <c r="T17" s="40">
        <v>0.45</v>
      </c>
      <c r="U17" s="41">
        <v>0.56000000000000005</v>
      </c>
    </row>
    <row r="18" spans="10:21">
      <c r="J18" s="30" t="s">
        <v>33</v>
      </c>
      <c r="K18" s="31" t="s">
        <v>34</v>
      </c>
      <c r="P18" s="39" t="s">
        <v>38</v>
      </c>
      <c r="Q18" s="40">
        <v>0.18</v>
      </c>
      <c r="R18" s="40">
        <v>0.32</v>
      </c>
      <c r="S18" s="40">
        <v>0.4</v>
      </c>
      <c r="T18" s="40">
        <v>0.54</v>
      </c>
      <c r="U18" s="41">
        <v>0.64</v>
      </c>
    </row>
    <row r="19" spans="10:21" ht="28.5">
      <c r="J19" s="30" t="s">
        <v>35</v>
      </c>
      <c r="K19" s="31" t="s">
        <v>36</v>
      </c>
      <c r="P19" s="39" t="s">
        <v>40</v>
      </c>
      <c r="Q19" s="40">
        <v>0.26</v>
      </c>
      <c r="R19" s="40">
        <v>0.5</v>
      </c>
      <c r="S19" s="40">
        <v>0.64</v>
      </c>
      <c r="T19" s="40">
        <v>0.84</v>
      </c>
      <c r="U19" s="41">
        <v>0.96</v>
      </c>
    </row>
    <row r="20" spans="10:21" ht="15.75" thickBot="1">
      <c r="J20" s="30" t="s">
        <v>37</v>
      </c>
      <c r="K20" s="31" t="s">
        <v>38</v>
      </c>
      <c r="P20" s="84" t="s">
        <v>42</v>
      </c>
      <c r="Q20" s="35">
        <v>0</v>
      </c>
      <c r="R20" s="35">
        <v>0</v>
      </c>
      <c r="S20" s="35">
        <v>0</v>
      </c>
      <c r="T20" s="35">
        <v>0</v>
      </c>
      <c r="U20" s="36">
        <v>0</v>
      </c>
    </row>
    <row r="21" spans="10:21">
      <c r="J21" s="30" t="s">
        <v>39</v>
      </c>
      <c r="K21" s="31" t="s">
        <v>40</v>
      </c>
    </row>
    <row r="22" spans="10:21" ht="29.25" thickBot="1">
      <c r="J22" s="32" t="s">
        <v>41</v>
      </c>
      <c r="K22" s="33" t="s">
        <v>42</v>
      </c>
    </row>
  </sheetData>
  <mergeCells count="4">
    <mergeCell ref="P3:P4"/>
    <mergeCell ref="Q3:U3"/>
    <mergeCell ref="P13:P14"/>
    <mergeCell ref="Q13:U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K10" sqref="K10"/>
    </sheetView>
  </sheetViews>
  <sheetFormatPr defaultRowHeight="15"/>
  <cols>
    <col min="2" max="2" width="10" bestFit="1" customWidth="1"/>
  </cols>
  <sheetData>
    <row r="1" spans="1:2">
      <c r="A1" s="119" t="s">
        <v>12</v>
      </c>
    </row>
    <row r="3" spans="1:2">
      <c r="A3" s="119" t="s">
        <v>126</v>
      </c>
      <c r="B3" s="120">
        <v>41947</v>
      </c>
    </row>
    <row r="4" spans="1:2">
      <c r="A4" s="121" t="s">
        <v>127</v>
      </c>
      <c r="B4" t="s">
        <v>129</v>
      </c>
    </row>
    <row r="5" spans="1:2" ht="18">
      <c r="A5" s="121" t="s">
        <v>128</v>
      </c>
      <c r="B5" t="s">
        <v>130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8"/>
  <sheetViews>
    <sheetView workbookViewId="0">
      <selection activeCell="E17" sqref="E17"/>
    </sheetView>
  </sheetViews>
  <sheetFormatPr defaultRowHeight="15"/>
  <cols>
    <col min="1" max="1" width="120.28515625" style="114" customWidth="1"/>
    <col min="2" max="16384" width="9.140625" style="114"/>
  </cols>
  <sheetData>
    <row r="1" spans="1:2">
      <c r="A1" s="114" t="s">
        <v>11</v>
      </c>
    </row>
    <row r="2" spans="1:2">
      <c r="A2" s="114" t="s">
        <v>75</v>
      </c>
    </row>
    <row r="3" spans="1:2">
      <c r="A3" s="114" t="s">
        <v>76</v>
      </c>
    </row>
    <row r="4" spans="1:2">
      <c r="A4" s="114" t="s">
        <v>97</v>
      </c>
    </row>
    <row r="5" spans="1:2">
      <c r="A5" s="115" t="s">
        <v>98</v>
      </c>
    </row>
    <row r="6" spans="1:2">
      <c r="A6" s="116" t="s">
        <v>99</v>
      </c>
    </row>
    <row r="7" spans="1:2">
      <c r="A7" s="114" t="s">
        <v>96</v>
      </c>
    </row>
    <row r="8" spans="1:2">
      <c r="A8" s="114" t="s">
        <v>94</v>
      </c>
      <c r="B8" s="117" t="s">
        <v>95</v>
      </c>
    </row>
    <row r="9" spans="1:2">
      <c r="B9" s="114" t="s">
        <v>101</v>
      </c>
    </row>
    <row r="10" spans="1:2">
      <c r="A10" s="117"/>
      <c r="B10" s="117" t="s">
        <v>100</v>
      </c>
    </row>
    <row r="11" spans="1:2">
      <c r="A11" s="117"/>
    </row>
    <row r="13" spans="1:2">
      <c r="A13" s="117"/>
    </row>
    <row r="15" spans="1:2">
      <c r="A15" s="117"/>
    </row>
    <row r="16" spans="1:2" ht="15" customHeight="1"/>
    <row r="18" spans="1:1" ht="19.5" customHeight="1">
      <c r="A18" s="118"/>
    </row>
  </sheetData>
  <hyperlinks>
    <hyperlink ref="B8" r:id="rId1"/>
    <hyperlink ref="B10" r:id="rId2"/>
  </hyperlinks>
  <pageMargins left="0.7" right="0.7" top="0.75" bottom="0.75" header="0.3" footer="0.3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66</vt:i4>
      </vt:variant>
    </vt:vector>
  </HeadingPairs>
  <TitlesOfParts>
    <vt:vector size="70" baseType="lpstr">
      <vt:lpstr>Calc</vt:lpstr>
      <vt:lpstr>ACI350.3-06 &amp; UBC97 Tables</vt:lpstr>
      <vt:lpstr>Rev History</vt:lpstr>
      <vt:lpstr>References</vt:lpstr>
      <vt:lpstr>Calc!B</vt:lpstr>
      <vt:lpstr>Ca</vt:lpstr>
      <vt:lpstr>Ca_Table</vt:lpstr>
      <vt:lpstr>Cc</vt:lpstr>
      <vt:lpstr>Ci</vt:lpstr>
      <vt:lpstr>Ct_T1</vt:lpstr>
      <vt:lpstr>Ct_T2</vt:lpstr>
      <vt:lpstr>Ct_Table</vt:lpstr>
      <vt:lpstr>Cv</vt:lpstr>
      <vt:lpstr>Cv_Table</vt:lpstr>
      <vt:lpstr>Ec</vt:lpstr>
      <vt:lpstr>Calc!fc</vt:lpstr>
      <vt:lpstr>g</vt:lpstr>
      <vt:lpstr>Calc!h</vt:lpstr>
      <vt:lpstr>h_r</vt:lpstr>
      <vt:lpstr>h_w</vt:lpstr>
      <vt:lpstr>hc</vt:lpstr>
      <vt:lpstr>hi</vt:lpstr>
      <vt:lpstr>HL</vt:lpstr>
      <vt:lpstr>HW</vt:lpstr>
      <vt:lpstr>I</vt:lpstr>
      <vt:lpstr>K</vt:lpstr>
      <vt:lpstr>K_ext_cal</vt:lpstr>
      <vt:lpstr>K_option</vt:lpstr>
      <vt:lpstr>K_table</vt:lpstr>
      <vt:lpstr>L</vt:lpstr>
      <vt:lpstr>L_HL</vt:lpstr>
      <vt:lpstr>Na</vt:lpstr>
      <vt:lpstr>Nv</vt:lpstr>
      <vt:lpstr>Pc</vt:lpstr>
      <vt:lpstr>Pc_B_dist</vt:lpstr>
      <vt:lpstr>Pc_T_dist</vt:lpstr>
      <vt:lpstr>Pi</vt:lpstr>
      <vt:lpstr>Pi_B_dist</vt:lpstr>
      <vt:lpstr>Pi_T_dist</vt:lpstr>
      <vt:lpstr>Pr</vt:lpstr>
      <vt:lpstr>Calc!Print_Area</vt:lpstr>
      <vt:lpstr>Calc!Print_Titles</vt:lpstr>
      <vt:lpstr>Pw</vt:lpstr>
      <vt:lpstr>Pw_dist</vt:lpstr>
      <vt:lpstr>Rc_</vt:lpstr>
      <vt:lpstr>Ri</vt:lpstr>
      <vt:lpstr>Soil_Desp</vt:lpstr>
      <vt:lpstr>Soil_T1</vt:lpstr>
      <vt:lpstr>Soil_Table</vt:lpstr>
      <vt:lpstr>Soil_Type</vt:lpstr>
      <vt:lpstr>Tc</vt:lpstr>
      <vt:lpstr>Ti</vt:lpstr>
      <vt:lpstr>tr</vt:lpstr>
      <vt:lpstr>Ts</vt:lpstr>
      <vt:lpstr>tw</vt:lpstr>
      <vt:lpstr>W</vt:lpstr>
      <vt:lpstr>Wc</vt:lpstr>
      <vt:lpstr>Wc_coff</vt:lpstr>
      <vt:lpstr>Wi</vt:lpstr>
      <vt:lpstr>Wi_coff</vt:lpstr>
      <vt:lpstr>WL</vt:lpstr>
      <vt:lpstr>Wr</vt:lpstr>
      <vt:lpstr>Ww</vt:lpstr>
      <vt:lpstr>Z</vt:lpstr>
      <vt:lpstr>zone</vt:lpstr>
      <vt:lpstr>Zone_T1</vt:lpstr>
      <vt:lpstr>Zone_Table</vt:lpstr>
      <vt:lpstr>γc</vt:lpstr>
      <vt:lpstr>γL</vt:lpstr>
      <vt:lpstr>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AbuShadi</dc:creator>
  <cp:lastModifiedBy>M. Abu Shady</cp:lastModifiedBy>
  <cp:lastPrinted>2014-11-04T06:03:48Z</cp:lastPrinted>
  <dcterms:created xsi:type="dcterms:W3CDTF">2010-05-16T07:08:09Z</dcterms:created>
  <dcterms:modified xsi:type="dcterms:W3CDTF">2014-11-04T06:09:43Z</dcterms:modified>
</cp:coreProperties>
</file>