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8960" windowHeight="7665" firstSheet="1" activeTab="1"/>
  </bookViews>
  <sheets>
    <sheet name="~#temp" sheetId="4" state="hidden" r:id="rId1"/>
    <sheet name="Calcs_winch on beam" sheetId="1" r:id="rId2"/>
    <sheet name="Calcs_Horiz_Winch" sheetId="5" r:id="rId3"/>
    <sheet name="Budget" sheetId="7" r:id="rId4"/>
    <sheet name="Project_WBS AFE Rev 4" sheetId="9" r:id="rId5"/>
    <sheet name="Project_WBS AFE Rev 5" sheetId="13" r:id="rId6"/>
    <sheet name="Project_WBS AFE Rev 6" sheetId="14" r:id="rId7"/>
    <sheet name="EFOF Bin" sheetId="10" r:id="rId8"/>
    <sheet name="Welding" sheetId="11" r:id="rId9"/>
    <sheet name="Scaffold" sheetId="12" r:id="rId10"/>
  </sheets>
  <externalReferences>
    <externalReference r:id="rId11"/>
  </externalReferences>
  <definedNames>
    <definedName name="_xlnm.Print_Area" localSheetId="4">'Project_WBS AFE Rev 4'!$B$1:$H$55</definedName>
    <definedName name="_xlnm.Print_Area" localSheetId="5">'Project_WBS AFE Rev 5'!$B$1:$H$55</definedName>
    <definedName name="_xlnm.Print_Area" localSheetId="6">'Project_WBS AFE Rev 6'!$B$1:$H$55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E14" i="1" l="1"/>
  <c r="E15" i="1"/>
  <c r="E17" i="1"/>
  <c r="E22" i="1"/>
  <c r="E33" i="1"/>
  <c r="E34" i="1"/>
  <c r="E35" i="1"/>
  <c r="G48" i="14" l="1"/>
  <c r="F48" i="14"/>
  <c r="E48" i="14"/>
  <c r="N46" i="14"/>
  <c r="L46" i="14"/>
  <c r="H46" i="14"/>
  <c r="N45" i="14"/>
  <c r="L45" i="14"/>
  <c r="H45" i="14"/>
  <c r="N44" i="14"/>
  <c r="L44" i="14"/>
  <c r="H44" i="14"/>
  <c r="N43" i="14"/>
  <c r="L43" i="14"/>
  <c r="H43" i="14"/>
  <c r="N42" i="14"/>
  <c r="L42" i="14"/>
  <c r="H42" i="14"/>
  <c r="B42" i="14"/>
  <c r="B44" i="14" s="1"/>
  <c r="N41" i="14"/>
  <c r="L41" i="14"/>
  <c r="N39" i="14"/>
  <c r="L39" i="14"/>
  <c r="H39" i="14"/>
  <c r="N38" i="14"/>
  <c r="L38" i="14"/>
  <c r="H38" i="14"/>
  <c r="N37" i="14"/>
  <c r="L37" i="14"/>
  <c r="H37" i="14"/>
  <c r="N36" i="14"/>
  <c r="L36" i="14"/>
  <c r="H36" i="14"/>
  <c r="B36" i="14"/>
  <c r="B37" i="14" s="1"/>
  <c r="B38" i="14" s="1"/>
  <c r="B39" i="14" s="1"/>
  <c r="N35" i="14"/>
  <c r="L35" i="14"/>
  <c r="N33" i="14"/>
  <c r="L33" i="14"/>
  <c r="H33" i="14"/>
  <c r="N32" i="14"/>
  <c r="L32" i="14"/>
  <c r="H32" i="14"/>
  <c r="N31" i="14"/>
  <c r="L31" i="14"/>
  <c r="H31" i="14"/>
  <c r="H30" i="14"/>
  <c r="B30" i="14"/>
  <c r="B31" i="14" s="1"/>
  <c r="B32" i="14" s="1"/>
  <c r="B33" i="14" s="1"/>
  <c r="N29" i="14"/>
  <c r="L29" i="14"/>
  <c r="N28" i="14"/>
  <c r="L28" i="14"/>
  <c r="N27" i="14"/>
  <c r="H27" i="14"/>
  <c r="N26" i="14"/>
  <c r="H26" i="14"/>
  <c r="N25" i="14"/>
  <c r="L25" i="14"/>
  <c r="H25" i="14"/>
  <c r="N24" i="14"/>
  <c r="L24" i="14"/>
  <c r="H24" i="14"/>
  <c r="N23" i="14"/>
  <c r="L23" i="14"/>
  <c r="H23" i="14"/>
  <c r="H22" i="14"/>
  <c r="N21" i="14"/>
  <c r="L21" i="14"/>
  <c r="D21" i="14"/>
  <c r="D48" i="14" s="1"/>
  <c r="B21" i="14"/>
  <c r="B22" i="14" s="1"/>
  <c r="B23" i="14" s="1"/>
  <c r="B24" i="14" s="1"/>
  <c r="B25" i="14" s="1"/>
  <c r="B26" i="14" s="1"/>
  <c r="B27" i="14" s="1"/>
  <c r="N20" i="14"/>
  <c r="L20" i="14"/>
  <c r="M16" i="14"/>
  <c r="K16" i="14"/>
  <c r="J16" i="14"/>
  <c r="F16" i="14"/>
  <c r="E16" i="14"/>
  <c r="D16" i="14"/>
  <c r="N15" i="14"/>
  <c r="L15" i="14"/>
  <c r="N14" i="14"/>
  <c r="H14" i="14"/>
  <c r="G14" i="14"/>
  <c r="N13" i="14"/>
  <c r="H13" i="14"/>
  <c r="G13" i="14"/>
  <c r="N12" i="14"/>
  <c r="H12" i="14"/>
  <c r="G12" i="14"/>
  <c r="N11" i="14"/>
  <c r="L11" i="14"/>
  <c r="H11" i="14"/>
  <c r="G11" i="14"/>
  <c r="N10" i="14"/>
  <c r="L10" i="14"/>
  <c r="H10" i="14"/>
  <c r="G10" i="14"/>
  <c r="N9" i="14"/>
  <c r="L9" i="14"/>
  <c r="H9" i="14"/>
  <c r="G9" i="14"/>
  <c r="N8" i="14"/>
  <c r="L8" i="14"/>
  <c r="H8" i="14"/>
  <c r="H16" i="14" s="1"/>
  <c r="G8" i="14"/>
  <c r="G16" i="14" s="1"/>
  <c r="B8" i="14"/>
  <c r="B9" i="14" s="1"/>
  <c r="B10" i="14" s="1"/>
  <c r="B11" i="14" s="1"/>
  <c r="B12" i="14" s="1"/>
  <c r="B13" i="14" s="1"/>
  <c r="B14" i="14" s="1"/>
  <c r="F22" i="1"/>
  <c r="H21" i="14" l="1"/>
  <c r="H48" i="14" s="1"/>
  <c r="L16" i="14"/>
  <c r="N16" i="14"/>
  <c r="K48" i="14"/>
  <c r="M48" i="14"/>
  <c r="N48" i="14" s="1"/>
  <c r="B43" i="14"/>
  <c r="B45" i="14" s="1"/>
  <c r="B46" i="14" s="1"/>
  <c r="G48" i="13"/>
  <c r="F48" i="13"/>
  <c r="E48" i="13"/>
  <c r="N46" i="13"/>
  <c r="L46" i="13"/>
  <c r="H46" i="13"/>
  <c r="N45" i="13"/>
  <c r="L45" i="13"/>
  <c r="H45" i="13"/>
  <c r="N44" i="13"/>
  <c r="L44" i="13"/>
  <c r="H44" i="13"/>
  <c r="N43" i="13"/>
  <c r="L43" i="13"/>
  <c r="H43" i="13"/>
  <c r="N42" i="13"/>
  <c r="L42" i="13"/>
  <c r="H42" i="13"/>
  <c r="B42" i="13"/>
  <c r="B44" i="13" s="1"/>
  <c r="N41" i="13"/>
  <c r="L41" i="13"/>
  <c r="N39" i="13"/>
  <c r="L39" i="13"/>
  <c r="H39" i="13"/>
  <c r="N38" i="13"/>
  <c r="L38" i="13"/>
  <c r="H38" i="13"/>
  <c r="N37" i="13"/>
  <c r="L37" i="13"/>
  <c r="H37" i="13"/>
  <c r="N36" i="13"/>
  <c r="L36" i="13"/>
  <c r="H36" i="13"/>
  <c r="B36" i="13"/>
  <c r="B37" i="13" s="1"/>
  <c r="B38" i="13" s="1"/>
  <c r="B39" i="13" s="1"/>
  <c r="N35" i="13"/>
  <c r="L35" i="13"/>
  <c r="N33" i="13"/>
  <c r="L33" i="13"/>
  <c r="H33" i="13"/>
  <c r="N32" i="13"/>
  <c r="L32" i="13"/>
  <c r="H32" i="13"/>
  <c r="N31" i="13"/>
  <c r="L31" i="13"/>
  <c r="H31" i="13"/>
  <c r="H30" i="13"/>
  <c r="B30" i="13"/>
  <c r="B31" i="13" s="1"/>
  <c r="B32" i="13" s="1"/>
  <c r="B33" i="13" s="1"/>
  <c r="N29" i="13"/>
  <c r="L29" i="13"/>
  <c r="N28" i="13"/>
  <c r="L28" i="13"/>
  <c r="N27" i="13"/>
  <c r="H27" i="13"/>
  <c r="N26" i="13"/>
  <c r="H26" i="13"/>
  <c r="N25" i="13"/>
  <c r="L25" i="13"/>
  <c r="H25" i="13"/>
  <c r="N24" i="13"/>
  <c r="L24" i="13"/>
  <c r="H24" i="13"/>
  <c r="N23" i="13"/>
  <c r="L23" i="13"/>
  <c r="H23" i="13"/>
  <c r="H22" i="13"/>
  <c r="N21" i="13"/>
  <c r="L21" i="13"/>
  <c r="H21" i="13"/>
  <c r="D21" i="13"/>
  <c r="D48" i="13" s="1"/>
  <c r="B21" i="13"/>
  <c r="B22" i="13" s="1"/>
  <c r="B23" i="13" s="1"/>
  <c r="B24" i="13" s="1"/>
  <c r="B25" i="13" s="1"/>
  <c r="B26" i="13" s="1"/>
  <c r="B27" i="13" s="1"/>
  <c r="N20" i="13"/>
  <c r="L20" i="13"/>
  <c r="M16" i="13"/>
  <c r="K16" i="13"/>
  <c r="J16" i="13"/>
  <c r="F16" i="13"/>
  <c r="E16" i="13"/>
  <c r="D16" i="13"/>
  <c r="N15" i="13"/>
  <c r="L15" i="13"/>
  <c r="N14" i="13"/>
  <c r="H14" i="13"/>
  <c r="G14" i="13"/>
  <c r="N13" i="13"/>
  <c r="H13" i="13"/>
  <c r="G13" i="13"/>
  <c r="N12" i="13"/>
  <c r="H12" i="13"/>
  <c r="G12" i="13"/>
  <c r="N11" i="13"/>
  <c r="L11" i="13"/>
  <c r="H11" i="13"/>
  <c r="G11" i="13"/>
  <c r="N10" i="13"/>
  <c r="L10" i="13"/>
  <c r="H10" i="13"/>
  <c r="G10" i="13"/>
  <c r="N9" i="13"/>
  <c r="L9" i="13"/>
  <c r="H9" i="13"/>
  <c r="G9" i="13"/>
  <c r="N8" i="13"/>
  <c r="L8" i="13"/>
  <c r="H8" i="13"/>
  <c r="H16" i="13" s="1"/>
  <c r="G8" i="13"/>
  <c r="B8" i="13"/>
  <c r="B9" i="13" s="1"/>
  <c r="B10" i="13" s="1"/>
  <c r="B11" i="13" s="1"/>
  <c r="B12" i="13" s="1"/>
  <c r="B13" i="13" s="1"/>
  <c r="B14" i="13" s="1"/>
  <c r="G16" i="13" l="1"/>
  <c r="L48" i="14"/>
  <c r="H48" i="13"/>
  <c r="L16" i="13"/>
  <c r="N16" i="13"/>
  <c r="K48" i="13"/>
  <c r="M48" i="13"/>
  <c r="N48" i="13" s="1"/>
  <c r="B43" i="13"/>
  <c r="B45" i="13" s="1"/>
  <c r="B46" i="13" s="1"/>
  <c r="N36" i="9"/>
  <c r="L36" i="9"/>
  <c r="H36" i="9"/>
  <c r="H30" i="9"/>
  <c r="N27" i="9"/>
  <c r="N26" i="9"/>
  <c r="E48" i="9"/>
  <c r="D21" i="9"/>
  <c r="N9" i="9"/>
  <c r="N10" i="9"/>
  <c r="N11" i="9"/>
  <c r="N12" i="9"/>
  <c r="N13" i="9"/>
  <c r="N14" i="9"/>
  <c r="N8" i="9"/>
  <c r="G9" i="9"/>
  <c r="G10" i="9"/>
  <c r="G11" i="9"/>
  <c r="G12" i="9"/>
  <c r="G13" i="9"/>
  <c r="G14" i="9"/>
  <c r="G8" i="9"/>
  <c r="J16" i="9"/>
  <c r="N44" i="9"/>
  <c r="L44" i="9"/>
  <c r="H44" i="9"/>
  <c r="H14" i="9"/>
  <c r="H9" i="9"/>
  <c r="H10" i="9"/>
  <c r="H11" i="9"/>
  <c r="H12" i="9"/>
  <c r="H13" i="9"/>
  <c r="H8" i="9"/>
  <c r="H46" i="9"/>
  <c r="H45" i="9"/>
  <c r="H43" i="9"/>
  <c r="H42" i="9"/>
  <c r="H39" i="9"/>
  <c r="H38" i="9"/>
  <c r="H37" i="9"/>
  <c r="H33" i="9"/>
  <c r="H32" i="9"/>
  <c r="H31" i="9"/>
  <c r="H22" i="9"/>
  <c r="H23" i="9"/>
  <c r="H24" i="9"/>
  <c r="H25" i="9"/>
  <c r="H26" i="9"/>
  <c r="H27" i="9"/>
  <c r="F48" i="9"/>
  <c r="G48" i="9"/>
  <c r="E16" i="9"/>
  <c r="F16" i="9"/>
  <c r="M16" i="9"/>
  <c r="K16" i="9"/>
  <c r="D16" i="9"/>
  <c r="N15" i="9"/>
  <c r="L15" i="9"/>
  <c r="L48" i="13" l="1"/>
  <c r="G16" i="9"/>
  <c r="N16" i="9"/>
  <c r="H21" i="9"/>
  <c r="H48" i="9" s="1"/>
  <c r="D48" i="9"/>
  <c r="C22" i="12"/>
  <c r="F20" i="12"/>
  <c r="D20" i="12"/>
  <c r="F19" i="12"/>
  <c r="E19" i="12"/>
  <c r="D19" i="12"/>
  <c r="F18" i="12"/>
  <c r="E18" i="12"/>
  <c r="D18" i="12"/>
  <c r="F17" i="12"/>
  <c r="E17" i="12"/>
  <c r="D17" i="12"/>
  <c r="C14" i="12"/>
  <c r="F12" i="12"/>
  <c r="E11" i="12"/>
  <c r="F11" i="12" s="1"/>
  <c r="E10" i="12"/>
  <c r="F10" i="12" s="1"/>
  <c r="D10" i="12"/>
  <c r="F9" i="12"/>
  <c r="F14" i="12" s="1"/>
  <c r="E9" i="12"/>
  <c r="D9" i="12"/>
  <c r="N67" i="11"/>
  <c r="N66" i="11"/>
  <c r="E59" i="11"/>
  <c r="G59" i="11" s="1"/>
  <c r="F63" i="11" s="1"/>
  <c r="H63" i="11" s="1"/>
  <c r="N63" i="11" s="1"/>
  <c r="D54" i="11"/>
  <c r="F59" i="11" s="1"/>
  <c r="H59" i="11" s="1"/>
  <c r="N45" i="11"/>
  <c r="N44" i="11"/>
  <c r="E37" i="11"/>
  <c r="D32" i="11"/>
  <c r="N23" i="11"/>
  <c r="N22" i="11"/>
  <c r="C15" i="11"/>
  <c r="E15" i="11" s="1"/>
  <c r="D10" i="11"/>
  <c r="F22" i="12" l="1"/>
  <c r="F24" i="12" s="1"/>
  <c r="F37" i="11"/>
  <c r="H37" i="11" s="1"/>
  <c r="F65" i="11"/>
  <c r="N65" i="11" s="1"/>
  <c r="N70" i="11" s="1"/>
  <c r="J59" i="11"/>
  <c r="F64" i="11" s="1"/>
  <c r="H64" i="11" s="1"/>
  <c r="N64" i="11" s="1"/>
  <c r="I59" i="11"/>
  <c r="I61" i="11" s="1"/>
  <c r="G15" i="11"/>
  <c r="F19" i="11" s="1"/>
  <c r="H19" i="11" s="1"/>
  <c r="N19" i="11" s="1"/>
  <c r="F15" i="11"/>
  <c r="H15" i="11" s="1"/>
  <c r="F43" i="11"/>
  <c r="N43" i="11" s="1"/>
  <c r="J37" i="11"/>
  <c r="F42" i="11" s="1"/>
  <c r="H42" i="11" s="1"/>
  <c r="N42" i="11" s="1"/>
  <c r="I37" i="11"/>
  <c r="I39" i="11" s="1"/>
  <c r="G37" i="11"/>
  <c r="F41" i="11" s="1"/>
  <c r="H41" i="11" s="1"/>
  <c r="N41" i="11" s="1"/>
  <c r="L10" i="9"/>
  <c r="H16" i="9"/>
  <c r="L16" i="9" s="1"/>
  <c r="M48" i="9"/>
  <c r="K48" i="9"/>
  <c r="N46" i="9"/>
  <c r="L46" i="9"/>
  <c r="N45" i="9"/>
  <c r="L45" i="9"/>
  <c r="N43" i="9"/>
  <c r="L43" i="9"/>
  <c r="N42" i="9"/>
  <c r="L42" i="9"/>
  <c r="B42" i="9"/>
  <c r="B44" i="9" s="1"/>
  <c r="N41" i="9"/>
  <c r="L41" i="9"/>
  <c r="N39" i="9"/>
  <c r="L39" i="9"/>
  <c r="N38" i="9"/>
  <c r="L38" i="9"/>
  <c r="N37" i="9"/>
  <c r="L37" i="9"/>
  <c r="B36" i="9"/>
  <c r="B37" i="9" s="1"/>
  <c r="B38" i="9" s="1"/>
  <c r="B39" i="9" s="1"/>
  <c r="N35" i="9"/>
  <c r="L35" i="9"/>
  <c r="N33" i="9"/>
  <c r="L33" i="9"/>
  <c r="N32" i="9"/>
  <c r="L32" i="9"/>
  <c r="N31" i="9"/>
  <c r="L31" i="9"/>
  <c r="B30" i="9"/>
  <c r="B31" i="9" s="1"/>
  <c r="B32" i="9" s="1"/>
  <c r="B33" i="9" s="1"/>
  <c r="N29" i="9"/>
  <c r="L29" i="9"/>
  <c r="N28" i="9"/>
  <c r="L28" i="9"/>
  <c r="N25" i="9"/>
  <c r="L25" i="9"/>
  <c r="N24" i="9"/>
  <c r="L24" i="9"/>
  <c r="N23" i="9"/>
  <c r="L23" i="9"/>
  <c r="N21" i="9"/>
  <c r="L21" i="9"/>
  <c r="B21" i="9"/>
  <c r="B22" i="9" s="1"/>
  <c r="B23" i="9" s="1"/>
  <c r="B24" i="9" s="1"/>
  <c r="B25" i="9" s="1"/>
  <c r="B26" i="9" s="1"/>
  <c r="B27" i="9" s="1"/>
  <c r="N20" i="9"/>
  <c r="L20" i="9"/>
  <c r="L11" i="9"/>
  <c r="L9" i="9"/>
  <c r="L8" i="9"/>
  <c r="B8" i="9"/>
  <c r="B9" i="9" s="1"/>
  <c r="B10" i="9" s="1"/>
  <c r="B11" i="9" s="1"/>
  <c r="B12" i="9" s="1"/>
  <c r="B13" i="9" s="1"/>
  <c r="B14" i="9" s="1"/>
  <c r="B43" i="9" l="1"/>
  <c r="B45" i="9" s="1"/>
  <c r="B46" i="9" s="1"/>
  <c r="I15" i="11"/>
  <c r="I17" i="11" s="1"/>
  <c r="F21" i="11"/>
  <c r="N21" i="11" s="1"/>
  <c r="J15" i="11"/>
  <c r="F20" i="11" s="1"/>
  <c r="H20" i="11" s="1"/>
  <c r="N20" i="11" s="1"/>
  <c r="N48" i="11"/>
  <c r="L48" i="9"/>
  <c r="N48" i="9"/>
  <c r="C27" i="5"/>
  <c r="N26" i="11" l="1"/>
  <c r="O70" i="11" s="1"/>
  <c r="C22" i="5"/>
  <c r="C28" i="5" s="1"/>
  <c r="C14" i="5"/>
  <c r="C15" i="5"/>
  <c r="E15" i="5"/>
  <c r="F22" i="5"/>
  <c r="E22" i="5"/>
  <c r="E14" i="5"/>
  <c r="E28" i="5"/>
  <c r="G28" i="5"/>
  <c r="C29" i="5" l="1"/>
  <c r="C17" i="5"/>
  <c r="E17" i="5"/>
  <c r="E29" i="5"/>
  <c r="G29" i="5"/>
  <c r="C22" i="1" l="1"/>
  <c r="C25" i="1" l="1"/>
  <c r="C29" i="1"/>
  <c r="C14" i="1"/>
  <c r="C15" i="1"/>
  <c r="C17" i="1" l="1"/>
  <c r="C33" i="1"/>
  <c r="C26" i="1" l="1"/>
  <c r="C34" i="1"/>
  <c r="C35" i="1" l="1"/>
</calcChain>
</file>

<file path=xl/sharedStrings.xml><?xml version="1.0" encoding="utf-8"?>
<sst xmlns="http://schemas.openxmlformats.org/spreadsheetml/2006/main" count="724" uniqueCount="262">
  <si>
    <t>ML-500 Feed Chute - Winch Frame Calcs</t>
  </si>
  <si>
    <t>Description</t>
  </si>
  <si>
    <t>Symbol</t>
  </si>
  <si>
    <t>Value</t>
  </si>
  <si>
    <t>Units</t>
  </si>
  <si>
    <t>Formula/Reference</t>
  </si>
  <si>
    <t>Notes</t>
  </si>
  <si>
    <t>Gravity</t>
  </si>
  <si>
    <t>g =</t>
  </si>
  <si>
    <t>Lift Capacity</t>
  </si>
  <si>
    <r>
      <t>F</t>
    </r>
    <r>
      <rPr>
        <vertAlign val="subscript"/>
        <sz val="11"/>
        <color indexed="8"/>
        <rFont val="Calibri"/>
        <family val="2"/>
      </rPr>
      <t>l</t>
    </r>
    <r>
      <rPr>
        <sz val="11"/>
        <color indexed="8"/>
        <rFont val="Calibri"/>
        <family val="2"/>
      </rPr>
      <t xml:space="preserve"> =</t>
    </r>
  </si>
  <si>
    <t>kg</t>
  </si>
  <si>
    <t>N</t>
  </si>
  <si>
    <t>Forces acting on I-Beam</t>
  </si>
  <si>
    <t>Vertical Force</t>
  </si>
  <si>
    <r>
      <t>F</t>
    </r>
    <r>
      <rPr>
        <vertAlign val="subscript"/>
        <sz val="11"/>
        <color indexed="8"/>
        <rFont val="Calibri"/>
        <family val="2"/>
      </rPr>
      <t>vert</t>
    </r>
    <r>
      <rPr>
        <sz val="11"/>
        <color indexed="8"/>
        <rFont val="Calibri"/>
        <family val="2"/>
      </rPr>
      <t xml:space="preserve"> =</t>
    </r>
  </si>
  <si>
    <t>Horizontal Force</t>
  </si>
  <si>
    <r>
      <t>F</t>
    </r>
    <r>
      <rPr>
        <vertAlign val="subscript"/>
        <sz val="11"/>
        <color indexed="8"/>
        <rFont val="Calibri"/>
        <family val="2"/>
      </rPr>
      <t>horz</t>
    </r>
    <r>
      <rPr>
        <sz val="11"/>
        <color indexed="8"/>
        <rFont val="Calibri"/>
        <family val="2"/>
      </rPr>
      <t xml:space="preserve"> =</t>
    </r>
  </si>
  <si>
    <t>Pulley hieght above base</t>
  </si>
  <si>
    <r>
      <t>r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 xml:space="preserve"> =</t>
    </r>
  </si>
  <si>
    <t>m</t>
  </si>
  <si>
    <t>Moment acting at base of Beam</t>
  </si>
  <si>
    <t>M =</t>
  </si>
  <si>
    <t>Nm</t>
  </si>
  <si>
    <t>2nd Moment of Area (360UB 56.7)</t>
  </si>
  <si>
    <r>
      <t>I</t>
    </r>
    <r>
      <rPr>
        <vertAlign val="subscript"/>
        <sz val="11"/>
        <color indexed="8"/>
        <rFont val="Calibri"/>
        <family val="2"/>
      </rPr>
      <t>xx</t>
    </r>
    <r>
      <rPr>
        <sz val="11"/>
        <color indexed="8"/>
        <rFont val="Calibri"/>
        <family val="2"/>
      </rPr>
      <t xml:space="preserve"> =</t>
    </r>
  </si>
  <si>
    <r>
      <t>m</t>
    </r>
    <r>
      <rPr>
        <vertAlign val="superscript"/>
        <sz val="11"/>
        <color indexed="8"/>
        <rFont val="Calibri"/>
        <family val="2"/>
      </rPr>
      <t>4</t>
    </r>
  </si>
  <si>
    <t>Depth of Section</t>
  </si>
  <si>
    <r>
      <t>d</t>
    </r>
    <r>
      <rPr>
        <vertAlign val="subscript"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=</t>
    </r>
  </si>
  <si>
    <t>Max distance from Centroid</t>
  </si>
  <si>
    <t>Y =</t>
  </si>
  <si>
    <t>Stress due to bending</t>
  </si>
  <si>
    <r>
      <t>σ</t>
    </r>
    <r>
      <rPr>
        <vertAlign val="subscript"/>
        <sz val="11"/>
        <color indexed="8"/>
        <rFont val="Calibri"/>
        <family val="2"/>
      </rPr>
      <t>b</t>
    </r>
    <r>
      <rPr>
        <sz val="11"/>
        <color indexed="8"/>
        <rFont val="Calibri"/>
        <family val="2"/>
      </rPr>
      <t xml:space="preserve"> =</t>
    </r>
  </si>
  <si>
    <t>Pa</t>
  </si>
  <si>
    <t>MPa</t>
  </si>
  <si>
    <t>1.0 Determine Load Required by Winch</t>
  </si>
  <si>
    <t>Using current method of pushing</t>
  </si>
  <si>
    <t>No of People</t>
  </si>
  <si>
    <r>
      <t>#</t>
    </r>
    <r>
      <rPr>
        <vertAlign val="subscript"/>
        <sz val="11"/>
        <color indexed="8"/>
        <rFont val="Calibri"/>
        <family val="2"/>
      </rPr>
      <t>p</t>
    </r>
    <r>
      <rPr>
        <sz val="11"/>
        <color indexed="8"/>
        <rFont val="Calibri"/>
        <family val="2"/>
      </rPr>
      <t xml:space="preserve"> =</t>
    </r>
  </si>
  <si>
    <t>Average pushing capacity</t>
  </si>
  <si>
    <t>people</t>
  </si>
  <si>
    <t>No of people using a Crow-Bar</t>
  </si>
  <si>
    <t>Length of Crow Bar</t>
  </si>
  <si>
    <r>
      <t>W</t>
    </r>
    <r>
      <rPr>
        <vertAlign val="subscript"/>
        <sz val="11"/>
        <color indexed="8"/>
        <rFont val="Calibri"/>
        <family val="2"/>
      </rPr>
      <t>pav</t>
    </r>
    <r>
      <rPr>
        <sz val="11"/>
        <color indexed="8"/>
        <rFont val="Calibri"/>
        <family val="2"/>
      </rPr>
      <t xml:space="preserve"> =</t>
    </r>
  </si>
  <si>
    <r>
      <t>#</t>
    </r>
    <r>
      <rPr>
        <vertAlign val="subscript"/>
        <sz val="11"/>
        <color indexed="8"/>
        <rFont val="Calibri"/>
        <family val="2"/>
      </rPr>
      <t>c</t>
    </r>
    <r>
      <rPr>
        <sz val="11"/>
        <color indexed="8"/>
        <rFont val="Calibri"/>
        <family val="2"/>
      </rPr>
      <t xml:space="preserve"> =</t>
    </r>
  </si>
  <si>
    <t>l =</t>
  </si>
  <si>
    <t>Combined pushing force</t>
  </si>
  <si>
    <r>
      <t>ms</t>
    </r>
    <r>
      <rPr>
        <vertAlign val="superscript"/>
        <sz val="11"/>
        <color indexed="8"/>
        <rFont val="Calibri"/>
        <family val="2"/>
      </rPr>
      <t>-2</t>
    </r>
  </si>
  <si>
    <t>Fulcrum Distance</t>
  </si>
  <si>
    <r>
      <t>d</t>
    </r>
    <r>
      <rPr>
        <vertAlign val="subscript"/>
        <sz val="11"/>
        <color indexed="8"/>
        <rFont val="Calibri"/>
        <family val="2"/>
      </rPr>
      <t>f</t>
    </r>
    <r>
      <rPr>
        <sz val="11"/>
        <color indexed="8"/>
        <rFont val="Calibri"/>
        <family val="2"/>
      </rPr>
      <t xml:space="preserve"> =</t>
    </r>
  </si>
  <si>
    <r>
      <t>F</t>
    </r>
    <r>
      <rPr>
        <vertAlign val="subscript"/>
        <sz val="11"/>
        <color indexed="8"/>
        <rFont val="Calibri"/>
        <family val="2"/>
      </rPr>
      <t>p</t>
    </r>
    <r>
      <rPr>
        <sz val="11"/>
        <color indexed="8"/>
        <rFont val="Calibri"/>
        <family val="2"/>
      </rPr>
      <t xml:space="preserve"> =</t>
    </r>
  </si>
  <si>
    <t>Crow bar force</t>
  </si>
  <si>
    <r>
      <t>F</t>
    </r>
    <r>
      <rPr>
        <vertAlign val="subscript"/>
        <sz val="11"/>
        <color indexed="8"/>
        <rFont val="Calibri"/>
        <family val="2"/>
      </rPr>
      <t>c</t>
    </r>
    <r>
      <rPr>
        <sz val="11"/>
        <color indexed="8"/>
        <rFont val="Calibri"/>
        <family val="2"/>
      </rPr>
      <t xml:space="preserve"> =</t>
    </r>
  </si>
  <si>
    <r>
      <t>F</t>
    </r>
    <r>
      <rPr>
        <vertAlign val="subscript"/>
        <sz val="11"/>
        <color indexed="8"/>
        <rFont val="Calibri"/>
        <family val="2"/>
      </rPr>
      <t>tot</t>
    </r>
    <r>
      <rPr>
        <sz val="11"/>
        <color indexed="8"/>
        <rFont val="Calibri"/>
        <family val="2"/>
      </rPr>
      <t xml:space="preserve"> =</t>
    </r>
  </si>
  <si>
    <t>OGL Suggested Winch</t>
  </si>
  <si>
    <t>Total Pushing Force Produced</t>
  </si>
  <si>
    <t xml:space="preserve">Therefore 8829N being over 2x the calculated human force, the OGL suggested winch seems reasonable. </t>
  </si>
  <si>
    <t>Angle of Action</t>
  </si>
  <si>
    <t>deg</t>
  </si>
  <si>
    <t>α =</t>
  </si>
  <si>
    <t>Parallel to Beam</t>
  </si>
  <si>
    <t>Forces on Beam</t>
  </si>
  <si>
    <t>Perpendicular</t>
  </si>
  <si>
    <t>Depth of Beam</t>
  </si>
  <si>
    <r>
      <t>F</t>
    </r>
    <r>
      <rPr>
        <vertAlign val="subscript"/>
        <sz val="11"/>
        <color indexed="8"/>
        <rFont val="Calibri"/>
        <family val="2"/>
      </rPr>
      <t>par</t>
    </r>
    <r>
      <rPr>
        <sz val="11"/>
        <color indexed="8"/>
        <rFont val="Calibri"/>
        <family val="2"/>
      </rPr>
      <t xml:space="preserve"> =</t>
    </r>
  </si>
  <si>
    <r>
      <t>F</t>
    </r>
    <r>
      <rPr>
        <vertAlign val="subscript"/>
        <sz val="11"/>
        <color indexed="8"/>
        <rFont val="Calibri"/>
        <family val="2"/>
      </rPr>
      <t>perp</t>
    </r>
    <r>
      <rPr>
        <sz val="11"/>
        <color indexed="8"/>
        <rFont val="Calibri"/>
        <family val="2"/>
      </rPr>
      <t xml:space="preserve"> =</t>
    </r>
  </si>
  <si>
    <r>
      <t>D</t>
    </r>
    <r>
      <rPr>
        <vertAlign val="subscript"/>
        <sz val="11"/>
        <color indexed="8"/>
        <rFont val="Calibri"/>
        <family val="2"/>
      </rPr>
      <t>b</t>
    </r>
    <r>
      <rPr>
        <sz val="11"/>
        <color indexed="8"/>
        <rFont val="Calibri"/>
        <family val="2"/>
      </rPr>
      <t xml:space="preserve"> =</t>
    </r>
  </si>
  <si>
    <t>Lateral Torsional Moment</t>
  </si>
  <si>
    <t>Longitudinal Torsional Moment</t>
  </si>
  <si>
    <r>
      <t>M</t>
    </r>
    <r>
      <rPr>
        <vertAlign val="subscript"/>
        <sz val="11"/>
        <color indexed="8"/>
        <rFont val="Calibri"/>
        <family val="2"/>
      </rPr>
      <t>Tlat</t>
    </r>
    <r>
      <rPr>
        <sz val="11"/>
        <color indexed="8"/>
        <rFont val="Calibri"/>
        <family val="2"/>
      </rPr>
      <t xml:space="preserve"> =</t>
    </r>
  </si>
  <si>
    <r>
      <t>M</t>
    </r>
    <r>
      <rPr>
        <vertAlign val="subscript"/>
        <sz val="11"/>
        <color indexed="8"/>
        <rFont val="Calibri"/>
        <family val="2"/>
      </rPr>
      <t>Tlong</t>
    </r>
    <r>
      <rPr>
        <sz val="11"/>
        <color indexed="8"/>
        <rFont val="Calibri"/>
        <family val="2"/>
      </rPr>
      <t xml:space="preserve"> =</t>
    </r>
  </si>
  <si>
    <r>
      <rPr>
        <b/>
        <sz val="10"/>
        <rFont val="Century Gothic"/>
        <family val="2"/>
      </rPr>
      <t xml:space="preserve">Project </t>
    </r>
    <r>
      <rPr>
        <sz val="11"/>
        <color theme="1"/>
        <rFont val="Calibri"/>
        <family val="2"/>
        <scheme val="minor"/>
      </rPr>
      <t>Work Breakdown Structure</t>
    </r>
  </si>
  <si>
    <t>Project Manager's Latest Summary :</t>
  </si>
  <si>
    <t>Original Estimate</t>
  </si>
  <si>
    <t>Summary To Date</t>
  </si>
  <si>
    <t>As At:</t>
  </si>
  <si>
    <t>Ref</t>
  </si>
  <si>
    <t>Cost</t>
  </si>
  <si>
    <t>Estimated Percentage Complete</t>
  </si>
  <si>
    <t>Actual 
Cost To Date</t>
  </si>
  <si>
    <t>Actual 
Time To Date</t>
  </si>
  <si>
    <t>$</t>
  </si>
  <si>
    <t>Hrs</t>
  </si>
  <si>
    <t>%</t>
  </si>
  <si>
    <t>Item</t>
  </si>
  <si>
    <t>Total</t>
  </si>
  <si>
    <t>Design</t>
  </si>
  <si>
    <t>Mill Deck Extension</t>
  </si>
  <si>
    <t>Structural Member Relocation</t>
  </si>
  <si>
    <t>Struct. Member Relocation</t>
  </si>
  <si>
    <t>Monorail Extension</t>
  </si>
  <si>
    <t>Overall Strength Check</t>
  </si>
  <si>
    <t>Winch, Attachement &amp; Pulley</t>
  </si>
  <si>
    <t>Winch Attachment, Pulley</t>
  </si>
  <si>
    <t>Drafting</t>
  </si>
  <si>
    <t>Site Visit</t>
  </si>
  <si>
    <t>Civil Design</t>
  </si>
  <si>
    <t>Installation Materials</t>
  </si>
  <si>
    <t>Equipment\Material Cost</t>
  </si>
  <si>
    <t>Materials</t>
  </si>
  <si>
    <t>Rate</t>
  </si>
  <si>
    <t>Workstation Charge</t>
  </si>
  <si>
    <t>hr</t>
  </si>
  <si>
    <t>Labour Workshop</t>
  </si>
  <si>
    <t>Men</t>
  </si>
  <si>
    <t>Qty</t>
  </si>
  <si>
    <t>Unit</t>
  </si>
  <si>
    <t>Travel</t>
  </si>
  <si>
    <t>Site Measure - view</t>
  </si>
  <si>
    <t>Concept Drawings 3D</t>
  </si>
  <si>
    <t>EFOF Bin Budget Estimate</t>
  </si>
  <si>
    <t>m2/m</t>
  </si>
  <si>
    <t>m2</t>
  </si>
  <si>
    <t>10mm Plate</t>
  </si>
  <si>
    <t>150 PFC</t>
  </si>
  <si>
    <t>150 x 90 x 12 UEA</t>
  </si>
  <si>
    <t>100UC 15</t>
  </si>
  <si>
    <t>Welding Consumables, electrodes, wire gas etc</t>
  </si>
  <si>
    <t>Sandbast</t>
  </si>
  <si>
    <t>Paint</t>
  </si>
  <si>
    <t>Wear Plate 12mm</t>
  </si>
  <si>
    <t>Wear Plate 16mm</t>
  </si>
  <si>
    <t>Freight to site</t>
  </si>
  <si>
    <t>Admin, Supervision &amp; Templates etc</t>
  </si>
  <si>
    <t>Remove old / re-install Bin</t>
  </si>
  <si>
    <t>Cut angles and channels</t>
  </si>
  <si>
    <t>Fab + Tack Walls</t>
  </si>
  <si>
    <t>Welding</t>
  </si>
  <si>
    <t>Cut 100UCs</t>
  </si>
  <si>
    <t>Profile Cutting - Plates</t>
  </si>
  <si>
    <t>Crane site</t>
  </si>
  <si>
    <t>Hi-abb</t>
  </si>
  <si>
    <t>EFOF Bin Quote</t>
  </si>
  <si>
    <t>Th</t>
  </si>
  <si>
    <t>Mass</t>
  </si>
  <si>
    <t>12mm Bis 400</t>
  </si>
  <si>
    <t>20mm Bis 400</t>
  </si>
  <si>
    <t>25mm Bis 400</t>
  </si>
  <si>
    <t>kg/m</t>
  </si>
  <si>
    <t>200 x 100 x 9 RHS</t>
  </si>
  <si>
    <t>100 x 100 x 6 RHS</t>
  </si>
  <si>
    <t>75 x 75 x 4 RHS</t>
  </si>
  <si>
    <t>230 PFC</t>
  </si>
  <si>
    <t>200 PFC</t>
  </si>
  <si>
    <t>150 x 100 x 10 UEA</t>
  </si>
  <si>
    <t>100 UC 15</t>
  </si>
  <si>
    <t>Welding Consumables, wire gas etc.</t>
  </si>
  <si>
    <t>Profile Cutting - No.1</t>
  </si>
  <si>
    <t>Plasma</t>
  </si>
  <si>
    <t>Bolts - M20 x 50 x Galv Structural</t>
  </si>
  <si>
    <t>ea</t>
  </si>
  <si>
    <t>Crane Workshop</t>
  </si>
  <si>
    <t>Admin, Supervision Ordering &amp; Templates etc</t>
  </si>
  <si>
    <t>Bin</t>
  </si>
  <si>
    <t>Cut Stiffeners (Plasma?)</t>
  </si>
  <si>
    <t>Cut &amp; Fab 100UCs</t>
  </si>
  <si>
    <t>Loading</t>
  </si>
  <si>
    <t>Grizzly</t>
  </si>
  <si>
    <t>Cut RHS &amp; Channels</t>
  </si>
  <si>
    <t>Prof Cut Plates</t>
  </si>
  <si>
    <t>Fab + Tack Grizzlys</t>
  </si>
  <si>
    <t>Shop Labour</t>
  </si>
  <si>
    <t>Shop Fab Total</t>
  </si>
  <si>
    <t>Install</t>
  </si>
  <si>
    <t>Remove old Bin</t>
  </si>
  <si>
    <t>Lift in new bin Walls</t>
  </si>
  <si>
    <t>Bolt Corners + Bolt Down</t>
  </si>
  <si>
    <t>Weld Corners</t>
  </si>
  <si>
    <t>Paint Touch Up</t>
  </si>
  <si>
    <t>WSC</t>
  </si>
  <si>
    <t>Freight to site (Fulton Hogan 1 trip)</t>
  </si>
  <si>
    <t>Freight</t>
  </si>
  <si>
    <t>Crane Site</t>
  </si>
  <si>
    <t>Crane - Site</t>
  </si>
  <si>
    <t>Scaffold</t>
  </si>
  <si>
    <t>Modify Existing Ball Hopper</t>
  </si>
  <si>
    <t>Lab</t>
  </si>
  <si>
    <t>Plate - 6mm</t>
  </si>
  <si>
    <t>Modify Ball Hopper</t>
  </si>
  <si>
    <t>Welding - Grizzly</t>
  </si>
  <si>
    <t>MIG</t>
  </si>
  <si>
    <t>Gas</t>
  </si>
  <si>
    <t>lt</t>
  </si>
  <si>
    <t>Wire Size</t>
  </si>
  <si>
    <t>mm</t>
  </si>
  <si>
    <t>kg /m wire</t>
  </si>
  <si>
    <t xml:space="preserve">kg/m </t>
  </si>
  <si>
    <t>Speed of wire</t>
  </si>
  <si>
    <t>m/s</t>
  </si>
  <si>
    <t>Lab Efficiency (Time)</t>
  </si>
  <si>
    <t>Weld Deposition Efficiency</t>
  </si>
  <si>
    <t>Weld Length m</t>
  </si>
  <si>
    <t>Size mm</t>
  </si>
  <si>
    <t>kg weld</t>
  </si>
  <si>
    <t>Wire m</t>
  </si>
  <si>
    <t>Wire  kg</t>
  </si>
  <si>
    <t>Time mins</t>
  </si>
  <si>
    <t>Adjusted hrs</t>
  </si>
  <si>
    <t>Gas ly</t>
  </si>
  <si>
    <t>10mm fillet</t>
  </si>
  <si>
    <t>Adjusted Mins</t>
  </si>
  <si>
    <t>Welding Consumables</t>
  </si>
  <si>
    <t>Mig Wire</t>
  </si>
  <si>
    <t>reels</t>
  </si>
  <si>
    <t>Argoshield</t>
  </si>
  <si>
    <t>bottles</t>
  </si>
  <si>
    <t>Machine Charge</t>
  </si>
  <si>
    <t>OXY</t>
  </si>
  <si>
    <t>Acetty</t>
  </si>
  <si>
    <t>Mat Cost Total</t>
  </si>
  <si>
    <t>6mm Fillet</t>
  </si>
  <si>
    <t>Welding - Bin</t>
  </si>
  <si>
    <t xml:space="preserve">Waikouaiti Auto and Engineering                   Scaffold Cost Sheet </t>
  </si>
  <si>
    <t>Location:</t>
  </si>
  <si>
    <t>OGL EFOF Bin</t>
  </si>
  <si>
    <t>Customer Ref:</t>
  </si>
  <si>
    <t xml:space="preserve">Job No. </t>
  </si>
  <si>
    <t>WAE Job No.</t>
  </si>
  <si>
    <t>Scaffold Hire</t>
  </si>
  <si>
    <t>From</t>
  </si>
  <si>
    <t>To</t>
  </si>
  <si>
    <t>Rate / Day</t>
  </si>
  <si>
    <t>Planks</t>
  </si>
  <si>
    <t>Pipe</t>
  </si>
  <si>
    <t>Ladders</t>
  </si>
  <si>
    <t>Other</t>
  </si>
  <si>
    <t>========</t>
  </si>
  <si>
    <t>Total Scaffold Hire</t>
  </si>
  <si>
    <t>Days</t>
  </si>
  <si>
    <t>Labour</t>
  </si>
  <si>
    <t>Date</t>
  </si>
  <si>
    <t>$ / hr</t>
  </si>
  <si>
    <t>- Erect</t>
  </si>
  <si>
    <t>- Inspect</t>
  </si>
  <si>
    <t>-Dismantle</t>
  </si>
  <si>
    <t>Total Labour</t>
  </si>
  <si>
    <t>+ GST</t>
  </si>
  <si>
    <t>Project Management</t>
  </si>
  <si>
    <t>Design/Drafting</t>
  </si>
  <si>
    <t>Plinths</t>
  </si>
  <si>
    <t>Foot plates and bolts</t>
  </si>
  <si>
    <t>Columns</t>
  </si>
  <si>
    <t>Gridmesh</t>
  </si>
  <si>
    <t>Handrails</t>
  </si>
  <si>
    <t xml:space="preserve">Construction Labour </t>
  </si>
  <si>
    <t>Installation Labour</t>
  </si>
  <si>
    <t>VARIABLES</t>
  </si>
  <si>
    <t>Installation Labour Rate</t>
  </si>
  <si>
    <t>Construction Labour Rate</t>
  </si>
  <si>
    <t>Bracing</t>
  </si>
  <si>
    <t>Remove existing members</t>
  </si>
  <si>
    <t>New members</t>
  </si>
  <si>
    <t>New monorail</t>
  </si>
  <si>
    <t>New monorail framework</t>
  </si>
  <si>
    <t>Structure strengthening</t>
  </si>
  <si>
    <t>Winch</t>
  </si>
  <si>
    <t>Pulleys</t>
  </si>
  <si>
    <t>Winch stand</t>
  </si>
  <si>
    <t>Supporting steel framework</t>
  </si>
  <si>
    <t>Excavation &amp; surfacing</t>
  </si>
  <si>
    <t>Winch foundation</t>
  </si>
  <si>
    <t>Scaffolding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</si>
</sst>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d\ dd\ mmm\ yyyy"/>
    <numFmt numFmtId="166" formatCode="&quot;$&quot;#,##0"/>
    <numFmt numFmtId="167" formatCode="0.0"/>
    <numFmt numFmtId="168" formatCode="&quot;$&quot;#,##0.00"/>
    <numFmt numFmtId="169" formatCode="_-&quot;$&quot;* #,##0.000_-;\-&quot;$&quot;* #,##0.000_-;_-&quot;$&quot;* &quot;-&quot;???_-;_-@_-"/>
    <numFmt numFmtId="170" formatCode="_-&quot;$&quot;* #,##0_-;\-&quot;$&quot;* #,##0_-;_-&quot;$&quot;* &quot;-&quot;??_-;_-@_-"/>
  </numFmts>
  <fonts count="30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sz val="10"/>
      <name val="Century Gothic"/>
      <family val="2"/>
    </font>
    <font>
      <sz val="10"/>
      <name val="Arial"/>
      <family val="2"/>
    </font>
    <font>
      <b/>
      <sz val="12"/>
      <color theme="0"/>
      <name val="Century Gothic"/>
      <family val="2"/>
    </font>
    <font>
      <b/>
      <sz val="12"/>
      <name val="Century Gothic"/>
      <family val="2"/>
    </font>
    <font>
      <u/>
      <sz val="10"/>
      <name val="Century Gothic"/>
      <family val="2"/>
    </font>
    <font>
      <strike/>
      <sz val="10"/>
      <color theme="0" tint="-0.34998626667073579"/>
      <name val="Verdana"/>
      <family val="2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i/>
      <sz val="10"/>
      <name val="Century Gothic"/>
      <family val="2"/>
    </font>
    <font>
      <sz val="10"/>
      <name val="Verdana"/>
      <family val="2"/>
    </font>
    <font>
      <sz val="15"/>
      <name val="BankGothic Md BT"/>
      <family val="2"/>
    </font>
    <font>
      <sz val="12"/>
      <name val="BankGothic Md BT"/>
      <family val="2"/>
    </font>
    <font>
      <b/>
      <sz val="10"/>
      <name val="Arial"/>
      <family val="2"/>
    </font>
    <font>
      <b/>
      <u/>
      <sz val="12"/>
      <name val="Century Gothic"/>
      <family val="2"/>
    </font>
    <font>
      <sz val="10"/>
      <color indexed="23"/>
      <name val="Century Gothic"/>
      <family val="2"/>
    </font>
    <font>
      <sz val="10"/>
      <name val="Arial"/>
      <family val="2"/>
    </font>
    <font>
      <b/>
      <sz val="10"/>
      <color indexed="53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">
    <xf numFmtId="0" fontId="0" fillId="0" borderId="0"/>
    <xf numFmtId="0" fontId="1" fillId="2" borderId="1" applyNumberFormat="0" applyAlignment="0" applyProtection="0"/>
    <xf numFmtId="0" fontId="2" fillId="0" borderId="0"/>
    <xf numFmtId="0" fontId="10" fillId="0" borderId="0"/>
    <xf numFmtId="164" fontId="11" fillId="0" borderId="0" applyFont="0" applyFill="0" applyBorder="0" applyAlignment="0" applyProtection="0"/>
    <xf numFmtId="0" fontId="12" fillId="4" borderId="0">
      <alignment horizontal="left" vertical="top"/>
    </xf>
    <xf numFmtId="49" fontId="13" fillId="0" borderId="2"/>
    <xf numFmtId="49" fontId="14" fillId="0" borderId="2"/>
    <xf numFmtId="0" fontId="10" fillId="0" borderId="2"/>
    <xf numFmtId="9" fontId="2" fillId="0" borderId="0" applyFont="0" applyFill="0" applyBorder="0" applyAlignment="0" applyProtection="0"/>
    <xf numFmtId="0" fontId="15" fillId="0" borderId="0"/>
    <xf numFmtId="44" fontId="16" fillId="0" borderId="0" applyFont="0" applyFill="0" applyBorder="0" applyAlignment="0" applyProtection="0"/>
    <xf numFmtId="0" fontId="19" fillId="0" borderId="0"/>
    <xf numFmtId="0" fontId="25" fillId="0" borderId="0"/>
    <xf numFmtId="44" fontId="25" fillId="0" borderId="0" applyFont="0" applyFill="0" applyBorder="0" applyAlignment="0" applyProtection="0"/>
    <xf numFmtId="0" fontId="27" fillId="10" borderId="25" applyNumberFormat="0" applyAlignment="0" applyProtection="0"/>
    <xf numFmtId="0" fontId="28" fillId="10" borderId="1" applyNumberFormat="0" applyAlignment="0" applyProtection="0"/>
  </cellStyleXfs>
  <cellXfs count="212">
    <xf numFmtId="0" fontId="0" fillId="0" borderId="0" xfId="0"/>
    <xf numFmtId="0" fontId="2" fillId="0" borderId="0" xfId="2"/>
    <xf numFmtId="0" fontId="4" fillId="3" borderId="0" xfId="2" applyFont="1" applyFill="1"/>
    <xf numFmtId="0" fontId="4" fillId="3" borderId="0" xfId="2" applyFont="1" applyFill="1" applyAlignment="1">
      <alignment horizontal="center"/>
    </xf>
    <xf numFmtId="0" fontId="5" fillId="0" borderId="0" xfId="2" applyFont="1"/>
    <xf numFmtId="0" fontId="2" fillId="0" borderId="0" xfId="2" applyFont="1" applyAlignment="1">
      <alignment horizontal="right"/>
    </xf>
    <xf numFmtId="0" fontId="1" fillId="2" borderId="1" xfId="1" applyAlignment="1">
      <alignment horizontal="right"/>
    </xf>
    <xf numFmtId="0" fontId="2" fillId="0" borderId="0" xfId="2" applyAlignment="1">
      <alignment horizontal="right"/>
    </xf>
    <xf numFmtId="0" fontId="2" fillId="0" borderId="0" xfId="2" quotePrefix="1" applyAlignment="1"/>
    <xf numFmtId="0" fontId="2" fillId="0" borderId="0" xfId="2" applyAlignment="1"/>
    <xf numFmtId="48" fontId="1" fillId="2" borderId="1" xfId="1" applyNumberFormat="1" applyAlignment="1">
      <alignment horizontal="right"/>
    </xf>
    <xf numFmtId="11" fontId="2" fillId="0" borderId="0" xfId="2" applyNumberFormat="1"/>
    <xf numFmtId="2" fontId="2" fillId="0" borderId="0" xfId="2" applyNumberFormat="1"/>
    <xf numFmtId="0" fontId="2" fillId="0" borderId="0" xfId="2" applyFont="1"/>
    <xf numFmtId="0" fontId="2" fillId="0" borderId="0" xfId="2" quotePrefix="1" applyFill="1" applyBorder="1" applyAlignment="1"/>
    <xf numFmtId="0" fontId="2" fillId="0" borderId="0" xfId="2" quotePrefix="1" applyFill="1" applyBorder="1" applyAlignment="1">
      <alignment horizontal="center"/>
    </xf>
    <xf numFmtId="0" fontId="2" fillId="0" borderId="0" xfId="2" quotePrefix="1" applyFont="1" applyAlignment="1"/>
    <xf numFmtId="0" fontId="8" fillId="0" borderId="0" xfId="0" applyFont="1"/>
    <xf numFmtId="0" fontId="9" fillId="0" borderId="0" xfId="2" applyFont="1"/>
    <xf numFmtId="0" fontId="9" fillId="0" borderId="0" xfId="2" applyFont="1" applyAlignment="1"/>
    <xf numFmtId="0" fontId="10" fillId="0" borderId="0" xfId="3" applyBorder="1" applyAlignment="1">
      <alignment vertical="center" wrapText="1"/>
    </xf>
    <xf numFmtId="0" fontId="10" fillId="0" borderId="0" xfId="3" applyBorder="1" applyAlignment="1">
      <alignment horizontal="center" vertical="center" wrapText="1"/>
    </xf>
    <xf numFmtId="0" fontId="21" fillId="0" borderId="0" xfId="3" applyFont="1" applyBorder="1" applyAlignment="1">
      <alignment vertical="center" wrapText="1"/>
    </xf>
    <xf numFmtId="0" fontId="10" fillId="0" borderId="0" xfId="3" quotePrefix="1" applyBorder="1" applyAlignment="1">
      <alignment horizontal="center" vertical="center" wrapText="1"/>
    </xf>
    <xf numFmtId="49" fontId="23" fillId="0" borderId="0" xfId="6" applyFont="1" applyBorder="1" applyAlignment="1">
      <alignment vertical="center" wrapText="1"/>
    </xf>
    <xf numFmtId="167" fontId="13" fillId="0" borderId="0" xfId="6" applyNumberFormat="1" applyBorder="1" applyAlignment="1">
      <alignment vertical="center" wrapText="1"/>
    </xf>
    <xf numFmtId="49" fontId="13" fillId="0" borderId="0" xfId="6" applyBorder="1" applyAlignment="1">
      <alignment vertical="center" wrapText="1"/>
    </xf>
    <xf numFmtId="167" fontId="24" fillId="0" borderId="0" xfId="3" applyNumberFormat="1" applyFont="1" applyBorder="1" applyAlignment="1">
      <alignment vertical="center" wrapText="1"/>
    </xf>
    <xf numFmtId="0" fontId="10" fillId="0" borderId="0" xfId="3" applyFill="1" applyBorder="1" applyAlignment="1">
      <alignment vertical="center" wrapText="1"/>
    </xf>
    <xf numFmtId="167" fontId="10" fillId="0" borderId="0" xfId="3" applyNumberFormat="1" applyBorder="1" applyAlignment="1">
      <alignment vertical="center" wrapText="1"/>
    </xf>
    <xf numFmtId="0" fontId="17" fillId="0" borderId="0" xfId="3" applyFont="1" applyBorder="1" applyAlignment="1">
      <alignment vertical="center" wrapText="1"/>
    </xf>
    <xf numFmtId="0" fontId="17" fillId="0" borderId="0" xfId="3" applyFont="1" applyBorder="1" applyAlignment="1">
      <alignment horizontal="center" vertical="center" wrapText="1"/>
    </xf>
    <xf numFmtId="44" fontId="10" fillId="0" borderId="0" xfId="11" applyFont="1" applyBorder="1" applyAlignment="1">
      <alignment horizontal="center" vertical="center" wrapText="1"/>
    </xf>
    <xf numFmtId="0" fontId="22" fillId="0" borderId="12" xfId="13" applyFont="1" applyFill="1" applyBorder="1"/>
    <xf numFmtId="0" fontId="22" fillId="0" borderId="13" xfId="13" applyFont="1" applyFill="1" applyBorder="1"/>
    <xf numFmtId="0" fontId="25" fillId="0" borderId="13" xfId="13" applyFill="1" applyBorder="1"/>
    <xf numFmtId="44" fontId="0" fillId="0" borderId="13" xfId="14" applyFont="1" applyFill="1" applyBorder="1"/>
    <xf numFmtId="44" fontId="0" fillId="0" borderId="14" xfId="14" applyFont="1" applyFill="1" applyBorder="1"/>
    <xf numFmtId="0" fontId="25" fillId="0" borderId="0" xfId="13"/>
    <xf numFmtId="0" fontId="22" fillId="0" borderId="15" xfId="13" applyFont="1" applyFill="1" applyBorder="1"/>
    <xf numFmtId="0" fontId="22" fillId="0" borderId="0" xfId="13" applyFont="1" applyFill="1" applyBorder="1"/>
    <xf numFmtId="0" fontId="25" fillId="0" borderId="0" xfId="13" applyFill="1" applyBorder="1"/>
    <xf numFmtId="44" fontId="0" fillId="0" borderId="0" xfId="14" applyFont="1" applyFill="1" applyBorder="1"/>
    <xf numFmtId="44" fontId="0" fillId="0" borderId="16" xfId="14" applyFont="1" applyFill="1" applyBorder="1"/>
    <xf numFmtId="0" fontId="22" fillId="0" borderId="12" xfId="13" applyFont="1" applyBorder="1"/>
    <xf numFmtId="0" fontId="22" fillId="0" borderId="13" xfId="13" applyFont="1" applyBorder="1"/>
    <xf numFmtId="0" fontId="11" fillId="0" borderId="13" xfId="13" applyFont="1" applyBorder="1"/>
    <xf numFmtId="44" fontId="22" fillId="0" borderId="13" xfId="14" applyFont="1" applyBorder="1" applyAlignment="1">
      <alignment horizontal="right"/>
    </xf>
    <xf numFmtId="44" fontId="11" fillId="0" borderId="14" xfId="14" applyFont="1" applyBorder="1"/>
    <xf numFmtId="0" fontId="11" fillId="0" borderId="15" xfId="13" applyFont="1" applyFill="1" applyBorder="1"/>
    <xf numFmtId="0" fontId="11" fillId="0" borderId="0" xfId="13" applyFont="1" applyFill="1" applyBorder="1"/>
    <xf numFmtId="0" fontId="11" fillId="0" borderId="0" xfId="13" applyFont="1" applyFill="1" applyBorder="1" applyAlignment="1">
      <alignment horizontal="right"/>
    </xf>
    <xf numFmtId="44" fontId="11" fillId="0" borderId="0" xfId="14" applyFont="1" applyFill="1" applyBorder="1" applyAlignment="1">
      <alignment horizontal="right"/>
    </xf>
    <xf numFmtId="44" fontId="11" fillId="0" borderId="16" xfId="14" applyFont="1" applyFill="1" applyBorder="1"/>
    <xf numFmtId="0" fontId="22" fillId="0" borderId="0" xfId="13" applyFont="1" applyFill="1" applyBorder="1" applyAlignment="1">
      <alignment horizontal="right"/>
    </xf>
    <xf numFmtId="44" fontId="22" fillId="0" borderId="0" xfId="14" applyFont="1" applyFill="1" applyBorder="1" applyAlignment="1">
      <alignment horizontal="right"/>
    </xf>
    <xf numFmtId="0" fontId="22" fillId="0" borderId="15" xfId="13" applyFont="1" applyBorder="1"/>
    <xf numFmtId="0" fontId="22" fillId="0" borderId="0" xfId="13" applyFont="1" applyBorder="1"/>
    <xf numFmtId="0" fontId="25" fillId="0" borderId="0" xfId="13" applyBorder="1"/>
    <xf numFmtId="44" fontId="25" fillId="0" borderId="16" xfId="14" applyFill="1" applyBorder="1"/>
    <xf numFmtId="0" fontId="25" fillId="0" borderId="15" xfId="13" applyBorder="1"/>
    <xf numFmtId="44" fontId="11" fillId="0" borderId="0" xfId="14" applyFont="1" applyFill="1" applyBorder="1"/>
    <xf numFmtId="0" fontId="11" fillId="0" borderId="15" xfId="13" applyFont="1" applyBorder="1"/>
    <xf numFmtId="0" fontId="11" fillId="0" borderId="0" xfId="13" applyFont="1" applyBorder="1"/>
    <xf numFmtId="44" fontId="0" fillId="0" borderId="16" xfId="14" applyFont="1" applyBorder="1"/>
    <xf numFmtId="44" fontId="0" fillId="0" borderId="0" xfId="14" applyFont="1" applyBorder="1"/>
    <xf numFmtId="0" fontId="25" fillId="0" borderId="17" xfId="13" applyBorder="1"/>
    <xf numFmtId="0" fontId="25" fillId="0" borderId="18" xfId="13" applyBorder="1"/>
    <xf numFmtId="44" fontId="0" fillId="0" borderId="18" xfId="14" applyFont="1" applyBorder="1"/>
    <xf numFmtId="44" fontId="0" fillId="0" borderId="19" xfId="14" applyFont="1" applyBorder="1"/>
    <xf numFmtId="0" fontId="11" fillId="0" borderId="17" xfId="13" applyFont="1" applyBorder="1"/>
    <xf numFmtId="0" fontId="11" fillId="0" borderId="18" xfId="13" applyFont="1" applyBorder="1"/>
    <xf numFmtId="44" fontId="11" fillId="0" borderId="18" xfId="14" applyFont="1" applyBorder="1"/>
    <xf numFmtId="44" fontId="11" fillId="0" borderId="19" xfId="14" applyFont="1" applyBorder="1"/>
    <xf numFmtId="0" fontId="22" fillId="0" borderId="20" xfId="13" applyFont="1" applyBorder="1"/>
    <xf numFmtId="44" fontId="22" fillId="0" borderId="20" xfId="14" applyFont="1" applyBorder="1" applyAlignment="1">
      <alignment horizontal="right"/>
    </xf>
    <xf numFmtId="44" fontId="11" fillId="0" borderId="20" xfId="14" applyFont="1" applyBorder="1"/>
    <xf numFmtId="0" fontId="25" fillId="0" borderId="20" xfId="13" applyBorder="1"/>
    <xf numFmtId="0" fontId="11" fillId="0" borderId="20" xfId="13" applyFont="1" applyFill="1" applyBorder="1"/>
    <xf numFmtId="0" fontId="11" fillId="0" borderId="20" xfId="13" applyFont="1" applyFill="1" applyBorder="1" applyAlignment="1">
      <alignment horizontal="right"/>
    </xf>
    <xf numFmtId="44" fontId="11" fillId="0" borderId="20" xfId="14" applyFont="1" applyFill="1" applyBorder="1" applyAlignment="1">
      <alignment horizontal="right"/>
    </xf>
    <xf numFmtId="44" fontId="11" fillId="0" borderId="20" xfId="14" applyFont="1" applyFill="1" applyBorder="1"/>
    <xf numFmtId="0" fontId="25" fillId="0" borderId="20" xfId="13" applyFill="1" applyBorder="1"/>
    <xf numFmtId="1" fontId="11" fillId="0" borderId="20" xfId="13" applyNumberFormat="1" applyFont="1" applyFill="1" applyBorder="1" applyAlignment="1">
      <alignment horizontal="right"/>
    </xf>
    <xf numFmtId="0" fontId="22" fillId="0" borderId="20" xfId="13" applyFont="1" applyFill="1" applyBorder="1"/>
    <xf numFmtId="0" fontId="11" fillId="0" borderId="20" xfId="13" applyFont="1" applyBorder="1"/>
    <xf numFmtId="44" fontId="25" fillId="0" borderId="20" xfId="14" applyFill="1" applyBorder="1"/>
    <xf numFmtId="44" fontId="25" fillId="0" borderId="20" xfId="13" applyNumberFormat="1" applyBorder="1"/>
    <xf numFmtId="0" fontId="22" fillId="0" borderId="20" xfId="13" applyFont="1" applyFill="1" applyBorder="1" applyAlignment="1">
      <alignment horizontal="right"/>
    </xf>
    <xf numFmtId="44" fontId="22" fillId="0" borderId="20" xfId="14" applyFont="1" applyFill="1" applyBorder="1" applyAlignment="1">
      <alignment horizontal="right"/>
    </xf>
    <xf numFmtId="44" fontId="0" fillId="0" borderId="20" xfId="14" applyFont="1" applyFill="1" applyBorder="1"/>
    <xf numFmtId="44" fontId="0" fillId="0" borderId="20" xfId="14" applyFont="1" applyBorder="1"/>
    <xf numFmtId="44" fontId="22" fillId="0" borderId="0" xfId="14" applyFont="1"/>
    <xf numFmtId="0" fontId="22" fillId="0" borderId="0" xfId="13" applyFont="1"/>
    <xf numFmtId="1" fontId="25" fillId="0" borderId="0" xfId="13" applyNumberFormat="1" applyBorder="1"/>
    <xf numFmtId="0" fontId="25" fillId="0" borderId="0" xfId="13" applyBorder="1" applyAlignment="1">
      <alignment horizontal="center"/>
    </xf>
    <xf numFmtId="168" fontId="25" fillId="0" borderId="0" xfId="13" applyNumberFormat="1" applyBorder="1"/>
    <xf numFmtId="0" fontId="25" fillId="8" borderId="0" xfId="13" applyFill="1"/>
    <xf numFmtId="167" fontId="25" fillId="0" borderId="0" xfId="13" applyNumberFormat="1"/>
    <xf numFmtId="2" fontId="25" fillId="0" borderId="0" xfId="13" applyNumberFormat="1"/>
    <xf numFmtId="2" fontId="25" fillId="0" borderId="0" xfId="13" applyNumberFormat="1" applyBorder="1"/>
    <xf numFmtId="0" fontId="25" fillId="0" borderId="0" xfId="13" applyBorder="1" applyAlignment="1">
      <alignment horizontal="left"/>
    </xf>
    <xf numFmtId="168" fontId="25" fillId="0" borderId="0" xfId="13" applyNumberFormat="1" applyBorder="1" applyAlignment="1">
      <alignment horizontal="right"/>
    </xf>
    <xf numFmtId="2" fontId="11" fillId="0" borderId="0" xfId="13" applyNumberFormat="1" applyFont="1" applyBorder="1"/>
    <xf numFmtId="1" fontId="22" fillId="0" borderId="0" xfId="13" applyNumberFormat="1" applyFont="1" applyBorder="1"/>
    <xf numFmtId="10" fontId="25" fillId="0" borderId="0" xfId="13" applyNumberFormat="1" applyBorder="1"/>
    <xf numFmtId="166" fontId="26" fillId="0" borderId="0" xfId="13" applyNumberFormat="1" applyFont="1" applyBorder="1"/>
    <xf numFmtId="0" fontId="25" fillId="9" borderId="21" xfId="13" applyFill="1" applyBorder="1"/>
    <xf numFmtId="0" fontId="25" fillId="9" borderId="14" xfId="13" applyFill="1" applyBorder="1"/>
    <xf numFmtId="0" fontId="25" fillId="9" borderId="0" xfId="13" applyFill="1"/>
    <xf numFmtId="0" fontId="22" fillId="9" borderId="15" xfId="13" applyFont="1" applyFill="1" applyBorder="1" applyAlignment="1">
      <alignment horizontal="right"/>
    </xf>
    <xf numFmtId="0" fontId="22" fillId="9" borderId="0" xfId="13" applyFont="1" applyFill="1" applyBorder="1" applyAlignment="1">
      <alignment horizontal="right"/>
    </xf>
    <xf numFmtId="0" fontId="25" fillId="9" borderId="16" xfId="13" applyFill="1" applyBorder="1"/>
    <xf numFmtId="0" fontId="25" fillId="9" borderId="0" xfId="13" applyFill="1" applyBorder="1" applyAlignment="1">
      <alignment horizontal="right"/>
    </xf>
    <xf numFmtId="0" fontId="22" fillId="9" borderId="0" xfId="13" applyFont="1" applyFill="1" applyBorder="1" applyAlignment="1">
      <alignment horizontal="center"/>
    </xf>
    <xf numFmtId="0" fontId="25" fillId="9" borderId="0" xfId="13" applyFill="1" applyBorder="1"/>
    <xf numFmtId="0" fontId="25" fillId="9" borderId="15" xfId="13" applyFill="1" applyBorder="1"/>
    <xf numFmtId="15" fontId="25" fillId="0" borderId="20" xfId="13" applyNumberFormat="1" applyFill="1" applyBorder="1" applyAlignment="1" applyProtection="1">
      <alignment horizontal="center"/>
      <protection locked="0"/>
    </xf>
    <xf numFmtId="15" fontId="25" fillId="9" borderId="0" xfId="13" applyNumberFormat="1" applyFill="1" applyBorder="1" applyAlignment="1">
      <alignment horizontal="center"/>
    </xf>
    <xf numFmtId="0" fontId="22" fillId="9" borderId="0" xfId="13" applyFont="1" applyFill="1" applyBorder="1"/>
    <xf numFmtId="0" fontId="25" fillId="9" borderId="15" xfId="13" applyFill="1" applyBorder="1" applyAlignment="1">
      <alignment horizontal="right"/>
    </xf>
    <xf numFmtId="0" fontId="25" fillId="0" borderId="20" xfId="13" applyFill="1" applyBorder="1" applyProtection="1">
      <protection locked="0"/>
    </xf>
    <xf numFmtId="0" fontId="11" fillId="9" borderId="0" xfId="14" applyNumberFormat="1" applyFont="1" applyFill="1" applyBorder="1"/>
    <xf numFmtId="169" fontId="11" fillId="9" borderId="0" xfId="14" applyNumberFormat="1" applyFont="1" applyFill="1" applyBorder="1"/>
    <xf numFmtId="44" fontId="11" fillId="9" borderId="0" xfId="14" applyFont="1" applyFill="1" applyBorder="1"/>
    <xf numFmtId="0" fontId="0" fillId="9" borderId="0" xfId="14" applyNumberFormat="1" applyFont="1" applyFill="1" applyBorder="1"/>
    <xf numFmtId="0" fontId="25" fillId="9" borderId="15" xfId="13" applyFill="1" applyBorder="1" applyAlignment="1" applyProtection="1">
      <alignment horizontal="right"/>
      <protection locked="0"/>
    </xf>
    <xf numFmtId="44" fontId="11" fillId="0" borderId="20" xfId="14" applyFont="1" applyFill="1" applyBorder="1" applyProtection="1">
      <protection locked="0"/>
    </xf>
    <xf numFmtId="44" fontId="11" fillId="9" borderId="0" xfId="14" quotePrefix="1" applyFont="1" applyFill="1" applyBorder="1"/>
    <xf numFmtId="0" fontId="22" fillId="9" borderId="15" xfId="13" applyFont="1" applyFill="1" applyBorder="1"/>
    <xf numFmtId="1" fontId="25" fillId="9" borderId="0" xfId="13" applyNumberFormat="1" applyFill="1" applyBorder="1" applyAlignment="1">
      <alignment horizontal="center"/>
    </xf>
    <xf numFmtId="0" fontId="25" fillId="9" borderId="0" xfId="13" applyFill="1" applyBorder="1" applyAlignment="1">
      <alignment horizontal="center"/>
    </xf>
    <xf numFmtId="0" fontId="22" fillId="9" borderId="23" xfId="13" applyFont="1" applyFill="1" applyBorder="1"/>
    <xf numFmtId="0" fontId="22" fillId="9" borderId="11" xfId="13" applyFont="1" applyFill="1" applyBorder="1"/>
    <xf numFmtId="44" fontId="11" fillId="9" borderId="11" xfId="14" quotePrefix="1" applyFont="1" applyFill="1" applyBorder="1"/>
    <xf numFmtId="0" fontId="25" fillId="9" borderId="11" xfId="13" applyFill="1" applyBorder="1"/>
    <xf numFmtId="44" fontId="11" fillId="9" borderId="11" xfId="14" applyFont="1" applyFill="1" applyBorder="1"/>
    <xf numFmtId="0" fontId="25" fillId="9" borderId="24" xfId="13" applyFill="1" applyBorder="1"/>
    <xf numFmtId="44" fontId="22" fillId="9" borderId="0" xfId="14" applyFont="1" applyFill="1" applyBorder="1"/>
    <xf numFmtId="0" fontId="25" fillId="9" borderId="15" xfId="13" quotePrefix="1" applyFill="1" applyBorder="1" applyAlignment="1">
      <alignment horizontal="right"/>
    </xf>
    <xf numFmtId="15" fontId="25" fillId="0" borderId="20" xfId="13" quotePrefix="1" applyNumberFormat="1" applyFill="1" applyBorder="1" applyAlignment="1" applyProtection="1">
      <alignment horizontal="right"/>
      <protection locked="0"/>
    </xf>
    <xf numFmtId="0" fontId="22" fillId="9" borderId="17" xfId="13" applyFont="1" applyFill="1" applyBorder="1"/>
    <xf numFmtId="0" fontId="22" fillId="9" borderId="18" xfId="13" applyFont="1" applyFill="1" applyBorder="1"/>
    <xf numFmtId="44" fontId="22" fillId="9" borderId="18" xfId="14" applyFont="1" applyFill="1" applyBorder="1"/>
    <xf numFmtId="0" fontId="25" fillId="9" borderId="19" xfId="13" quotePrefix="1" applyFill="1" applyBorder="1"/>
    <xf numFmtId="167" fontId="10" fillId="0" borderId="0" xfId="3" applyNumberFormat="1" applyFill="1" applyBorder="1" applyAlignment="1">
      <alignment vertical="center" wrapText="1"/>
    </xf>
    <xf numFmtId="49" fontId="23" fillId="0" borderId="0" xfId="6" applyFont="1" applyFill="1" applyBorder="1" applyAlignment="1">
      <alignment vertical="center" wrapText="1"/>
    </xf>
    <xf numFmtId="0" fontId="10" fillId="0" borderId="0" xfId="3" applyFill="1" applyBorder="1" applyAlignment="1">
      <alignment horizontal="center" vertical="center" wrapText="1"/>
    </xf>
    <xf numFmtId="166" fontId="10" fillId="0" borderId="0" xfId="3" applyNumberFormat="1" applyFill="1" applyBorder="1" applyAlignment="1">
      <alignment horizontal="center" vertical="center" wrapText="1"/>
    </xf>
    <xf numFmtId="9" fontId="10" fillId="0" borderId="0" xfId="3" applyNumberFormat="1" applyFill="1" applyBorder="1" applyAlignment="1">
      <alignment horizontal="center" vertical="center" wrapText="1"/>
    </xf>
    <xf numFmtId="166" fontId="10" fillId="0" borderId="0" xfId="3" applyNumberFormat="1" applyBorder="1" applyAlignment="1">
      <alignment horizontal="center" vertical="center" wrapText="1"/>
    </xf>
    <xf numFmtId="166" fontId="17" fillId="0" borderId="0" xfId="4" applyNumberFormat="1" applyFont="1" applyBorder="1" applyAlignment="1">
      <alignment horizontal="center" vertical="center" wrapText="1"/>
    </xf>
    <xf numFmtId="0" fontId="28" fillId="10" borderId="1" xfId="16" applyAlignment="1">
      <alignment horizontal="center" vertical="center" wrapText="1"/>
    </xf>
    <xf numFmtId="170" fontId="28" fillId="10" borderId="1" xfId="16" applyNumberFormat="1" applyAlignment="1">
      <alignment horizontal="center" vertical="center" wrapText="1"/>
    </xf>
    <xf numFmtId="0" fontId="27" fillId="10" borderId="25" xfId="15" applyAlignment="1">
      <alignment horizontal="center" vertical="center" wrapText="1"/>
    </xf>
    <xf numFmtId="0" fontId="1" fillId="2" borderId="1" xfId="1" applyAlignment="1">
      <alignment horizontal="center" vertical="center" wrapText="1"/>
    </xf>
    <xf numFmtId="49" fontId="23" fillId="0" borderId="20" xfId="6" applyFont="1" applyFill="1" applyBorder="1" applyAlignment="1">
      <alignment horizontal="center" vertical="center" wrapText="1"/>
    </xf>
    <xf numFmtId="0" fontId="10" fillId="0" borderId="20" xfId="3" applyBorder="1" applyAlignment="1">
      <alignment horizontal="center" vertical="center" wrapText="1"/>
    </xf>
    <xf numFmtId="49" fontId="23" fillId="0" borderId="20" xfId="6" applyFont="1" applyBorder="1" applyAlignment="1">
      <alignment horizontal="center" vertical="center" wrapText="1"/>
    </xf>
    <xf numFmtId="166" fontId="28" fillId="10" borderId="1" xfId="16" applyNumberFormat="1" applyAlignment="1">
      <alignment horizontal="center" vertical="center" wrapText="1"/>
    </xf>
    <xf numFmtId="166" fontId="10" fillId="0" borderId="20" xfId="3" applyNumberFormat="1" applyBorder="1" applyAlignment="1">
      <alignment horizontal="center" vertical="center" wrapText="1"/>
    </xf>
    <xf numFmtId="44" fontId="1" fillId="2" borderId="1" xfId="11" applyFont="1" applyFill="1" applyBorder="1" applyAlignment="1">
      <alignment horizontal="center" vertical="center" wrapText="1"/>
    </xf>
    <xf numFmtId="44" fontId="28" fillId="10" borderId="1" xfId="11" applyFont="1" applyFill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1" fillId="2" borderId="1" xfId="1" applyFont="1" applyAlignment="1">
      <alignment horizontal="center" vertical="center" wrapText="1"/>
    </xf>
    <xf numFmtId="0" fontId="10" fillId="0" borderId="0" xfId="3" quotePrefix="1" applyFont="1" applyBorder="1" applyAlignment="1">
      <alignment horizontal="center" vertical="center" wrapText="1"/>
    </xf>
    <xf numFmtId="0" fontId="29" fillId="10" borderId="1" xfId="16" applyFont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44" fontId="1" fillId="2" borderId="1" xfId="1" applyNumberFormat="1" applyAlignment="1">
      <alignment horizontal="center" vertical="center" wrapText="1"/>
    </xf>
    <xf numFmtId="9" fontId="10" fillId="0" borderId="0" xfId="3" applyNumberFormat="1" applyBorder="1" applyAlignment="1">
      <alignment horizontal="center" vertical="center" wrapText="1"/>
    </xf>
    <xf numFmtId="9" fontId="10" fillId="0" borderId="20" xfId="3" applyNumberFormat="1" applyBorder="1" applyAlignment="1">
      <alignment horizontal="center" vertical="center" wrapText="1"/>
    </xf>
    <xf numFmtId="170" fontId="1" fillId="2" borderId="1" xfId="11" applyNumberFormat="1" applyFont="1" applyFill="1" applyBorder="1" applyAlignment="1">
      <alignment horizontal="center" vertical="center" wrapText="1"/>
    </xf>
    <xf numFmtId="170" fontId="1" fillId="2" borderId="1" xfId="1" applyNumberFormat="1" applyFont="1" applyAlignment="1">
      <alignment horizontal="center" vertical="center" wrapText="1"/>
    </xf>
    <xf numFmtId="9" fontId="28" fillId="10" borderId="1" xfId="16" applyNumberFormat="1" applyAlignment="1">
      <alignment horizontal="center" vertical="center" wrapText="1"/>
    </xf>
    <xf numFmtId="9" fontId="1" fillId="2" borderId="1" xfId="1" applyNumberFormat="1" applyAlignment="1">
      <alignment horizontal="center" vertical="center" wrapText="1"/>
    </xf>
    <xf numFmtId="166" fontId="1" fillId="2" borderId="1" xfId="1" applyNumberFormat="1" applyAlignment="1">
      <alignment horizontal="center" vertical="center" wrapText="1"/>
    </xf>
    <xf numFmtId="0" fontId="1" fillId="2" borderId="1" xfId="1" applyNumberFormat="1" applyFont="1" applyAlignment="1">
      <alignment horizontal="center" vertical="center" wrapText="1"/>
    </xf>
    <xf numFmtId="0" fontId="10" fillId="0" borderId="0" xfId="3" applyNumberFormat="1" applyFont="1" applyBorder="1" applyAlignment="1">
      <alignment horizontal="center" vertical="center" wrapText="1"/>
    </xf>
    <xf numFmtId="49" fontId="23" fillId="0" borderId="20" xfId="6" applyFont="1" applyBorder="1" applyAlignment="1">
      <alignment horizontal="center" vertical="center" wrapText="1"/>
    </xf>
    <xf numFmtId="49" fontId="23" fillId="0" borderId="20" xfId="6" applyFont="1" applyFill="1" applyBorder="1" applyAlignment="1">
      <alignment horizontal="center" vertical="center" wrapText="1"/>
    </xf>
    <xf numFmtId="167" fontId="17" fillId="0" borderId="0" xfId="3" applyNumberFormat="1" applyFont="1" applyBorder="1" applyAlignment="1">
      <alignment vertical="center" wrapText="1"/>
    </xf>
    <xf numFmtId="44" fontId="28" fillId="10" borderId="1" xfId="16" applyNumberFormat="1" applyFont="1" applyAlignment="1">
      <alignment horizontal="center" vertical="center" wrapText="1"/>
    </xf>
    <xf numFmtId="0" fontId="28" fillId="10" borderId="1" xfId="16" applyNumberFormat="1" applyFont="1" applyAlignment="1">
      <alignment horizontal="center" vertical="center" wrapText="1"/>
    </xf>
    <xf numFmtId="0" fontId="28" fillId="10" borderId="1" xfId="16" applyFont="1" applyAlignment="1">
      <alignment horizontal="center" vertical="center" wrapText="1"/>
    </xf>
    <xf numFmtId="166" fontId="28" fillId="10" borderId="1" xfId="16" applyNumberFormat="1" applyFont="1" applyAlignment="1">
      <alignment horizontal="center" vertical="center" wrapText="1"/>
    </xf>
    <xf numFmtId="9" fontId="28" fillId="10" borderId="1" xfId="16" applyNumberFormat="1" applyFont="1" applyAlignment="1">
      <alignment horizontal="center" vertical="center" wrapText="1"/>
    </xf>
    <xf numFmtId="0" fontId="17" fillId="0" borderId="0" xfId="3" applyFont="1" applyFill="1" applyBorder="1" applyAlignment="1">
      <alignment horizontal="center" vertical="center" wrapText="1"/>
    </xf>
    <xf numFmtId="49" fontId="23" fillId="0" borderId="20" xfId="6" applyFont="1" applyBorder="1" applyAlignment="1">
      <alignment horizontal="center" vertical="center" wrapText="1"/>
    </xf>
    <xf numFmtId="49" fontId="23" fillId="0" borderId="20" xfId="6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49" fontId="23" fillId="0" borderId="20" xfId="6" applyFont="1" applyBorder="1" applyAlignment="1">
      <alignment horizontal="center" vertical="center" wrapText="1"/>
    </xf>
    <xf numFmtId="49" fontId="23" fillId="0" borderId="20" xfId="6" applyFont="1" applyFill="1" applyBorder="1" applyAlignment="1">
      <alignment horizontal="center" vertical="center" wrapText="1"/>
    </xf>
    <xf numFmtId="0" fontId="18" fillId="0" borderId="0" xfId="3" applyFont="1" applyBorder="1" applyAlignment="1">
      <alignment horizontal="center" vertical="center" wrapText="1"/>
    </xf>
    <xf numFmtId="0" fontId="18" fillId="0" borderId="0" xfId="3" applyFont="1" applyFill="1" applyBorder="1" applyAlignment="1">
      <alignment horizontal="center" vertical="center" wrapText="1"/>
    </xf>
    <xf numFmtId="0" fontId="20" fillId="5" borderId="20" xfId="12" applyFont="1" applyFill="1" applyBorder="1" applyAlignment="1">
      <alignment horizontal="center" vertical="center" wrapText="1"/>
    </xf>
    <xf numFmtId="0" fontId="20" fillId="6" borderId="6" xfId="12" applyFont="1" applyFill="1" applyBorder="1" applyAlignment="1">
      <alignment horizontal="center" vertical="center" wrapText="1"/>
    </xf>
    <xf numFmtId="0" fontId="20" fillId="6" borderId="8" xfId="12" applyFont="1" applyFill="1" applyBorder="1" applyAlignment="1">
      <alignment horizontal="center" vertical="center" wrapText="1"/>
    </xf>
    <xf numFmtId="0" fontId="20" fillId="6" borderId="7" xfId="12" applyFont="1" applyFill="1" applyBorder="1" applyAlignment="1">
      <alignment horizontal="center" vertical="center" wrapText="1"/>
    </xf>
    <xf numFmtId="0" fontId="20" fillId="6" borderId="9" xfId="12" applyFont="1" applyFill="1" applyBorder="1" applyAlignment="1">
      <alignment horizontal="right" vertical="center" wrapText="1"/>
    </xf>
    <xf numFmtId="0" fontId="20" fillId="6" borderId="10" xfId="12" applyFont="1" applyFill="1" applyBorder="1" applyAlignment="1">
      <alignment horizontal="right" vertical="center" wrapText="1"/>
    </xf>
    <xf numFmtId="165" fontId="22" fillId="7" borderId="3" xfId="12" applyNumberFormat="1" applyFont="1" applyFill="1" applyBorder="1" applyAlignment="1">
      <alignment horizontal="center" vertical="center" wrapText="1"/>
    </xf>
    <xf numFmtId="165" fontId="22" fillId="7" borderId="5" xfId="12" applyNumberFormat="1" applyFont="1" applyFill="1" applyBorder="1" applyAlignment="1">
      <alignment horizontal="center" vertical="center" wrapText="1"/>
    </xf>
    <xf numFmtId="165" fontId="22" fillId="7" borderId="4" xfId="12" applyNumberFormat="1" applyFont="1" applyFill="1" applyBorder="1" applyAlignment="1">
      <alignment horizontal="center" vertical="center" wrapText="1"/>
    </xf>
    <xf numFmtId="0" fontId="22" fillId="9" borderId="22" xfId="13" applyFont="1" applyFill="1" applyBorder="1" applyAlignment="1">
      <alignment horizontal="center" vertical="center" wrapText="1"/>
    </xf>
    <xf numFmtId="0" fontId="22" fillId="9" borderId="13" xfId="13" applyFont="1" applyFill="1" applyBorder="1" applyAlignment="1">
      <alignment horizontal="center" vertical="center" wrapText="1"/>
    </xf>
    <xf numFmtId="0" fontId="11" fillId="0" borderId="20" xfId="13" applyFont="1" applyFill="1" applyBorder="1" applyAlignment="1" applyProtection="1">
      <alignment horizontal="left"/>
      <protection locked="0"/>
    </xf>
    <xf numFmtId="0" fontId="25" fillId="0" borderId="20" xfId="13" applyFill="1" applyBorder="1" applyAlignment="1" applyProtection="1">
      <alignment horizontal="left"/>
      <protection locked="0"/>
    </xf>
    <xf numFmtId="0" fontId="25" fillId="0" borderId="3" xfId="13" applyFill="1" applyBorder="1" applyAlignment="1" applyProtection="1">
      <alignment horizontal="left"/>
      <protection locked="0"/>
    </xf>
    <xf numFmtId="0" fontId="25" fillId="0" borderId="5" xfId="13" applyFill="1" applyBorder="1" applyAlignment="1" applyProtection="1">
      <alignment horizontal="left"/>
      <protection locked="0"/>
    </xf>
    <xf numFmtId="0" fontId="25" fillId="0" borderId="4" xfId="13" applyFill="1" applyBorder="1" applyAlignment="1" applyProtection="1">
      <alignment horizontal="left"/>
      <protection locked="0"/>
    </xf>
    <xf numFmtId="0" fontId="1" fillId="2" borderId="1" xfId="1"/>
  </cellXfs>
  <cellStyles count="17">
    <cellStyle name="Calculation" xfId="16" builtinId="22"/>
    <cellStyle name="Currency" xfId="11" builtinId="4"/>
    <cellStyle name="Currency 2" xfId="4"/>
    <cellStyle name="Currency 3" xfId="14"/>
    <cellStyle name="Header" xfId="5"/>
    <cellStyle name="Heading 1 2" xfId="6"/>
    <cellStyle name="Heading 3 2" xfId="7"/>
    <cellStyle name="Input" xfId="1" builtinId="20"/>
    <cellStyle name="Normal" xfId="0" builtinId="0"/>
    <cellStyle name="Normal 2" xfId="3"/>
    <cellStyle name="Normal 2 2" xfId="2"/>
    <cellStyle name="Normal 2 2 2" xfId="12"/>
    <cellStyle name="Normal 3" xfId="8"/>
    <cellStyle name="Normal 4" xfId="13"/>
    <cellStyle name="Output" xfId="15" builtinId="21"/>
    <cellStyle name="Percent 2" xfId="9"/>
    <cellStyle name="Style 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542192</xdr:colOff>
      <xdr:row>34</xdr:row>
      <xdr:rowOff>0</xdr:rowOff>
    </xdr:from>
    <xdr:to>
      <xdr:col>4</xdr:col>
      <xdr:colOff>126999</xdr:colOff>
      <xdr:row>34</xdr:row>
      <xdr:rowOff>127000</xdr:rowOff>
    </xdr:to>
    <xdr:sp macro="" textlink="">
      <xdr:nvSpPr>
        <xdr:cNvPr id="2" name="Rectangle 1"/>
        <xdr:cNvSpPr/>
      </xdr:nvSpPr>
      <xdr:spPr>
        <a:xfrm>
          <a:off x="3847367" y="6781800"/>
          <a:ext cx="242032" cy="1270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 editAs="oneCell">
    <xdr:from>
      <xdr:col>4</xdr:col>
      <xdr:colOff>0</xdr:colOff>
      <xdr:row>12</xdr:row>
      <xdr:rowOff>119062</xdr:rowOff>
    </xdr:from>
    <xdr:to>
      <xdr:col>4</xdr:col>
      <xdr:colOff>619125</xdr:colOff>
      <xdr:row>14</xdr:row>
      <xdr:rowOff>41152</xdr:rowOff>
    </xdr:to>
    <xdr:grpSp>
      <xdr:nvGrpSpPr>
        <xdr:cNvPr id="3" name="Eqp$E$14_0"/>
        <xdr:cNvGrpSpPr>
          <a:grpSpLocks noChangeAspect="1"/>
        </xdr:cNvGrpSpPr>
      </xdr:nvGrpSpPr>
      <xdr:grpSpPr>
        <a:xfrm>
          <a:off x="3685442" y="2654177"/>
          <a:ext cx="619125" cy="339725"/>
          <a:chOff x="0" y="0"/>
          <a:chExt cx="619125" cy="339725"/>
        </a:xfrm>
      </xdr:grpSpPr>
      <xdr:pic>
        <xdr:nvPicPr>
          <xdr:cNvPr id="4" name="mid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01600"/>
            <a:ext cx="619125" cy="2381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Rectangle 4"/>
          <xdr:cNvSpPr/>
        </xdr:nvSpPr>
        <xdr:spPr>
          <a:xfrm>
            <a:off x="101600" y="0"/>
            <a:ext cx="127000" cy="12700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NZ" sz="1100"/>
          </a:p>
        </xdr:txBody>
      </xdr:sp>
    </xdr:grp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504825</xdr:colOff>
      <xdr:row>17</xdr:row>
      <xdr:rowOff>2381</xdr:rowOff>
    </xdr:to>
    <xdr:grpSp>
      <xdr:nvGrpSpPr>
        <xdr:cNvPr id="6" name="Eqp$E$17_2"/>
        <xdr:cNvGrpSpPr>
          <a:grpSpLocks noChangeAspect="1"/>
        </xdr:cNvGrpSpPr>
      </xdr:nvGrpSpPr>
      <xdr:grpSpPr>
        <a:xfrm>
          <a:off x="3685442" y="3370385"/>
          <a:ext cx="504825" cy="229515"/>
          <a:chOff x="0" y="0"/>
          <a:chExt cx="504825" cy="228600"/>
        </a:xfrm>
      </xdr:grpSpPr>
      <xdr:sp macro="" textlink="">
        <xdr:nvSpPr>
          <xdr:cNvPr id="7" name="top 1"/>
          <xdr:cNvSpPr txBox="1"/>
        </xdr:nvSpPr>
        <xdr:spPr>
          <a:xfrm>
            <a:off x="0" y="0"/>
            <a:ext cx="504825" cy="22860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lt1">
                    <a:shade val="50000"/>
                  </a:schemeClr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lIns="0" tIns="0" rIns="0" bIns="0" rtlCol="0" anchor="ctr" anchorCtr="0"/>
          <a:lstStyle/>
          <a:p>
            <a:pPr algn="ctr"/>
            <a:r>
              <a:rPr lang="en-NZ" sz="1100" i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= F</a:t>
            </a:r>
            <a:r>
              <a:rPr lang="en-NZ" sz="1100" i="0" baseline="-250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p</a:t>
            </a:r>
            <a:r>
              <a:rPr lang="en-NZ" sz="1100" i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 + F</a:t>
            </a:r>
            <a:r>
              <a:rPr lang="en-NZ" sz="1100" i="0" baseline="-250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c</a:t>
            </a:r>
            <a:r>
              <a:rPr lang="en-NZ" sz="1100" i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8" name="Rectangle 7"/>
          <xdr:cNvSpPr/>
        </xdr:nvSpPr>
        <xdr:spPr>
          <a:xfrm>
            <a:off x="0" y="0"/>
            <a:ext cx="127000" cy="12700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NZ" sz="1100"/>
          </a:p>
        </xdr:txBody>
      </xdr:sp>
    </xdr:grp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314325</xdr:colOff>
      <xdr:row>22</xdr:row>
      <xdr:rowOff>2381</xdr:rowOff>
    </xdr:to>
    <xdr:grpSp>
      <xdr:nvGrpSpPr>
        <xdr:cNvPr id="9" name="Eqp$E$22_0"/>
        <xdr:cNvGrpSpPr>
          <a:grpSpLocks noChangeAspect="1"/>
        </xdr:cNvGrpSpPr>
      </xdr:nvGrpSpPr>
      <xdr:grpSpPr>
        <a:xfrm>
          <a:off x="3685442" y="4396154"/>
          <a:ext cx="314325" cy="229515"/>
          <a:chOff x="0" y="0"/>
          <a:chExt cx="314325" cy="228600"/>
        </a:xfrm>
      </xdr:grpSpPr>
      <xdr:sp macro="" textlink="">
        <xdr:nvSpPr>
          <xdr:cNvPr id="10" name="top 1"/>
          <xdr:cNvSpPr txBox="1"/>
        </xdr:nvSpPr>
        <xdr:spPr>
          <a:xfrm>
            <a:off x="0" y="0"/>
            <a:ext cx="314325" cy="22860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lt1">
                    <a:shade val="50000"/>
                  </a:schemeClr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lIns="0" tIns="0" rIns="0" bIns="0" rtlCol="0" anchor="ctr" anchorCtr="0"/>
          <a:lstStyle/>
          <a:p>
            <a:pPr algn="ctr"/>
            <a:r>
              <a:rPr lang="en-NZ" sz="1100" i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= F</a:t>
            </a:r>
            <a:r>
              <a:rPr lang="en-NZ" sz="1100" i="0" baseline="-250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l</a:t>
            </a:r>
            <a:r>
              <a:rPr lang="en-NZ" sz="1100" i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g </a:t>
            </a:r>
          </a:p>
        </xdr:txBody>
      </xdr:sp>
      <xdr:sp macro="" textlink="">
        <xdr:nvSpPr>
          <xdr:cNvPr id="11" name="Rectangle 10"/>
          <xdr:cNvSpPr/>
        </xdr:nvSpPr>
        <xdr:spPr>
          <a:xfrm>
            <a:off x="0" y="0"/>
            <a:ext cx="127000" cy="12700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NZ" sz="1100"/>
          </a:p>
        </xdr:txBody>
      </xdr:sp>
    </xdr:grpSp>
    <xdr:clientData/>
  </xdr:twoCellAnchor>
  <xdr:twoCellAnchor editAs="oneCell">
    <xdr:from>
      <xdr:col>5</xdr:col>
      <xdr:colOff>0</xdr:colOff>
      <xdr:row>21</xdr:row>
      <xdr:rowOff>0</xdr:rowOff>
    </xdr:from>
    <xdr:to>
      <xdr:col>6</xdr:col>
      <xdr:colOff>140493</xdr:colOff>
      <xdr:row>22</xdr:row>
      <xdr:rowOff>2381</xdr:rowOff>
    </xdr:to>
    <xdr:grpSp>
      <xdr:nvGrpSpPr>
        <xdr:cNvPr id="12" name="Eqp$F$22_0"/>
        <xdr:cNvGrpSpPr>
          <a:grpSpLocks noChangeAspect="1"/>
        </xdr:cNvGrpSpPr>
      </xdr:nvGrpSpPr>
      <xdr:grpSpPr>
        <a:xfrm>
          <a:off x="4454769" y="4396154"/>
          <a:ext cx="682686" cy="229515"/>
          <a:chOff x="0" y="0"/>
          <a:chExt cx="723900" cy="228600"/>
        </a:xfrm>
      </xdr:grpSpPr>
      <xdr:sp macro="" textlink="">
        <xdr:nvSpPr>
          <xdr:cNvPr id="13" name="top 1"/>
          <xdr:cNvSpPr txBox="1"/>
        </xdr:nvSpPr>
        <xdr:spPr>
          <a:xfrm>
            <a:off x="0" y="0"/>
            <a:ext cx="723900" cy="22860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lt1">
                    <a:shade val="50000"/>
                  </a:schemeClr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lIns="0" tIns="0" rIns="0" bIns="0" rtlCol="0" anchor="ctr" anchorCtr="0"/>
          <a:lstStyle/>
          <a:p>
            <a:pPr algn="ctr"/>
            <a:r>
              <a:rPr lang="en-NZ" sz="1100" i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= 900 · 9.81 </a:t>
            </a:r>
          </a:p>
        </xdr:txBody>
      </xdr:sp>
      <xdr:sp macro="" textlink="">
        <xdr:nvSpPr>
          <xdr:cNvPr id="14" name="Rectangle 13"/>
          <xdr:cNvSpPr/>
        </xdr:nvSpPr>
        <xdr:spPr>
          <a:xfrm>
            <a:off x="0" y="0"/>
            <a:ext cx="127000" cy="12700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NZ" sz="1100"/>
          </a:p>
        </xdr:txBody>
      </xdr:sp>
    </xdr:grpSp>
    <xdr:clientData/>
  </xdr:twoCellAnchor>
  <xdr:twoCellAnchor editAs="oneCell">
    <xdr:from>
      <xdr:col>5</xdr:col>
      <xdr:colOff>0</xdr:colOff>
      <xdr:row>26</xdr:row>
      <xdr:rowOff>190500</xdr:rowOff>
    </xdr:from>
    <xdr:to>
      <xdr:col>5</xdr:col>
      <xdr:colOff>119769</xdr:colOff>
      <xdr:row>27</xdr:row>
      <xdr:rowOff>127508</xdr:rowOff>
    </xdr:to>
    <xdr:sp macro="" textlink="">
      <xdr:nvSpPr>
        <xdr:cNvPr id="20" name="Rectangle 19"/>
        <xdr:cNvSpPr/>
      </xdr:nvSpPr>
      <xdr:spPr>
        <a:xfrm>
          <a:off x="4454769" y="5575788"/>
          <a:ext cx="119769" cy="12750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 editAs="oneCell">
    <xdr:from>
      <xdr:col>4</xdr:col>
      <xdr:colOff>0</xdr:colOff>
      <xdr:row>26</xdr:row>
      <xdr:rowOff>190500</xdr:rowOff>
    </xdr:from>
    <xdr:to>
      <xdr:col>5</xdr:col>
      <xdr:colOff>392723</xdr:colOff>
      <xdr:row>28</xdr:row>
      <xdr:rowOff>1465</xdr:rowOff>
    </xdr:to>
    <xdr:grpSp>
      <xdr:nvGrpSpPr>
        <xdr:cNvPr id="27" name="Eqp$E$28_2"/>
        <xdr:cNvGrpSpPr>
          <a:grpSpLocks noChangeAspect="1"/>
        </xdr:cNvGrpSpPr>
      </xdr:nvGrpSpPr>
      <xdr:grpSpPr>
        <a:xfrm>
          <a:off x="3685442" y="5575788"/>
          <a:ext cx="1162050" cy="228600"/>
          <a:chOff x="0" y="0"/>
          <a:chExt cx="1162050" cy="228600"/>
        </a:xfrm>
      </xdr:grpSpPr>
      <xdr:sp macro="" textlink="">
        <xdr:nvSpPr>
          <xdr:cNvPr id="28" name="top 1"/>
          <xdr:cNvSpPr txBox="1"/>
        </xdr:nvSpPr>
        <xdr:spPr>
          <a:xfrm>
            <a:off x="0" y="0"/>
            <a:ext cx="1162050" cy="22860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lt1">
                    <a:shade val="50000"/>
                  </a:schemeClr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lIns="0" tIns="0" rIns="0" bIns="0" rtlCol="0" anchor="ctr" anchorCtr="0"/>
          <a:lstStyle/>
          <a:p>
            <a:pPr algn="ctr"/>
            <a:r>
              <a:rPr lang="en-NZ" sz="1100" i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= F</a:t>
            </a:r>
            <a:r>
              <a:rPr lang="en-NZ" sz="1100" i="0" baseline="-250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l</a:t>
            </a:r>
            <a:r>
              <a:rPr lang="en-NZ" sz="1100" i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cos(radians[</a:t>
            </a:r>
            <a:r>
              <a:rPr lang="el-GR" sz="1100" i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α]) </a:t>
            </a:r>
            <a:endParaRPr lang="en-NZ" sz="1100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/>
            </a:endParaRPr>
          </a:p>
        </xdr:txBody>
      </xdr:sp>
      <xdr:sp macro="" textlink="">
        <xdr:nvSpPr>
          <xdr:cNvPr id="29" name="Rectangle 28"/>
          <xdr:cNvSpPr/>
        </xdr:nvSpPr>
        <xdr:spPr>
          <a:xfrm>
            <a:off x="0" y="0"/>
            <a:ext cx="127000" cy="12700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NZ" sz="1100"/>
          </a:p>
        </xdr:txBody>
      </xdr:sp>
    </xdr:grpSp>
    <xdr:clientData/>
  </xdr:twoCellAnchor>
  <xdr:twoCellAnchor editAs="oneCell">
    <xdr:from>
      <xdr:col>4</xdr:col>
      <xdr:colOff>0</xdr:colOff>
      <xdr:row>28</xdr:row>
      <xdr:rowOff>0</xdr:rowOff>
    </xdr:from>
    <xdr:to>
      <xdr:col>5</xdr:col>
      <xdr:colOff>364148</xdr:colOff>
      <xdr:row>29</xdr:row>
      <xdr:rowOff>1465</xdr:rowOff>
    </xdr:to>
    <xdr:grpSp>
      <xdr:nvGrpSpPr>
        <xdr:cNvPr id="30" name="Eqp$E$29_2"/>
        <xdr:cNvGrpSpPr>
          <a:grpSpLocks noChangeAspect="1"/>
        </xdr:cNvGrpSpPr>
      </xdr:nvGrpSpPr>
      <xdr:grpSpPr>
        <a:xfrm>
          <a:off x="3685442" y="5802923"/>
          <a:ext cx="1133475" cy="228600"/>
          <a:chOff x="0" y="0"/>
          <a:chExt cx="1133475" cy="228600"/>
        </a:xfrm>
      </xdr:grpSpPr>
      <xdr:sp macro="" textlink="">
        <xdr:nvSpPr>
          <xdr:cNvPr id="31" name="top 1"/>
          <xdr:cNvSpPr txBox="1"/>
        </xdr:nvSpPr>
        <xdr:spPr>
          <a:xfrm>
            <a:off x="0" y="0"/>
            <a:ext cx="1133475" cy="22860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lt1">
                    <a:shade val="50000"/>
                  </a:schemeClr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lIns="0" tIns="0" rIns="0" bIns="0" rtlCol="0" anchor="ctr" anchorCtr="0"/>
          <a:lstStyle/>
          <a:p>
            <a:pPr algn="ctr"/>
            <a:r>
              <a:rPr lang="en-NZ" sz="1100" i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= F</a:t>
            </a:r>
            <a:r>
              <a:rPr lang="en-NZ" sz="1100" i="0" baseline="-250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l</a:t>
            </a:r>
            <a:r>
              <a:rPr lang="en-NZ" sz="1100" i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sin(radians[</a:t>
            </a:r>
            <a:r>
              <a:rPr lang="el-GR" sz="1100" i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α]) </a:t>
            </a:r>
            <a:endParaRPr lang="en-NZ" sz="1100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/>
            </a:endParaRPr>
          </a:p>
        </xdr:txBody>
      </xdr:sp>
      <xdr:sp macro="" textlink="">
        <xdr:nvSpPr>
          <xdr:cNvPr id="32" name="Rectangle 31"/>
          <xdr:cNvSpPr/>
        </xdr:nvSpPr>
        <xdr:spPr>
          <a:xfrm>
            <a:off x="0" y="0"/>
            <a:ext cx="127000" cy="12700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NZ" sz="1100"/>
          </a:p>
        </xdr:txBody>
      </xdr:sp>
    </xdr:grpSp>
    <xdr:clientData/>
  </xdr:twoCellAnchor>
  <xdr:twoCellAnchor editAs="oneCell">
    <xdr:from>
      <xdr:col>6</xdr:col>
      <xdr:colOff>0</xdr:colOff>
      <xdr:row>26</xdr:row>
      <xdr:rowOff>190500</xdr:rowOff>
    </xdr:from>
    <xdr:to>
      <xdr:col>7</xdr:col>
      <xdr:colOff>542193</xdr:colOff>
      <xdr:row>28</xdr:row>
      <xdr:rowOff>1465</xdr:rowOff>
    </xdr:to>
    <xdr:grpSp>
      <xdr:nvGrpSpPr>
        <xdr:cNvPr id="42" name="Eqp$G$28_0"/>
        <xdr:cNvGrpSpPr>
          <a:grpSpLocks noChangeAspect="1"/>
        </xdr:cNvGrpSpPr>
      </xdr:nvGrpSpPr>
      <xdr:grpSpPr>
        <a:xfrm>
          <a:off x="4996962" y="5575788"/>
          <a:ext cx="1524000" cy="228600"/>
          <a:chOff x="0" y="0"/>
          <a:chExt cx="1524000" cy="228600"/>
        </a:xfrm>
      </xdr:grpSpPr>
      <xdr:sp macro="" textlink="">
        <xdr:nvSpPr>
          <xdr:cNvPr id="43" name="top 1"/>
          <xdr:cNvSpPr txBox="1"/>
        </xdr:nvSpPr>
        <xdr:spPr>
          <a:xfrm>
            <a:off x="0" y="0"/>
            <a:ext cx="1524000" cy="22860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lt1">
                    <a:shade val="50000"/>
                  </a:schemeClr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lIns="0" tIns="0" rIns="0" bIns="0" rtlCol="0" anchor="ctr" anchorCtr="0"/>
          <a:lstStyle/>
          <a:p>
            <a:pPr algn="ctr"/>
            <a:r>
              <a:rPr lang="en-NZ" sz="1100" i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= 8829 · cos(radians[18]) </a:t>
            </a:r>
          </a:p>
        </xdr:txBody>
      </xdr:sp>
      <xdr:sp macro="" textlink="">
        <xdr:nvSpPr>
          <xdr:cNvPr id="44" name="Rectangle 43"/>
          <xdr:cNvSpPr/>
        </xdr:nvSpPr>
        <xdr:spPr>
          <a:xfrm>
            <a:off x="0" y="0"/>
            <a:ext cx="127000" cy="12700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NZ" sz="1100"/>
          </a:p>
        </xdr:txBody>
      </xdr:sp>
    </xdr:grpSp>
    <xdr:clientData/>
  </xdr:twoCellAnchor>
  <xdr:twoCellAnchor editAs="oneCell">
    <xdr:from>
      <xdr:col>6</xdr:col>
      <xdr:colOff>0</xdr:colOff>
      <xdr:row>28</xdr:row>
      <xdr:rowOff>0</xdr:rowOff>
    </xdr:from>
    <xdr:to>
      <xdr:col>7</xdr:col>
      <xdr:colOff>523143</xdr:colOff>
      <xdr:row>29</xdr:row>
      <xdr:rowOff>1465</xdr:rowOff>
    </xdr:to>
    <xdr:grpSp>
      <xdr:nvGrpSpPr>
        <xdr:cNvPr id="69" name="Eqp$G$29_0"/>
        <xdr:cNvGrpSpPr>
          <a:grpSpLocks noChangeAspect="1"/>
        </xdr:cNvGrpSpPr>
      </xdr:nvGrpSpPr>
      <xdr:grpSpPr>
        <a:xfrm>
          <a:off x="4996962" y="5802923"/>
          <a:ext cx="1504950" cy="228600"/>
          <a:chOff x="0" y="0"/>
          <a:chExt cx="1504950" cy="228600"/>
        </a:xfrm>
      </xdr:grpSpPr>
      <xdr:sp macro="" textlink="">
        <xdr:nvSpPr>
          <xdr:cNvPr id="70" name="top 1"/>
          <xdr:cNvSpPr txBox="1"/>
        </xdr:nvSpPr>
        <xdr:spPr>
          <a:xfrm>
            <a:off x="0" y="0"/>
            <a:ext cx="1504950" cy="22860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lt1">
                    <a:shade val="50000"/>
                  </a:schemeClr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lIns="0" tIns="0" rIns="0" bIns="0" rtlCol="0" anchor="ctr" anchorCtr="0"/>
          <a:lstStyle/>
          <a:p>
            <a:pPr algn="ctr"/>
            <a:r>
              <a:rPr lang="en-NZ" sz="1100" i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Calibri"/>
              </a:rPr>
              <a:t>= 8829 · sin(radians[18]) </a:t>
            </a:r>
          </a:p>
        </xdr:txBody>
      </xdr:sp>
      <xdr:sp macro="" textlink="">
        <xdr:nvSpPr>
          <xdr:cNvPr id="71" name="Rectangle 70"/>
          <xdr:cNvSpPr/>
        </xdr:nvSpPr>
        <xdr:spPr>
          <a:xfrm>
            <a:off x="0" y="0"/>
            <a:ext cx="127000" cy="12700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NZ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1304925</xdr:colOff>
      <xdr:row>1</xdr:row>
      <xdr:rowOff>0</xdr:rowOff>
    </xdr:to>
    <xdr:pic>
      <xdr:nvPicPr>
        <xdr:cNvPr id="2" name="Picture 1" descr="WAE Letterhea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67462" r="3407" b="83696"/>
        <a:stretch>
          <a:fillRect/>
        </a:stretch>
      </xdr:blipFill>
      <xdr:spPr bwMode="auto">
        <a:xfrm>
          <a:off x="0" y="0"/>
          <a:ext cx="1304925" cy="1085850"/>
        </a:xfrm>
        <a:prstGeom prst="rect">
          <a:avLst/>
        </a:prstGeom>
        <a:noFill/>
        <a:ln w="12700" cmpd="sng">
          <a:solidFill>
            <a:schemeClr val="tx1"/>
          </a:solidFill>
          <a:miter lim="800000"/>
          <a:headEnd/>
          <a:tailEnd/>
        </a:ln>
        <a:effectLst>
          <a:innerShdw blurRad="114300">
            <a:srgbClr val="FFFF00"/>
          </a:inn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shop%20Items/Scaffold%20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0"/>
      <sheetName val="Rates"/>
      <sheetName val="Sheet1"/>
      <sheetName val="Sheet2"/>
    </sheetNames>
    <sheetDataSet>
      <sheetData sheetId="0" refreshError="1"/>
      <sheetData sheetId="1">
        <row r="2">
          <cell r="B2">
            <v>2.3800000000000003</v>
          </cell>
          <cell r="C2" t="str">
            <v>ea</v>
          </cell>
        </row>
        <row r="3">
          <cell r="B3">
            <v>0.441</v>
          </cell>
          <cell r="C3" t="str">
            <v>m</v>
          </cell>
        </row>
        <row r="4">
          <cell r="B4">
            <v>9</v>
          </cell>
        </row>
        <row r="5">
          <cell r="B5">
            <v>53</v>
          </cell>
          <cell r="C5" t="str">
            <v>hr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"/>
  <sheetViews>
    <sheetView showGridLines="0" workbookViewId="0"/>
  </sheetViews>
  <sheetFormatPr defaultRowHeight="15" x14ac:dyDescent="0.25"/>
  <cols>
    <col min="1" max="1" width="6.85546875" bestFit="1" customWidth="1"/>
    <col min="2" max="52" width="8.7109375" customWidth="1"/>
  </cols>
  <sheetData>
    <row r="1" spans="1:52" ht="18" customHeight="1" x14ac:dyDescent="0.25">
      <c r="A1" s="15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</row>
    <row r="2" spans="1:5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</row>
    <row r="3" spans="1:5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</row>
    <row r="4" spans="1:52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</row>
    <row r="5" spans="1:52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</row>
    <row r="6" spans="1:52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</row>
    <row r="7" spans="1:52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</row>
    <row r="8" spans="1:52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</row>
    <row r="9" spans="1:52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</row>
    <row r="10" spans="1:52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</row>
    <row r="11" spans="1:52" x14ac:dyDescent="0.25">
      <c r="A11" s="1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</row>
    <row r="12" spans="1:52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</row>
    <row r="13" spans="1:52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</row>
    <row r="14" spans="1:52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</row>
    <row r="15" spans="1:52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</row>
    <row r="16" spans="1:52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</row>
    <row r="17" spans="1:52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1:52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1:52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1:52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</row>
    <row r="21" spans="1:52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1:52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E14" sqref="E14"/>
    </sheetView>
  </sheetViews>
  <sheetFormatPr defaultRowHeight="12.75" x14ac:dyDescent="0.2"/>
  <cols>
    <col min="1" max="1" width="19.7109375" style="109" bestFit="1" customWidth="1"/>
    <col min="2" max="2" width="9.7109375" style="109" bestFit="1" customWidth="1"/>
    <col min="3" max="4" width="9.140625" style="109" customWidth="1"/>
    <col min="5" max="6" width="10.140625" style="109" bestFit="1" customWidth="1"/>
    <col min="7" max="256" width="9.140625" style="109"/>
    <col min="257" max="257" width="19.7109375" style="109" bestFit="1" customWidth="1"/>
    <col min="258" max="258" width="9.7109375" style="109" bestFit="1" customWidth="1"/>
    <col min="259" max="260" width="9.140625" style="109" customWidth="1"/>
    <col min="261" max="262" width="10.140625" style="109" bestFit="1" customWidth="1"/>
    <col min="263" max="512" width="9.140625" style="109"/>
    <col min="513" max="513" width="19.7109375" style="109" bestFit="1" customWidth="1"/>
    <col min="514" max="514" width="9.7109375" style="109" bestFit="1" customWidth="1"/>
    <col min="515" max="516" width="9.140625" style="109" customWidth="1"/>
    <col min="517" max="518" width="10.140625" style="109" bestFit="1" customWidth="1"/>
    <col min="519" max="768" width="9.140625" style="109"/>
    <col min="769" max="769" width="19.7109375" style="109" bestFit="1" customWidth="1"/>
    <col min="770" max="770" width="9.7109375" style="109" bestFit="1" customWidth="1"/>
    <col min="771" max="772" width="9.140625" style="109" customWidth="1"/>
    <col min="773" max="774" width="10.140625" style="109" bestFit="1" customWidth="1"/>
    <col min="775" max="1024" width="9.140625" style="109"/>
    <col min="1025" max="1025" width="19.7109375" style="109" bestFit="1" customWidth="1"/>
    <col min="1026" max="1026" width="9.7109375" style="109" bestFit="1" customWidth="1"/>
    <col min="1027" max="1028" width="9.140625" style="109" customWidth="1"/>
    <col min="1029" max="1030" width="10.140625" style="109" bestFit="1" customWidth="1"/>
    <col min="1031" max="1280" width="9.140625" style="109"/>
    <col min="1281" max="1281" width="19.7109375" style="109" bestFit="1" customWidth="1"/>
    <col min="1282" max="1282" width="9.7109375" style="109" bestFit="1" customWidth="1"/>
    <col min="1283" max="1284" width="9.140625" style="109" customWidth="1"/>
    <col min="1285" max="1286" width="10.140625" style="109" bestFit="1" customWidth="1"/>
    <col min="1287" max="1536" width="9.140625" style="109"/>
    <col min="1537" max="1537" width="19.7109375" style="109" bestFit="1" customWidth="1"/>
    <col min="1538" max="1538" width="9.7109375" style="109" bestFit="1" customWidth="1"/>
    <col min="1539" max="1540" width="9.140625" style="109" customWidth="1"/>
    <col min="1541" max="1542" width="10.140625" style="109" bestFit="1" customWidth="1"/>
    <col min="1543" max="1792" width="9.140625" style="109"/>
    <col min="1793" max="1793" width="19.7109375" style="109" bestFit="1" customWidth="1"/>
    <col min="1794" max="1794" width="9.7109375" style="109" bestFit="1" customWidth="1"/>
    <col min="1795" max="1796" width="9.140625" style="109" customWidth="1"/>
    <col min="1797" max="1798" width="10.140625" style="109" bestFit="1" customWidth="1"/>
    <col min="1799" max="2048" width="9.140625" style="109"/>
    <col min="2049" max="2049" width="19.7109375" style="109" bestFit="1" customWidth="1"/>
    <col min="2050" max="2050" width="9.7109375" style="109" bestFit="1" customWidth="1"/>
    <col min="2051" max="2052" width="9.140625" style="109" customWidth="1"/>
    <col min="2053" max="2054" width="10.140625" style="109" bestFit="1" customWidth="1"/>
    <col min="2055" max="2304" width="9.140625" style="109"/>
    <col min="2305" max="2305" width="19.7109375" style="109" bestFit="1" customWidth="1"/>
    <col min="2306" max="2306" width="9.7109375" style="109" bestFit="1" customWidth="1"/>
    <col min="2307" max="2308" width="9.140625" style="109" customWidth="1"/>
    <col min="2309" max="2310" width="10.140625" style="109" bestFit="1" customWidth="1"/>
    <col min="2311" max="2560" width="9.140625" style="109"/>
    <col min="2561" max="2561" width="19.7109375" style="109" bestFit="1" customWidth="1"/>
    <col min="2562" max="2562" width="9.7109375" style="109" bestFit="1" customWidth="1"/>
    <col min="2563" max="2564" width="9.140625" style="109" customWidth="1"/>
    <col min="2565" max="2566" width="10.140625" style="109" bestFit="1" customWidth="1"/>
    <col min="2567" max="2816" width="9.140625" style="109"/>
    <col min="2817" max="2817" width="19.7109375" style="109" bestFit="1" customWidth="1"/>
    <col min="2818" max="2818" width="9.7109375" style="109" bestFit="1" customWidth="1"/>
    <col min="2819" max="2820" width="9.140625" style="109" customWidth="1"/>
    <col min="2821" max="2822" width="10.140625" style="109" bestFit="1" customWidth="1"/>
    <col min="2823" max="3072" width="9.140625" style="109"/>
    <col min="3073" max="3073" width="19.7109375" style="109" bestFit="1" customWidth="1"/>
    <col min="3074" max="3074" width="9.7109375" style="109" bestFit="1" customWidth="1"/>
    <col min="3075" max="3076" width="9.140625" style="109" customWidth="1"/>
    <col min="3077" max="3078" width="10.140625" style="109" bestFit="1" customWidth="1"/>
    <col min="3079" max="3328" width="9.140625" style="109"/>
    <col min="3329" max="3329" width="19.7109375" style="109" bestFit="1" customWidth="1"/>
    <col min="3330" max="3330" width="9.7109375" style="109" bestFit="1" customWidth="1"/>
    <col min="3331" max="3332" width="9.140625" style="109" customWidth="1"/>
    <col min="3333" max="3334" width="10.140625" style="109" bestFit="1" customWidth="1"/>
    <col min="3335" max="3584" width="9.140625" style="109"/>
    <col min="3585" max="3585" width="19.7109375" style="109" bestFit="1" customWidth="1"/>
    <col min="3586" max="3586" width="9.7109375" style="109" bestFit="1" customWidth="1"/>
    <col min="3587" max="3588" width="9.140625" style="109" customWidth="1"/>
    <col min="3589" max="3590" width="10.140625" style="109" bestFit="1" customWidth="1"/>
    <col min="3591" max="3840" width="9.140625" style="109"/>
    <col min="3841" max="3841" width="19.7109375" style="109" bestFit="1" customWidth="1"/>
    <col min="3842" max="3842" width="9.7109375" style="109" bestFit="1" customWidth="1"/>
    <col min="3843" max="3844" width="9.140625" style="109" customWidth="1"/>
    <col min="3845" max="3846" width="10.140625" style="109" bestFit="1" customWidth="1"/>
    <col min="3847" max="4096" width="9.140625" style="109"/>
    <col min="4097" max="4097" width="19.7109375" style="109" bestFit="1" customWidth="1"/>
    <col min="4098" max="4098" width="9.7109375" style="109" bestFit="1" customWidth="1"/>
    <col min="4099" max="4100" width="9.140625" style="109" customWidth="1"/>
    <col min="4101" max="4102" width="10.140625" style="109" bestFit="1" customWidth="1"/>
    <col min="4103" max="4352" width="9.140625" style="109"/>
    <col min="4353" max="4353" width="19.7109375" style="109" bestFit="1" customWidth="1"/>
    <col min="4354" max="4354" width="9.7109375" style="109" bestFit="1" customWidth="1"/>
    <col min="4355" max="4356" width="9.140625" style="109" customWidth="1"/>
    <col min="4357" max="4358" width="10.140625" style="109" bestFit="1" customWidth="1"/>
    <col min="4359" max="4608" width="9.140625" style="109"/>
    <col min="4609" max="4609" width="19.7109375" style="109" bestFit="1" customWidth="1"/>
    <col min="4610" max="4610" width="9.7109375" style="109" bestFit="1" customWidth="1"/>
    <col min="4611" max="4612" width="9.140625" style="109" customWidth="1"/>
    <col min="4613" max="4614" width="10.140625" style="109" bestFit="1" customWidth="1"/>
    <col min="4615" max="4864" width="9.140625" style="109"/>
    <col min="4865" max="4865" width="19.7109375" style="109" bestFit="1" customWidth="1"/>
    <col min="4866" max="4866" width="9.7109375" style="109" bestFit="1" customWidth="1"/>
    <col min="4867" max="4868" width="9.140625" style="109" customWidth="1"/>
    <col min="4869" max="4870" width="10.140625" style="109" bestFit="1" customWidth="1"/>
    <col min="4871" max="5120" width="9.140625" style="109"/>
    <col min="5121" max="5121" width="19.7109375" style="109" bestFit="1" customWidth="1"/>
    <col min="5122" max="5122" width="9.7109375" style="109" bestFit="1" customWidth="1"/>
    <col min="5123" max="5124" width="9.140625" style="109" customWidth="1"/>
    <col min="5125" max="5126" width="10.140625" style="109" bestFit="1" customWidth="1"/>
    <col min="5127" max="5376" width="9.140625" style="109"/>
    <col min="5377" max="5377" width="19.7109375" style="109" bestFit="1" customWidth="1"/>
    <col min="5378" max="5378" width="9.7109375" style="109" bestFit="1" customWidth="1"/>
    <col min="5379" max="5380" width="9.140625" style="109" customWidth="1"/>
    <col min="5381" max="5382" width="10.140625" style="109" bestFit="1" customWidth="1"/>
    <col min="5383" max="5632" width="9.140625" style="109"/>
    <col min="5633" max="5633" width="19.7109375" style="109" bestFit="1" customWidth="1"/>
    <col min="5634" max="5634" width="9.7109375" style="109" bestFit="1" customWidth="1"/>
    <col min="5635" max="5636" width="9.140625" style="109" customWidth="1"/>
    <col min="5637" max="5638" width="10.140625" style="109" bestFit="1" customWidth="1"/>
    <col min="5639" max="5888" width="9.140625" style="109"/>
    <col min="5889" max="5889" width="19.7109375" style="109" bestFit="1" customWidth="1"/>
    <col min="5890" max="5890" width="9.7109375" style="109" bestFit="1" customWidth="1"/>
    <col min="5891" max="5892" width="9.140625" style="109" customWidth="1"/>
    <col min="5893" max="5894" width="10.140625" style="109" bestFit="1" customWidth="1"/>
    <col min="5895" max="6144" width="9.140625" style="109"/>
    <col min="6145" max="6145" width="19.7109375" style="109" bestFit="1" customWidth="1"/>
    <col min="6146" max="6146" width="9.7109375" style="109" bestFit="1" customWidth="1"/>
    <col min="6147" max="6148" width="9.140625" style="109" customWidth="1"/>
    <col min="6149" max="6150" width="10.140625" style="109" bestFit="1" customWidth="1"/>
    <col min="6151" max="6400" width="9.140625" style="109"/>
    <col min="6401" max="6401" width="19.7109375" style="109" bestFit="1" customWidth="1"/>
    <col min="6402" max="6402" width="9.7109375" style="109" bestFit="1" customWidth="1"/>
    <col min="6403" max="6404" width="9.140625" style="109" customWidth="1"/>
    <col min="6405" max="6406" width="10.140625" style="109" bestFit="1" customWidth="1"/>
    <col min="6407" max="6656" width="9.140625" style="109"/>
    <col min="6657" max="6657" width="19.7109375" style="109" bestFit="1" customWidth="1"/>
    <col min="6658" max="6658" width="9.7109375" style="109" bestFit="1" customWidth="1"/>
    <col min="6659" max="6660" width="9.140625" style="109" customWidth="1"/>
    <col min="6661" max="6662" width="10.140625" style="109" bestFit="1" customWidth="1"/>
    <col min="6663" max="6912" width="9.140625" style="109"/>
    <col min="6913" max="6913" width="19.7109375" style="109" bestFit="1" customWidth="1"/>
    <col min="6914" max="6914" width="9.7109375" style="109" bestFit="1" customWidth="1"/>
    <col min="6915" max="6916" width="9.140625" style="109" customWidth="1"/>
    <col min="6917" max="6918" width="10.140625" style="109" bestFit="1" customWidth="1"/>
    <col min="6919" max="7168" width="9.140625" style="109"/>
    <col min="7169" max="7169" width="19.7109375" style="109" bestFit="1" customWidth="1"/>
    <col min="7170" max="7170" width="9.7109375" style="109" bestFit="1" customWidth="1"/>
    <col min="7171" max="7172" width="9.140625" style="109" customWidth="1"/>
    <col min="7173" max="7174" width="10.140625" style="109" bestFit="1" customWidth="1"/>
    <col min="7175" max="7424" width="9.140625" style="109"/>
    <col min="7425" max="7425" width="19.7109375" style="109" bestFit="1" customWidth="1"/>
    <col min="7426" max="7426" width="9.7109375" style="109" bestFit="1" customWidth="1"/>
    <col min="7427" max="7428" width="9.140625" style="109" customWidth="1"/>
    <col min="7429" max="7430" width="10.140625" style="109" bestFit="1" customWidth="1"/>
    <col min="7431" max="7680" width="9.140625" style="109"/>
    <col min="7681" max="7681" width="19.7109375" style="109" bestFit="1" customWidth="1"/>
    <col min="7682" max="7682" width="9.7109375" style="109" bestFit="1" customWidth="1"/>
    <col min="7683" max="7684" width="9.140625" style="109" customWidth="1"/>
    <col min="7685" max="7686" width="10.140625" style="109" bestFit="1" customWidth="1"/>
    <col min="7687" max="7936" width="9.140625" style="109"/>
    <col min="7937" max="7937" width="19.7109375" style="109" bestFit="1" customWidth="1"/>
    <col min="7938" max="7938" width="9.7109375" style="109" bestFit="1" customWidth="1"/>
    <col min="7939" max="7940" width="9.140625" style="109" customWidth="1"/>
    <col min="7941" max="7942" width="10.140625" style="109" bestFit="1" customWidth="1"/>
    <col min="7943" max="8192" width="9.140625" style="109"/>
    <col min="8193" max="8193" width="19.7109375" style="109" bestFit="1" customWidth="1"/>
    <col min="8194" max="8194" width="9.7109375" style="109" bestFit="1" customWidth="1"/>
    <col min="8195" max="8196" width="9.140625" style="109" customWidth="1"/>
    <col min="8197" max="8198" width="10.140625" style="109" bestFit="1" customWidth="1"/>
    <col min="8199" max="8448" width="9.140625" style="109"/>
    <col min="8449" max="8449" width="19.7109375" style="109" bestFit="1" customWidth="1"/>
    <col min="8450" max="8450" width="9.7109375" style="109" bestFit="1" customWidth="1"/>
    <col min="8451" max="8452" width="9.140625" style="109" customWidth="1"/>
    <col min="8453" max="8454" width="10.140625" style="109" bestFit="1" customWidth="1"/>
    <col min="8455" max="8704" width="9.140625" style="109"/>
    <col min="8705" max="8705" width="19.7109375" style="109" bestFit="1" customWidth="1"/>
    <col min="8706" max="8706" width="9.7109375" style="109" bestFit="1" customWidth="1"/>
    <col min="8707" max="8708" width="9.140625" style="109" customWidth="1"/>
    <col min="8709" max="8710" width="10.140625" style="109" bestFit="1" customWidth="1"/>
    <col min="8711" max="8960" width="9.140625" style="109"/>
    <col min="8961" max="8961" width="19.7109375" style="109" bestFit="1" customWidth="1"/>
    <col min="8962" max="8962" width="9.7109375" style="109" bestFit="1" customWidth="1"/>
    <col min="8963" max="8964" width="9.140625" style="109" customWidth="1"/>
    <col min="8965" max="8966" width="10.140625" style="109" bestFit="1" customWidth="1"/>
    <col min="8967" max="9216" width="9.140625" style="109"/>
    <col min="9217" max="9217" width="19.7109375" style="109" bestFit="1" customWidth="1"/>
    <col min="9218" max="9218" width="9.7109375" style="109" bestFit="1" customWidth="1"/>
    <col min="9219" max="9220" width="9.140625" style="109" customWidth="1"/>
    <col min="9221" max="9222" width="10.140625" style="109" bestFit="1" customWidth="1"/>
    <col min="9223" max="9472" width="9.140625" style="109"/>
    <col min="9473" max="9473" width="19.7109375" style="109" bestFit="1" customWidth="1"/>
    <col min="9474" max="9474" width="9.7109375" style="109" bestFit="1" customWidth="1"/>
    <col min="9475" max="9476" width="9.140625" style="109" customWidth="1"/>
    <col min="9477" max="9478" width="10.140625" style="109" bestFit="1" customWidth="1"/>
    <col min="9479" max="9728" width="9.140625" style="109"/>
    <col min="9729" max="9729" width="19.7109375" style="109" bestFit="1" customWidth="1"/>
    <col min="9730" max="9730" width="9.7109375" style="109" bestFit="1" customWidth="1"/>
    <col min="9731" max="9732" width="9.140625" style="109" customWidth="1"/>
    <col min="9733" max="9734" width="10.140625" style="109" bestFit="1" customWidth="1"/>
    <col min="9735" max="9984" width="9.140625" style="109"/>
    <col min="9985" max="9985" width="19.7109375" style="109" bestFit="1" customWidth="1"/>
    <col min="9986" max="9986" width="9.7109375" style="109" bestFit="1" customWidth="1"/>
    <col min="9987" max="9988" width="9.140625" style="109" customWidth="1"/>
    <col min="9989" max="9990" width="10.140625" style="109" bestFit="1" customWidth="1"/>
    <col min="9991" max="10240" width="9.140625" style="109"/>
    <col min="10241" max="10241" width="19.7109375" style="109" bestFit="1" customWidth="1"/>
    <col min="10242" max="10242" width="9.7109375" style="109" bestFit="1" customWidth="1"/>
    <col min="10243" max="10244" width="9.140625" style="109" customWidth="1"/>
    <col min="10245" max="10246" width="10.140625" style="109" bestFit="1" customWidth="1"/>
    <col min="10247" max="10496" width="9.140625" style="109"/>
    <col min="10497" max="10497" width="19.7109375" style="109" bestFit="1" customWidth="1"/>
    <col min="10498" max="10498" width="9.7109375" style="109" bestFit="1" customWidth="1"/>
    <col min="10499" max="10500" width="9.140625" style="109" customWidth="1"/>
    <col min="10501" max="10502" width="10.140625" style="109" bestFit="1" customWidth="1"/>
    <col min="10503" max="10752" width="9.140625" style="109"/>
    <col min="10753" max="10753" width="19.7109375" style="109" bestFit="1" customWidth="1"/>
    <col min="10754" max="10754" width="9.7109375" style="109" bestFit="1" customWidth="1"/>
    <col min="10755" max="10756" width="9.140625" style="109" customWidth="1"/>
    <col min="10757" max="10758" width="10.140625" style="109" bestFit="1" customWidth="1"/>
    <col min="10759" max="11008" width="9.140625" style="109"/>
    <col min="11009" max="11009" width="19.7109375" style="109" bestFit="1" customWidth="1"/>
    <col min="11010" max="11010" width="9.7109375" style="109" bestFit="1" customWidth="1"/>
    <col min="11011" max="11012" width="9.140625" style="109" customWidth="1"/>
    <col min="11013" max="11014" width="10.140625" style="109" bestFit="1" customWidth="1"/>
    <col min="11015" max="11264" width="9.140625" style="109"/>
    <col min="11265" max="11265" width="19.7109375" style="109" bestFit="1" customWidth="1"/>
    <col min="11266" max="11266" width="9.7109375" style="109" bestFit="1" customWidth="1"/>
    <col min="11267" max="11268" width="9.140625" style="109" customWidth="1"/>
    <col min="11269" max="11270" width="10.140625" style="109" bestFit="1" customWidth="1"/>
    <col min="11271" max="11520" width="9.140625" style="109"/>
    <col min="11521" max="11521" width="19.7109375" style="109" bestFit="1" customWidth="1"/>
    <col min="11522" max="11522" width="9.7109375" style="109" bestFit="1" customWidth="1"/>
    <col min="11523" max="11524" width="9.140625" style="109" customWidth="1"/>
    <col min="11525" max="11526" width="10.140625" style="109" bestFit="1" customWidth="1"/>
    <col min="11527" max="11776" width="9.140625" style="109"/>
    <col min="11777" max="11777" width="19.7109375" style="109" bestFit="1" customWidth="1"/>
    <col min="11778" max="11778" width="9.7109375" style="109" bestFit="1" customWidth="1"/>
    <col min="11779" max="11780" width="9.140625" style="109" customWidth="1"/>
    <col min="11781" max="11782" width="10.140625" style="109" bestFit="1" customWidth="1"/>
    <col min="11783" max="12032" width="9.140625" style="109"/>
    <col min="12033" max="12033" width="19.7109375" style="109" bestFit="1" customWidth="1"/>
    <col min="12034" max="12034" width="9.7109375" style="109" bestFit="1" customWidth="1"/>
    <col min="12035" max="12036" width="9.140625" style="109" customWidth="1"/>
    <col min="12037" max="12038" width="10.140625" style="109" bestFit="1" customWidth="1"/>
    <col min="12039" max="12288" width="9.140625" style="109"/>
    <col min="12289" max="12289" width="19.7109375" style="109" bestFit="1" customWidth="1"/>
    <col min="12290" max="12290" width="9.7109375" style="109" bestFit="1" customWidth="1"/>
    <col min="12291" max="12292" width="9.140625" style="109" customWidth="1"/>
    <col min="12293" max="12294" width="10.140625" style="109" bestFit="1" customWidth="1"/>
    <col min="12295" max="12544" width="9.140625" style="109"/>
    <col min="12545" max="12545" width="19.7109375" style="109" bestFit="1" customWidth="1"/>
    <col min="12546" max="12546" width="9.7109375" style="109" bestFit="1" customWidth="1"/>
    <col min="12547" max="12548" width="9.140625" style="109" customWidth="1"/>
    <col min="12549" max="12550" width="10.140625" style="109" bestFit="1" customWidth="1"/>
    <col min="12551" max="12800" width="9.140625" style="109"/>
    <col min="12801" max="12801" width="19.7109375" style="109" bestFit="1" customWidth="1"/>
    <col min="12802" max="12802" width="9.7109375" style="109" bestFit="1" customWidth="1"/>
    <col min="12803" max="12804" width="9.140625" style="109" customWidth="1"/>
    <col min="12805" max="12806" width="10.140625" style="109" bestFit="1" customWidth="1"/>
    <col min="12807" max="13056" width="9.140625" style="109"/>
    <col min="13057" max="13057" width="19.7109375" style="109" bestFit="1" customWidth="1"/>
    <col min="13058" max="13058" width="9.7109375" style="109" bestFit="1" customWidth="1"/>
    <col min="13059" max="13060" width="9.140625" style="109" customWidth="1"/>
    <col min="13061" max="13062" width="10.140625" style="109" bestFit="1" customWidth="1"/>
    <col min="13063" max="13312" width="9.140625" style="109"/>
    <col min="13313" max="13313" width="19.7109375" style="109" bestFit="1" customWidth="1"/>
    <col min="13314" max="13314" width="9.7109375" style="109" bestFit="1" customWidth="1"/>
    <col min="13315" max="13316" width="9.140625" style="109" customWidth="1"/>
    <col min="13317" max="13318" width="10.140625" style="109" bestFit="1" customWidth="1"/>
    <col min="13319" max="13568" width="9.140625" style="109"/>
    <col min="13569" max="13569" width="19.7109375" style="109" bestFit="1" customWidth="1"/>
    <col min="13570" max="13570" width="9.7109375" style="109" bestFit="1" customWidth="1"/>
    <col min="13571" max="13572" width="9.140625" style="109" customWidth="1"/>
    <col min="13573" max="13574" width="10.140625" style="109" bestFit="1" customWidth="1"/>
    <col min="13575" max="13824" width="9.140625" style="109"/>
    <col min="13825" max="13825" width="19.7109375" style="109" bestFit="1" customWidth="1"/>
    <col min="13826" max="13826" width="9.7109375" style="109" bestFit="1" customWidth="1"/>
    <col min="13827" max="13828" width="9.140625" style="109" customWidth="1"/>
    <col min="13829" max="13830" width="10.140625" style="109" bestFit="1" customWidth="1"/>
    <col min="13831" max="14080" width="9.140625" style="109"/>
    <col min="14081" max="14081" width="19.7109375" style="109" bestFit="1" customWidth="1"/>
    <col min="14082" max="14082" width="9.7109375" style="109" bestFit="1" customWidth="1"/>
    <col min="14083" max="14084" width="9.140625" style="109" customWidth="1"/>
    <col min="14085" max="14086" width="10.140625" style="109" bestFit="1" customWidth="1"/>
    <col min="14087" max="14336" width="9.140625" style="109"/>
    <col min="14337" max="14337" width="19.7109375" style="109" bestFit="1" customWidth="1"/>
    <col min="14338" max="14338" width="9.7109375" style="109" bestFit="1" customWidth="1"/>
    <col min="14339" max="14340" width="9.140625" style="109" customWidth="1"/>
    <col min="14341" max="14342" width="10.140625" style="109" bestFit="1" customWidth="1"/>
    <col min="14343" max="14592" width="9.140625" style="109"/>
    <col min="14593" max="14593" width="19.7109375" style="109" bestFit="1" customWidth="1"/>
    <col min="14594" max="14594" width="9.7109375" style="109" bestFit="1" customWidth="1"/>
    <col min="14595" max="14596" width="9.140625" style="109" customWidth="1"/>
    <col min="14597" max="14598" width="10.140625" style="109" bestFit="1" customWidth="1"/>
    <col min="14599" max="14848" width="9.140625" style="109"/>
    <col min="14849" max="14849" width="19.7109375" style="109" bestFit="1" customWidth="1"/>
    <col min="14850" max="14850" width="9.7109375" style="109" bestFit="1" customWidth="1"/>
    <col min="14851" max="14852" width="9.140625" style="109" customWidth="1"/>
    <col min="14853" max="14854" width="10.140625" style="109" bestFit="1" customWidth="1"/>
    <col min="14855" max="15104" width="9.140625" style="109"/>
    <col min="15105" max="15105" width="19.7109375" style="109" bestFit="1" customWidth="1"/>
    <col min="15106" max="15106" width="9.7109375" style="109" bestFit="1" customWidth="1"/>
    <col min="15107" max="15108" width="9.140625" style="109" customWidth="1"/>
    <col min="15109" max="15110" width="10.140625" style="109" bestFit="1" customWidth="1"/>
    <col min="15111" max="15360" width="9.140625" style="109"/>
    <col min="15361" max="15361" width="19.7109375" style="109" bestFit="1" customWidth="1"/>
    <col min="15362" max="15362" width="9.7109375" style="109" bestFit="1" customWidth="1"/>
    <col min="15363" max="15364" width="9.140625" style="109" customWidth="1"/>
    <col min="15365" max="15366" width="10.140625" style="109" bestFit="1" customWidth="1"/>
    <col min="15367" max="15616" width="9.140625" style="109"/>
    <col min="15617" max="15617" width="19.7109375" style="109" bestFit="1" customWidth="1"/>
    <col min="15618" max="15618" width="9.7109375" style="109" bestFit="1" customWidth="1"/>
    <col min="15619" max="15620" width="9.140625" style="109" customWidth="1"/>
    <col min="15621" max="15622" width="10.140625" style="109" bestFit="1" customWidth="1"/>
    <col min="15623" max="15872" width="9.140625" style="109"/>
    <col min="15873" max="15873" width="19.7109375" style="109" bestFit="1" customWidth="1"/>
    <col min="15874" max="15874" width="9.7109375" style="109" bestFit="1" customWidth="1"/>
    <col min="15875" max="15876" width="9.140625" style="109" customWidth="1"/>
    <col min="15877" max="15878" width="10.140625" style="109" bestFit="1" customWidth="1"/>
    <col min="15879" max="16128" width="9.140625" style="109"/>
    <col min="16129" max="16129" width="19.7109375" style="109" bestFit="1" customWidth="1"/>
    <col min="16130" max="16130" width="9.7109375" style="109" bestFit="1" customWidth="1"/>
    <col min="16131" max="16132" width="9.140625" style="109" customWidth="1"/>
    <col min="16133" max="16134" width="10.140625" style="109" bestFit="1" customWidth="1"/>
    <col min="16135" max="16384" width="9.140625" style="109"/>
  </cols>
  <sheetData>
    <row r="1" spans="1:7" ht="85.5" customHeight="1" x14ac:dyDescent="0.2">
      <c r="A1" s="107"/>
      <c r="B1" s="204" t="s">
        <v>212</v>
      </c>
      <c r="C1" s="205"/>
      <c r="D1" s="205"/>
      <c r="E1" s="205"/>
      <c r="F1" s="205"/>
      <c r="G1" s="108"/>
    </row>
    <row r="2" spans="1:7" x14ac:dyDescent="0.2">
      <c r="A2" s="110" t="s">
        <v>213</v>
      </c>
      <c r="B2" s="111"/>
      <c r="C2" s="206" t="s">
        <v>214</v>
      </c>
      <c r="D2" s="207"/>
      <c r="E2" s="207"/>
      <c r="F2" s="207"/>
      <c r="G2" s="112"/>
    </row>
    <row r="3" spans="1:7" x14ac:dyDescent="0.2">
      <c r="A3" s="110" t="s">
        <v>215</v>
      </c>
      <c r="B3" s="111"/>
      <c r="C3" s="206" t="s">
        <v>216</v>
      </c>
      <c r="D3" s="207"/>
      <c r="E3" s="207"/>
      <c r="F3" s="207"/>
      <c r="G3" s="112"/>
    </row>
    <row r="4" spans="1:7" x14ac:dyDescent="0.2">
      <c r="A4" s="110" t="s">
        <v>217</v>
      </c>
      <c r="B4" s="111"/>
      <c r="C4" s="208">
        <v>1000</v>
      </c>
      <c r="D4" s="209"/>
      <c r="E4" s="209"/>
      <c r="F4" s="210"/>
      <c r="G4" s="112"/>
    </row>
    <row r="5" spans="1:7" x14ac:dyDescent="0.2">
      <c r="A5" s="110" t="s">
        <v>218</v>
      </c>
      <c r="B5" s="113"/>
      <c r="C5" s="114" t="s">
        <v>219</v>
      </c>
      <c r="D5" s="114"/>
      <c r="E5" s="114" t="s">
        <v>220</v>
      </c>
      <c r="F5" s="115"/>
      <c r="G5" s="112"/>
    </row>
    <row r="6" spans="1:7" x14ac:dyDescent="0.2">
      <c r="A6" s="116"/>
      <c r="B6" s="115"/>
      <c r="C6" s="117">
        <v>39934</v>
      </c>
      <c r="D6" s="118"/>
      <c r="E6" s="117">
        <v>39964</v>
      </c>
      <c r="F6" s="115"/>
      <c r="G6" s="112"/>
    </row>
    <row r="7" spans="1:7" x14ac:dyDescent="0.2">
      <c r="A7" s="116"/>
      <c r="B7" s="115"/>
      <c r="C7" s="115"/>
      <c r="D7" s="115"/>
      <c r="E7" s="115"/>
      <c r="F7" s="115"/>
      <c r="G7" s="112"/>
    </row>
    <row r="8" spans="1:7" x14ac:dyDescent="0.2">
      <c r="A8" s="110" t="s">
        <v>84</v>
      </c>
      <c r="B8" s="119"/>
      <c r="C8" s="114" t="s">
        <v>105</v>
      </c>
      <c r="D8" s="119" t="s">
        <v>106</v>
      </c>
      <c r="E8" s="119" t="s">
        <v>221</v>
      </c>
      <c r="F8" s="119" t="s">
        <v>77</v>
      </c>
      <c r="G8" s="112"/>
    </row>
    <row r="9" spans="1:7" x14ac:dyDescent="0.2">
      <c r="A9" s="120" t="s">
        <v>222</v>
      </c>
      <c r="B9" s="115"/>
      <c r="C9" s="121">
        <v>18</v>
      </c>
      <c r="D9" s="122" t="str">
        <f>[1]Rates!C2</f>
        <v>ea</v>
      </c>
      <c r="E9" s="123">
        <f>[1]Rates!$B$2/7</f>
        <v>0.34</v>
      </c>
      <c r="F9" s="124">
        <f>$C$9*$C$14*$E9</f>
        <v>189.72000000000003</v>
      </c>
      <c r="G9" s="112"/>
    </row>
    <row r="10" spans="1:7" x14ac:dyDescent="0.2">
      <c r="A10" s="120" t="s">
        <v>223</v>
      </c>
      <c r="B10" s="115"/>
      <c r="C10" s="121">
        <v>210</v>
      </c>
      <c r="D10" s="122" t="str">
        <f>[1]Rates!C3</f>
        <v>m</v>
      </c>
      <c r="E10" s="123">
        <f>[1]Rates!$B$3/7</f>
        <v>6.3E-2</v>
      </c>
      <c r="F10" s="124">
        <f>$C$10*$C$14*$E10</f>
        <v>410.13</v>
      </c>
      <c r="G10" s="112"/>
    </row>
    <row r="11" spans="1:7" ht="15" x14ac:dyDescent="0.25">
      <c r="A11" s="120" t="s">
        <v>224</v>
      </c>
      <c r="B11" s="115"/>
      <c r="C11" s="121">
        <v>1</v>
      </c>
      <c r="D11" s="125" t="s">
        <v>150</v>
      </c>
      <c r="E11" s="123">
        <f>[1]Rates!$B$4/7</f>
        <v>1.2857142857142858</v>
      </c>
      <c r="F11" s="124">
        <f>$C$11*$C$14*$E11</f>
        <v>39.857142857142861</v>
      </c>
      <c r="G11" s="112"/>
    </row>
    <row r="12" spans="1:7" x14ac:dyDescent="0.2">
      <c r="A12" s="126" t="s">
        <v>225</v>
      </c>
      <c r="B12" s="115"/>
      <c r="C12" s="121"/>
      <c r="D12" s="115"/>
      <c r="E12" s="127"/>
      <c r="F12" s="124">
        <f>E12*C12</f>
        <v>0</v>
      </c>
      <c r="G12" s="112"/>
    </row>
    <row r="13" spans="1:7" x14ac:dyDescent="0.2">
      <c r="A13" s="116"/>
      <c r="B13" s="115"/>
      <c r="C13" s="128" t="s">
        <v>226</v>
      </c>
      <c r="D13" s="115"/>
      <c r="E13" s="124"/>
      <c r="F13" s="128" t="s">
        <v>226</v>
      </c>
      <c r="G13" s="112"/>
    </row>
    <row r="14" spans="1:7" x14ac:dyDescent="0.2">
      <c r="A14" s="129" t="s">
        <v>227</v>
      </c>
      <c r="B14" s="119"/>
      <c r="C14" s="130">
        <f>(E6-C6)+1</f>
        <v>31</v>
      </c>
      <c r="D14" s="131" t="s">
        <v>228</v>
      </c>
      <c r="E14" s="124"/>
      <c r="F14" s="124">
        <f>SUM(F9:F12)</f>
        <v>639.70714285714291</v>
      </c>
      <c r="G14" s="112"/>
    </row>
    <row r="15" spans="1:7" x14ac:dyDescent="0.2">
      <c r="A15" s="132"/>
      <c r="B15" s="133"/>
      <c r="C15" s="134" t="s">
        <v>226</v>
      </c>
      <c r="D15" s="135"/>
      <c r="E15" s="136"/>
      <c r="F15" s="134" t="s">
        <v>226</v>
      </c>
      <c r="G15" s="137"/>
    </row>
    <row r="16" spans="1:7" x14ac:dyDescent="0.2">
      <c r="A16" s="110" t="s">
        <v>229</v>
      </c>
      <c r="B16" s="114" t="s">
        <v>230</v>
      </c>
      <c r="C16" s="114" t="s">
        <v>105</v>
      </c>
      <c r="D16" s="119" t="s">
        <v>106</v>
      </c>
      <c r="E16" s="138" t="s">
        <v>231</v>
      </c>
      <c r="F16" s="115"/>
      <c r="G16" s="112"/>
    </row>
    <row r="17" spans="1:7" x14ac:dyDescent="0.2">
      <c r="A17" s="139" t="s">
        <v>232</v>
      </c>
      <c r="B17" s="117">
        <v>39934</v>
      </c>
      <c r="C17" s="121">
        <v>20</v>
      </c>
      <c r="D17" s="124" t="str">
        <f>[1]Rates!C5</f>
        <v>hr</v>
      </c>
      <c r="E17" s="124">
        <f>[1]Rates!$B$5</f>
        <v>53</v>
      </c>
      <c r="F17" s="124">
        <f>C17*[1]Rates!$B$5</f>
        <v>1060</v>
      </c>
      <c r="G17" s="112"/>
    </row>
    <row r="18" spans="1:7" x14ac:dyDescent="0.2">
      <c r="A18" s="139" t="s">
        <v>233</v>
      </c>
      <c r="B18" s="117"/>
      <c r="C18" s="121">
        <v>2</v>
      </c>
      <c r="D18" s="124" t="str">
        <f>[1]Rates!C5</f>
        <v>hr</v>
      </c>
      <c r="E18" s="124">
        <f>[1]Rates!$B$5</f>
        <v>53</v>
      </c>
      <c r="F18" s="124">
        <f>C18*[1]Rates!$B$5</f>
        <v>106</v>
      </c>
      <c r="G18" s="112"/>
    </row>
    <row r="19" spans="1:7" x14ac:dyDescent="0.2">
      <c r="A19" s="139" t="s">
        <v>234</v>
      </c>
      <c r="B19" s="117">
        <v>39964</v>
      </c>
      <c r="C19" s="121">
        <v>8</v>
      </c>
      <c r="D19" s="124" t="str">
        <f>[1]Rates!C5</f>
        <v>hr</v>
      </c>
      <c r="E19" s="124">
        <f>[1]Rates!$B$5</f>
        <v>53</v>
      </c>
      <c r="F19" s="124">
        <f>C19*[1]Rates!$B$5</f>
        <v>424</v>
      </c>
      <c r="G19" s="112"/>
    </row>
    <row r="20" spans="1:7" x14ac:dyDescent="0.2">
      <c r="A20" s="120" t="s">
        <v>225</v>
      </c>
      <c r="B20" s="140"/>
      <c r="C20" s="121"/>
      <c r="D20" s="124" t="str">
        <f>[1]Rates!C5</f>
        <v>hr</v>
      </c>
      <c r="E20" s="127"/>
      <c r="F20" s="124">
        <f>E20*C20</f>
        <v>0</v>
      </c>
      <c r="G20" s="112"/>
    </row>
    <row r="21" spans="1:7" x14ac:dyDescent="0.2">
      <c r="A21" s="116"/>
      <c r="B21" s="115"/>
      <c r="C21" s="128" t="s">
        <v>226</v>
      </c>
      <c r="D21" s="124"/>
      <c r="E21" s="115"/>
      <c r="F21" s="128" t="s">
        <v>226</v>
      </c>
      <c r="G21" s="112"/>
    </row>
    <row r="22" spans="1:7" x14ac:dyDescent="0.2">
      <c r="A22" s="129" t="s">
        <v>235</v>
      </c>
      <c r="B22" s="119"/>
      <c r="C22" s="115">
        <f>SUM(C17:C21)</f>
        <v>30</v>
      </c>
      <c r="D22" s="124" t="s">
        <v>102</v>
      </c>
      <c r="E22" s="115"/>
      <c r="F22" s="124">
        <f>SUM(F17:F21)</f>
        <v>1590</v>
      </c>
      <c r="G22" s="112"/>
    </row>
    <row r="23" spans="1:7" x14ac:dyDescent="0.2">
      <c r="A23" s="116"/>
      <c r="B23" s="115"/>
      <c r="C23" s="128" t="s">
        <v>226</v>
      </c>
      <c r="D23" s="115"/>
      <c r="E23" s="124"/>
      <c r="F23" s="128" t="s">
        <v>226</v>
      </c>
      <c r="G23" s="112"/>
    </row>
    <row r="24" spans="1:7" ht="13.5" thickBot="1" x14ac:dyDescent="0.25">
      <c r="A24" s="141" t="s">
        <v>85</v>
      </c>
      <c r="B24" s="142"/>
      <c r="C24" s="142"/>
      <c r="D24" s="142"/>
      <c r="E24" s="143"/>
      <c r="F24" s="143">
        <f>F14+F22</f>
        <v>2229.707142857143</v>
      </c>
      <c r="G24" s="144" t="s">
        <v>236</v>
      </c>
    </row>
  </sheetData>
  <protectedRanges>
    <protectedRange password="C4C2" sqref="C9:C12 C2:F4 C6 E12 E20 E6 B17:C20" name="Data Entry"/>
  </protectedRanges>
  <mergeCells count="4">
    <mergeCell ref="B1:F1"/>
    <mergeCell ref="C2:F2"/>
    <mergeCell ref="C3:F3"/>
    <mergeCell ref="C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abSelected="1" view="pageLayout" topLeftCell="A6" zoomScale="130" zoomScaleNormal="100" zoomScalePageLayoutView="130" workbookViewId="0">
      <selection activeCell="D12" sqref="D12"/>
    </sheetView>
  </sheetViews>
  <sheetFormatPr defaultRowHeight="15" x14ac:dyDescent="0.25"/>
  <cols>
    <col min="1" max="1" width="27.85546875" customWidth="1"/>
    <col min="5" max="5" width="11.5703125" bestFit="1" customWidth="1"/>
    <col min="6" max="6" width="8.140625" customWidth="1"/>
    <col min="7" max="7" width="14.7109375" customWidth="1"/>
  </cols>
  <sheetData>
    <row r="1" spans="1:7" ht="21" x14ac:dyDescent="0.35">
      <c r="A1" s="190" t="s">
        <v>0</v>
      </c>
      <c r="B1" s="190"/>
      <c r="C1" s="190"/>
      <c r="D1" s="190"/>
      <c r="E1" s="190"/>
      <c r="F1" s="190"/>
      <c r="G1" s="190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2" t="s">
        <v>1</v>
      </c>
      <c r="B4" s="3" t="s">
        <v>2</v>
      </c>
      <c r="C4" s="2" t="s">
        <v>3</v>
      </c>
      <c r="D4" s="2" t="s">
        <v>4</v>
      </c>
      <c r="E4" s="2" t="s">
        <v>5</v>
      </c>
      <c r="F4" s="2"/>
      <c r="G4" s="2" t="s">
        <v>6</v>
      </c>
    </row>
    <row r="5" spans="1:7" x14ac:dyDescent="0.25">
      <c r="A5" s="17" t="s">
        <v>35</v>
      </c>
      <c r="B5" s="1"/>
      <c r="C5" s="1"/>
      <c r="D5" s="1"/>
      <c r="E5" s="1"/>
      <c r="F5" s="1"/>
      <c r="G5" s="1"/>
    </row>
    <row r="6" spans="1:7" x14ac:dyDescent="0.25">
      <c r="A6" s="18" t="s">
        <v>36</v>
      </c>
      <c r="B6" s="1"/>
      <c r="C6" s="1"/>
      <c r="D6" s="1"/>
      <c r="E6" s="1"/>
      <c r="F6" s="1"/>
      <c r="G6" s="1"/>
    </row>
    <row r="7" spans="1:7" ht="17.25" x14ac:dyDescent="0.25">
      <c r="A7" s="1" t="s">
        <v>7</v>
      </c>
      <c r="B7" s="5" t="s">
        <v>8</v>
      </c>
      <c r="C7" s="211">
        <v>9.81</v>
      </c>
      <c r="D7" s="1" t="s">
        <v>47</v>
      </c>
      <c r="E7" s="1"/>
      <c r="F7" s="1"/>
      <c r="G7" s="1"/>
    </row>
    <row r="8" spans="1:7" ht="18" x14ac:dyDescent="0.35">
      <c r="A8" s="1" t="s">
        <v>37</v>
      </c>
      <c r="B8" s="5" t="s">
        <v>38</v>
      </c>
      <c r="C8" s="6">
        <v>3</v>
      </c>
      <c r="D8" s="1" t="s">
        <v>40</v>
      </c>
      <c r="E8" s="1"/>
      <c r="F8" s="1"/>
      <c r="G8" s="1"/>
    </row>
    <row r="9" spans="1:7" ht="18" x14ac:dyDescent="0.35">
      <c r="A9" s="1" t="s">
        <v>39</v>
      </c>
      <c r="B9" s="5" t="s">
        <v>43</v>
      </c>
      <c r="C9" s="6">
        <v>30</v>
      </c>
      <c r="D9" s="1" t="s">
        <v>11</v>
      </c>
      <c r="E9" s="1"/>
      <c r="F9" s="1"/>
      <c r="G9" s="1"/>
    </row>
    <row r="10" spans="1:7" ht="18" x14ac:dyDescent="0.35">
      <c r="A10" s="1" t="s">
        <v>41</v>
      </c>
      <c r="B10" s="5" t="s">
        <v>44</v>
      </c>
      <c r="C10" s="6">
        <v>1</v>
      </c>
      <c r="D10" s="1"/>
      <c r="E10" s="1"/>
      <c r="F10" s="1"/>
      <c r="G10" s="1"/>
    </row>
    <row r="11" spans="1:7" x14ac:dyDescent="0.25">
      <c r="A11" s="1" t="s">
        <v>42</v>
      </c>
      <c r="B11" s="5" t="s">
        <v>45</v>
      </c>
      <c r="C11" s="6">
        <v>1.5</v>
      </c>
      <c r="D11" s="1" t="s">
        <v>20</v>
      </c>
      <c r="E11" s="1"/>
      <c r="F11" s="1"/>
      <c r="G11" s="1"/>
    </row>
    <row r="12" spans="1:7" ht="18" x14ac:dyDescent="0.35">
      <c r="A12" s="1" t="s">
        <v>48</v>
      </c>
      <c r="B12" s="5" t="s">
        <v>49</v>
      </c>
      <c r="C12" s="6">
        <v>0.15</v>
      </c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ht="18" x14ac:dyDescent="0.35">
      <c r="A14" s="1" t="s">
        <v>46</v>
      </c>
      <c r="B14" s="5" t="s">
        <v>50</v>
      </c>
      <c r="C14" s="1">
        <f>C8*C9*C7</f>
        <v>882.90000000000009</v>
      </c>
      <c r="D14" s="1" t="s">
        <v>12</v>
      </c>
      <c r="E14" s="8" t="str">
        <f>_xll.EQS(C14,"Units= ; EqnPrefix=Eqn. ; EqnNo= 1; Multiplication= 0; ShowWorking= 0; EqnStyle= 1; Eqp$E$14_0")</f>
        <v/>
      </c>
      <c r="F14" s="1"/>
      <c r="G14" s="1"/>
    </row>
    <row r="15" spans="1:7" ht="18" x14ac:dyDescent="0.35">
      <c r="A15" s="1" t="s">
        <v>51</v>
      </c>
      <c r="B15" s="5" t="s">
        <v>52</v>
      </c>
      <c r="C15" s="1">
        <f>_xll.OVD(C10*C9*C7*C11)/_xll.UND(C12)</f>
        <v>2943.0000000000005</v>
      </c>
      <c r="D15" s="1" t="s">
        <v>12</v>
      </c>
      <c r="E15" s="8" t="str">
        <f>_xll.EQS(C15,"Units= ; EqnPrefix=Eqn. ; EqnNo= 2; Multiplication= 0; ShowWorking= 0; EqnStyle= 1; Eqp$E$15_0")</f>
        <v/>
      </c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18" x14ac:dyDescent="0.35">
      <c r="A17" s="1" t="s">
        <v>55</v>
      </c>
      <c r="B17" s="5" t="s">
        <v>53</v>
      </c>
      <c r="C17" s="1">
        <f>C14+C15</f>
        <v>3825.9000000000005</v>
      </c>
      <c r="D17" s="1" t="s">
        <v>12</v>
      </c>
      <c r="E17" s="8" t="str">
        <f>_xll.EQS(C17,"Units= ; EqnPrefix=Eqn. ; EqnNo= 3; Multiplication= 0; ShowWorking= 0; EqnStyle= 0; Eqp$E$17_0")</f>
        <v/>
      </c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4"/>
      <c r="B19" s="1"/>
      <c r="C19" s="1"/>
      <c r="D19" s="1"/>
      <c r="E19" s="1"/>
      <c r="F19" s="1"/>
      <c r="G19" s="1"/>
    </row>
    <row r="20" spans="1:7" x14ac:dyDescent="0.25">
      <c r="A20" s="18" t="s">
        <v>54</v>
      </c>
      <c r="B20" s="1"/>
      <c r="C20" s="1"/>
      <c r="D20" s="1"/>
      <c r="E20" s="1"/>
      <c r="F20" s="1"/>
      <c r="G20" s="1"/>
    </row>
    <row r="21" spans="1:7" ht="18" x14ac:dyDescent="0.35">
      <c r="A21" s="1" t="s">
        <v>9</v>
      </c>
      <c r="B21" s="5" t="s">
        <v>10</v>
      </c>
      <c r="C21" s="6">
        <v>900</v>
      </c>
      <c r="D21" s="1" t="s">
        <v>11</v>
      </c>
      <c r="E21" s="1"/>
      <c r="F21" s="1"/>
      <c r="G21" s="1"/>
    </row>
    <row r="22" spans="1:7" ht="18" x14ac:dyDescent="0.35">
      <c r="A22" s="1" t="s">
        <v>9</v>
      </c>
      <c r="B22" s="5" t="s">
        <v>10</v>
      </c>
      <c r="C22" s="7">
        <f>C21*C7</f>
        <v>8829</v>
      </c>
      <c r="D22" s="1" t="s">
        <v>12</v>
      </c>
      <c r="E22" s="8" t="str">
        <f>_xll.EQS(C22,"Units= ; EqnPrefix=Eqn. ; EqnNo= 4; Multiplication= 0; ShowWorking= 0; EqnStyle= 0; Eqp$E$22_0")</f>
        <v/>
      </c>
      <c r="F22" s="8" t="str">
        <f>_xll.EQS(C22,"Units= ; EqnPrefix=Eqn. ; EqnNo= 5; Multiplication= 0; ShowWorking= 1; EqnStyle= 0; Eqp$F$22_0")</f>
        <v/>
      </c>
      <c r="G22" s="1"/>
    </row>
    <row r="23" spans="1:7" x14ac:dyDescent="0.25">
      <c r="A23" s="9"/>
      <c r="B23" s="1"/>
      <c r="C23" s="1"/>
      <c r="D23" s="1"/>
      <c r="E23" s="1"/>
      <c r="F23" s="1"/>
      <c r="G23" s="1"/>
    </row>
    <row r="24" spans="1:7" x14ac:dyDescent="0.25">
      <c r="A24" s="9" t="s">
        <v>13</v>
      </c>
      <c r="B24" s="1"/>
      <c r="C24" s="1"/>
      <c r="D24" s="1"/>
      <c r="E24" s="1"/>
      <c r="F24" s="1"/>
      <c r="G24" s="1"/>
    </row>
    <row r="25" spans="1:7" ht="18" x14ac:dyDescent="0.35">
      <c r="A25" s="9" t="s">
        <v>14</v>
      </c>
      <c r="B25" s="5" t="s">
        <v>15</v>
      </c>
      <c r="C25" s="1">
        <f>C22</f>
        <v>8829</v>
      </c>
      <c r="D25" s="1"/>
      <c r="E25" s="8"/>
      <c r="F25" s="1"/>
      <c r="G25" s="1"/>
    </row>
    <row r="26" spans="1:7" ht="18" x14ac:dyDescent="0.35">
      <c r="A26" s="9" t="s">
        <v>16</v>
      </c>
      <c r="B26" s="5" t="s">
        <v>17</v>
      </c>
      <c r="C26" s="1">
        <f>C22</f>
        <v>8829</v>
      </c>
      <c r="D26" s="1"/>
      <c r="E26" s="8"/>
      <c r="F26" s="1"/>
      <c r="G26" s="1"/>
    </row>
    <row r="27" spans="1:7" x14ac:dyDescent="0.25">
      <c r="A27" s="9"/>
      <c r="B27" s="5"/>
      <c r="C27" s="1"/>
      <c r="D27" s="1"/>
      <c r="E27" s="1"/>
      <c r="F27" s="1"/>
      <c r="G27" s="1"/>
    </row>
    <row r="28" spans="1:7" ht="18" x14ac:dyDescent="0.35">
      <c r="A28" s="1" t="s">
        <v>18</v>
      </c>
      <c r="B28" s="5" t="s">
        <v>19</v>
      </c>
      <c r="C28" s="6">
        <v>0.2</v>
      </c>
      <c r="D28" s="1" t="s">
        <v>20</v>
      </c>
      <c r="E28" s="1"/>
      <c r="F28" s="1"/>
      <c r="G28" s="1"/>
    </row>
    <row r="29" spans="1:7" x14ac:dyDescent="0.25">
      <c r="A29" s="1" t="s">
        <v>21</v>
      </c>
      <c r="B29" s="5" t="s">
        <v>22</v>
      </c>
      <c r="C29" s="1">
        <f>C22*C28</f>
        <v>1765.8000000000002</v>
      </c>
      <c r="D29" s="1" t="s">
        <v>23</v>
      </c>
      <c r="E29" s="8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ht="18.75" x14ac:dyDescent="0.35">
      <c r="A31" s="1" t="s">
        <v>24</v>
      </c>
      <c r="B31" s="5" t="s">
        <v>25</v>
      </c>
      <c r="C31" s="10">
        <v>1.6100000000000001E-4</v>
      </c>
      <c r="D31" s="1" t="s">
        <v>26</v>
      </c>
      <c r="E31" s="1"/>
      <c r="F31" s="1"/>
      <c r="G31" s="1"/>
    </row>
    <row r="32" spans="1:7" ht="18" x14ac:dyDescent="0.35">
      <c r="A32" s="1" t="s">
        <v>27</v>
      </c>
      <c r="B32" s="5" t="s">
        <v>28</v>
      </c>
      <c r="C32" s="6">
        <v>0.35599999999999998</v>
      </c>
      <c r="D32" s="1" t="s">
        <v>20</v>
      </c>
      <c r="E32" s="1"/>
      <c r="F32" s="1"/>
      <c r="G32" s="1"/>
    </row>
    <row r="33" spans="1:7" ht="18" x14ac:dyDescent="0.35">
      <c r="A33" s="1" t="s">
        <v>29</v>
      </c>
      <c r="B33" s="5" t="s">
        <v>30</v>
      </c>
      <c r="C33" s="1">
        <f>C32/2</f>
        <v>0.17799999999999999</v>
      </c>
      <c r="D33" s="1" t="s">
        <v>20</v>
      </c>
      <c r="E33" s="8" t="str">
        <f>_xll.EQS(C33,"Units= ; EqnPrefix=Eqn. ; EqnNo= 9; Multiplication= 0; ShowWorking= 0; EqnStyle= 0; Eqp$E$33_0")</f>
        <v/>
      </c>
      <c r="F33" s="1"/>
      <c r="G33" s="1"/>
    </row>
    <row r="34" spans="1:7" ht="18" x14ac:dyDescent="0.35">
      <c r="A34" s="9" t="s">
        <v>31</v>
      </c>
      <c r="B34" s="5" t="s">
        <v>32</v>
      </c>
      <c r="C34" s="11">
        <f>_xll.OVD(C29*C33)/_xll.UND(C31)</f>
        <v>1952250.9316770188</v>
      </c>
      <c r="D34" s="1" t="s">
        <v>33</v>
      </c>
      <c r="E34" s="8" t="str">
        <f>_xll.EQS(C34,"Units= ; EqnPrefix=Eqn. ; EqnNo= 7; Multiplication= 0; ShowWorking= 0; EqnStyle= 1; Eqp$E$34_0")</f>
        <v/>
      </c>
      <c r="F34" s="1"/>
      <c r="G34" s="1"/>
    </row>
    <row r="35" spans="1:7" ht="18" x14ac:dyDescent="0.35">
      <c r="A35" s="9" t="s">
        <v>31</v>
      </c>
      <c r="B35" s="5" t="s">
        <v>32</v>
      </c>
      <c r="C35" s="12">
        <f>C34*0.000001</f>
        <v>1.9522509316770187</v>
      </c>
      <c r="D35" s="1" t="s">
        <v>34</v>
      </c>
      <c r="E35" s="16" t="str">
        <f>_xll.EQS(C35,"Units= ; EqnPrefix=Eqn. ; EqnNo= 8; Multiplication= 0; ShowWorking= 0; EqnStyle= 1; Eqp$E$35_0")</f>
        <v/>
      </c>
      <c r="F35" s="13"/>
      <c r="G35" s="13"/>
    </row>
    <row r="36" spans="1:7" x14ac:dyDescent="0.25">
      <c r="A36" s="4"/>
      <c r="B36" s="7"/>
      <c r="C36" s="7"/>
      <c r="D36" s="13"/>
      <c r="E36" s="1"/>
      <c r="F36" s="1"/>
      <c r="G36" s="13"/>
    </row>
    <row r="37" spans="1:7" x14ac:dyDescent="0.25">
      <c r="A37" s="13"/>
      <c r="B37" s="5"/>
      <c r="C37" s="7"/>
      <c r="D37" s="13"/>
      <c r="E37" s="13"/>
      <c r="F37" s="13"/>
      <c r="G37" s="13"/>
    </row>
  </sheetData>
  <mergeCells count="1">
    <mergeCell ref="A1:G1"/>
  </mergeCells>
  <pageMargins left="0.50130208333333337" right="0.7" top="0.75" bottom="0.75" header="0.3" footer="0.3"/>
  <pageSetup paperSize="9" orientation="portrait" r:id="rId1"/>
  <headerFooter>
    <oddHeader>&amp;L&amp;D&amp;C&amp;F&amp;R&amp;A</oddHeader>
    <oddFooter>&amp;L&amp;G&amp;C© Raw Design 2010&amp;R&amp;P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zoomScale="130" zoomScaleNormal="100" workbookViewId="0">
      <selection activeCell="G19" sqref="G19"/>
    </sheetView>
  </sheetViews>
  <sheetFormatPr defaultRowHeight="15" x14ac:dyDescent="0.25"/>
  <cols>
    <col min="1" max="1" width="27.85546875" customWidth="1"/>
    <col min="5" max="5" width="11.5703125" bestFit="1" customWidth="1"/>
    <col min="6" max="6" width="8.140625" customWidth="1"/>
    <col min="7" max="7" width="14.7109375" customWidth="1"/>
  </cols>
  <sheetData>
    <row r="1" spans="1:7" ht="21" x14ac:dyDescent="0.35">
      <c r="A1" s="190" t="s">
        <v>0</v>
      </c>
      <c r="B1" s="190"/>
      <c r="C1" s="190"/>
      <c r="D1" s="190"/>
      <c r="E1" s="190"/>
      <c r="F1" s="190"/>
      <c r="G1" s="190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2" t="s">
        <v>1</v>
      </c>
      <c r="B4" s="3" t="s">
        <v>2</v>
      </c>
      <c r="C4" s="2" t="s">
        <v>3</v>
      </c>
      <c r="D4" s="2" t="s">
        <v>4</v>
      </c>
      <c r="E4" s="2" t="s">
        <v>5</v>
      </c>
      <c r="F4" s="2"/>
      <c r="G4" s="2" t="s">
        <v>6</v>
      </c>
    </row>
    <row r="5" spans="1:7" x14ac:dyDescent="0.25">
      <c r="A5" s="17" t="s">
        <v>35</v>
      </c>
      <c r="B5" s="1"/>
      <c r="C5" s="1"/>
      <c r="D5" s="1"/>
      <c r="E5" s="1"/>
      <c r="F5" s="1"/>
      <c r="G5" s="1"/>
    </row>
    <row r="6" spans="1:7" x14ac:dyDescent="0.25">
      <c r="A6" s="18" t="s">
        <v>36</v>
      </c>
      <c r="B6" s="1"/>
      <c r="C6" s="1"/>
      <c r="D6" s="1"/>
      <c r="E6" s="1"/>
      <c r="F6" s="1"/>
      <c r="G6" s="1"/>
    </row>
    <row r="7" spans="1:7" ht="17.25" x14ac:dyDescent="0.25">
      <c r="A7" s="1" t="s">
        <v>7</v>
      </c>
      <c r="B7" s="5" t="s">
        <v>8</v>
      </c>
      <c r="C7" s="1">
        <v>9.81</v>
      </c>
      <c r="D7" s="1" t="s">
        <v>47</v>
      </c>
      <c r="E7" s="1"/>
      <c r="F7" s="1"/>
      <c r="G7" s="1"/>
    </row>
    <row r="8" spans="1:7" ht="18" x14ac:dyDescent="0.35">
      <c r="A8" s="1" t="s">
        <v>37</v>
      </c>
      <c r="B8" s="5" t="s">
        <v>38</v>
      </c>
      <c r="C8" s="6">
        <v>3</v>
      </c>
      <c r="D8" s="1" t="s">
        <v>40</v>
      </c>
      <c r="E8" s="1"/>
      <c r="F8" s="1"/>
      <c r="G8" s="1"/>
    </row>
    <row r="9" spans="1:7" ht="18" x14ac:dyDescent="0.35">
      <c r="A9" s="1" t="s">
        <v>39</v>
      </c>
      <c r="B9" s="5" t="s">
        <v>43</v>
      </c>
      <c r="C9" s="6">
        <v>30</v>
      </c>
      <c r="D9" s="1" t="s">
        <v>11</v>
      </c>
      <c r="E9" s="1"/>
      <c r="F9" s="1"/>
      <c r="G9" s="1"/>
    </row>
    <row r="10" spans="1:7" ht="18" x14ac:dyDescent="0.35">
      <c r="A10" s="1" t="s">
        <v>41</v>
      </c>
      <c r="B10" s="5" t="s">
        <v>44</v>
      </c>
      <c r="C10" s="6">
        <v>1</v>
      </c>
      <c r="D10" s="1"/>
      <c r="E10" s="1"/>
      <c r="F10" s="1"/>
      <c r="G10" s="1"/>
    </row>
    <row r="11" spans="1:7" x14ac:dyDescent="0.25">
      <c r="A11" s="1" t="s">
        <v>42</v>
      </c>
      <c r="B11" s="5" t="s">
        <v>45</v>
      </c>
      <c r="C11" s="6">
        <v>1.5</v>
      </c>
      <c r="D11" s="1" t="s">
        <v>20</v>
      </c>
      <c r="E11" s="1"/>
      <c r="F11" s="1"/>
      <c r="G11" s="1"/>
    </row>
    <row r="12" spans="1:7" ht="18" x14ac:dyDescent="0.35">
      <c r="A12" s="1" t="s">
        <v>48</v>
      </c>
      <c r="B12" s="5" t="s">
        <v>49</v>
      </c>
      <c r="C12" s="6">
        <v>0.15</v>
      </c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ht="18" x14ac:dyDescent="0.35">
      <c r="A14" s="1" t="s">
        <v>46</v>
      </c>
      <c r="B14" s="5" t="s">
        <v>50</v>
      </c>
      <c r="C14" s="1">
        <f>C8*C9*C7</f>
        <v>882.90000000000009</v>
      </c>
      <c r="D14" s="1" t="s">
        <v>12</v>
      </c>
      <c r="E14" s="8" t="str">
        <f>_xll.EQS(C14,"Units= ; EqnPrefix=Eqn. ; EqnNo= 5; Multiplication= 0; ShowWorking= 0; EqnStyle= 1; Eqp$E$14_0")</f>
        <v/>
      </c>
      <c r="F14" s="1"/>
      <c r="G14" s="1"/>
    </row>
    <row r="15" spans="1:7" ht="18" x14ac:dyDescent="0.35">
      <c r="A15" s="1" t="s">
        <v>51</v>
      </c>
      <c r="B15" s="5" t="s">
        <v>52</v>
      </c>
      <c r="C15" s="1">
        <f>_xll.OVD(C10*C9*C7*C11)/_xll.UND(C12)</f>
        <v>2943.0000000000005</v>
      </c>
      <c r="D15" s="1" t="s">
        <v>12</v>
      </c>
      <c r="E15" s="8" t="str">
        <f>_xll.EQS(C15,"Units= ; EqnPrefix=Eqn. ; EqnNo= 10; Multiplication= 0; ShowWorking= 0; EqnStyle= 1; Eqp$E$15_0")</f>
        <v/>
      </c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18" x14ac:dyDescent="0.35">
      <c r="A17" s="1" t="s">
        <v>55</v>
      </c>
      <c r="B17" s="5" t="s">
        <v>53</v>
      </c>
      <c r="C17" s="1">
        <f>C14+C15</f>
        <v>3825.9000000000005</v>
      </c>
      <c r="D17" s="1" t="s">
        <v>12</v>
      </c>
      <c r="E17" s="8" t="str">
        <f>_xll.EQS(C17,"Units= ; EqnPrefix=Eqn. ; EqnNo= 11; Multiplication= 0; ShowWorking= 0; EqnStyle= 0; Eqp$E$17_2")</f>
        <v/>
      </c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4"/>
      <c r="B19" s="1"/>
      <c r="C19" s="1"/>
      <c r="D19" s="1"/>
      <c r="E19" s="1"/>
      <c r="F19" s="1"/>
      <c r="G19" s="1"/>
    </row>
    <row r="20" spans="1:7" x14ac:dyDescent="0.25">
      <c r="A20" s="18" t="s">
        <v>54</v>
      </c>
      <c r="B20" s="1"/>
      <c r="C20" s="1"/>
      <c r="D20" s="1"/>
      <c r="E20" s="1"/>
      <c r="F20" s="1"/>
      <c r="G20" s="1"/>
    </row>
    <row r="21" spans="1:7" ht="18" x14ac:dyDescent="0.35">
      <c r="A21" s="1" t="s">
        <v>9</v>
      </c>
      <c r="B21" s="5" t="s">
        <v>10</v>
      </c>
      <c r="C21" s="6">
        <v>900</v>
      </c>
      <c r="D21" s="1" t="s">
        <v>11</v>
      </c>
      <c r="E21" s="1"/>
      <c r="F21" s="1"/>
      <c r="G21" s="1"/>
    </row>
    <row r="22" spans="1:7" ht="18" x14ac:dyDescent="0.35">
      <c r="A22" s="1" t="s">
        <v>9</v>
      </c>
      <c r="B22" s="5" t="s">
        <v>10</v>
      </c>
      <c r="C22" s="7">
        <f>C21*C7</f>
        <v>8829</v>
      </c>
      <c r="D22" s="1" t="s">
        <v>12</v>
      </c>
      <c r="E22" s="8" t="str">
        <f>_xll.EQS(C22,"Units= ; EqnPrefix=Eqn. ; EqnNo= 15; Multiplication= 0; ShowWorking= 0; EqnStyle= 0; Eqp$E$22_0")</f>
        <v/>
      </c>
      <c r="F22" s="8" t="str">
        <f>_xll.EQS(C22,"Units= ; EqnPrefix=Eqn. ; EqnNo= 16; Multiplication= 0; ShowWorking= 1; EqnStyle= 0; Eqp$F$22_0")</f>
        <v/>
      </c>
      <c r="G22" s="1"/>
    </row>
    <row r="23" spans="1:7" x14ac:dyDescent="0.25">
      <c r="A23" s="9"/>
      <c r="B23" s="1"/>
      <c r="C23" s="1"/>
      <c r="D23" s="1"/>
      <c r="E23" s="1"/>
      <c r="F23" s="1"/>
      <c r="G23" s="1"/>
    </row>
    <row r="24" spans="1:7" x14ac:dyDescent="0.25">
      <c r="A24" s="9" t="s">
        <v>56</v>
      </c>
      <c r="B24" s="1"/>
      <c r="C24" s="1"/>
      <c r="D24" s="1"/>
      <c r="E24" s="1"/>
      <c r="F24" s="1"/>
      <c r="G24" s="1"/>
    </row>
    <row r="25" spans="1:7" x14ac:dyDescent="0.25">
      <c r="A25" s="9"/>
      <c r="B25" s="5"/>
      <c r="C25" s="1"/>
      <c r="D25" s="1"/>
      <c r="E25" s="8"/>
      <c r="F25" s="1"/>
      <c r="G25" s="1"/>
    </row>
    <row r="26" spans="1:7" x14ac:dyDescent="0.25">
      <c r="A26" s="19" t="s">
        <v>61</v>
      </c>
      <c r="B26" s="5"/>
      <c r="C26" s="9"/>
      <c r="D26" s="1"/>
      <c r="E26" s="8"/>
      <c r="F26" s="1"/>
      <c r="G26" s="1"/>
    </row>
    <row r="27" spans="1:7" x14ac:dyDescent="0.25">
      <c r="A27" s="9" t="s">
        <v>57</v>
      </c>
      <c r="B27" s="5" t="s">
        <v>59</v>
      </c>
      <c r="C27" s="6">
        <f>90-72</f>
        <v>18</v>
      </c>
      <c r="D27" s="1" t="s">
        <v>58</v>
      </c>
      <c r="E27" s="1"/>
      <c r="F27" s="1"/>
      <c r="G27" s="1"/>
    </row>
    <row r="28" spans="1:7" ht="18" x14ac:dyDescent="0.35">
      <c r="A28" s="1" t="s">
        <v>60</v>
      </c>
      <c r="B28" s="5" t="s">
        <v>64</v>
      </c>
      <c r="C28" s="9">
        <f>C22*COS(RADIANS(C27))</f>
        <v>8396.8779823699097</v>
      </c>
      <c r="D28" s="1" t="s">
        <v>12</v>
      </c>
      <c r="E28" s="8" t="str">
        <f>_xll.EQS(C28,"Units= ; EqnPrefix=Eqn. ; EqnNo= 1; Multiplication= 0; ShowWorking= 0; EqnStyle= 0; Eqp$E$28_2")</f>
        <v/>
      </c>
      <c r="F28" s="8"/>
      <c r="G28" s="8" t="str">
        <f>_xll.EQS(C28,"Units= ; EqnPrefix=Eqn. ; EqnNo= 6; Multiplication= 1; ShowWorking= 1; EqnStyle= 0; Eqp$G$28_0")</f>
        <v/>
      </c>
    </row>
    <row r="29" spans="1:7" ht="18" x14ac:dyDescent="0.35">
      <c r="A29" s="1" t="s">
        <v>62</v>
      </c>
      <c r="B29" s="5" t="s">
        <v>65</v>
      </c>
      <c r="C29" s="9">
        <f>C22*SIN(RADIANS(C27))</f>
        <v>2728.3110433364104</v>
      </c>
      <c r="D29" s="1" t="s">
        <v>12</v>
      </c>
      <c r="E29" s="8" t="str">
        <f>_xll.EQS(C29,"Units= ; EqnPrefix=Eqn. ; EqnNo= 2; Multiplication= 0; ShowWorking= 0; EqnStyle= 0; Eqp$E$29_2")</f>
        <v/>
      </c>
      <c r="F29" s="8"/>
      <c r="G29" s="8" t="str">
        <f>_xll.EQS(C29,"Units= ; EqnPrefix=Eqn. ; EqnNo= 15; Multiplication= 1; ShowWorking= 1; EqnStyle= 0; Eqp$G$29_0")</f>
        <v/>
      </c>
    </row>
    <row r="30" spans="1:7" x14ac:dyDescent="0.25">
      <c r="A30" s="1"/>
      <c r="B30" s="5"/>
      <c r="C30" s="9"/>
      <c r="D30" s="1"/>
      <c r="E30" s="8"/>
      <c r="F30" s="1"/>
      <c r="G30" s="1"/>
    </row>
    <row r="31" spans="1:7" ht="18" x14ac:dyDescent="0.35">
      <c r="A31" s="1" t="s">
        <v>63</v>
      </c>
      <c r="B31" s="5" t="s">
        <v>66</v>
      </c>
      <c r="C31" s="9"/>
      <c r="D31" s="1"/>
      <c r="E31" s="8"/>
      <c r="F31" s="1"/>
      <c r="G31" s="1"/>
    </row>
    <row r="32" spans="1:7" ht="18" x14ac:dyDescent="0.35">
      <c r="A32" s="1" t="s">
        <v>67</v>
      </c>
      <c r="B32" s="5" t="s">
        <v>69</v>
      </c>
      <c r="C32" s="9"/>
      <c r="D32" s="1"/>
      <c r="E32" s="1"/>
      <c r="F32" s="1"/>
      <c r="G32" s="1"/>
    </row>
    <row r="33" spans="1:7" ht="18" x14ac:dyDescent="0.35">
      <c r="A33" s="1" t="s">
        <v>68</v>
      </c>
      <c r="B33" s="5" t="s">
        <v>70</v>
      </c>
      <c r="C33" s="9"/>
      <c r="D33" s="1"/>
      <c r="E33" s="1"/>
      <c r="F33" s="1"/>
      <c r="G33" s="1"/>
    </row>
    <row r="34" spans="1:7" x14ac:dyDescent="0.25">
      <c r="A34" s="1"/>
      <c r="B34" s="5"/>
      <c r="C34" s="9"/>
      <c r="D34" s="1"/>
      <c r="E34" s="1"/>
      <c r="F34" s="1"/>
      <c r="G34" s="1"/>
    </row>
    <row r="35" spans="1:7" x14ac:dyDescent="0.25">
      <c r="A35" s="1"/>
      <c r="B35" s="5"/>
      <c r="C35" s="9"/>
      <c r="D35" s="1"/>
      <c r="E35" s="8"/>
      <c r="F35" s="1"/>
      <c r="G35" s="1"/>
    </row>
    <row r="36" spans="1:7" x14ac:dyDescent="0.25">
      <c r="A36" s="9"/>
      <c r="B36" s="5"/>
      <c r="C36" s="11"/>
      <c r="D36" s="1"/>
      <c r="E36" s="8"/>
      <c r="F36" s="1"/>
      <c r="G36" s="1"/>
    </row>
    <row r="37" spans="1:7" x14ac:dyDescent="0.25">
      <c r="A37" s="9"/>
      <c r="B37" s="5"/>
      <c r="C37" s="12"/>
      <c r="D37" s="1"/>
      <c r="E37" s="16"/>
      <c r="F37" s="13"/>
      <c r="G37" s="13"/>
    </row>
    <row r="38" spans="1:7" x14ac:dyDescent="0.25">
      <c r="A38" s="4"/>
      <c r="B38" s="7"/>
      <c r="C38" s="7"/>
      <c r="D38" s="13"/>
      <c r="E38" s="1"/>
      <c r="F38" s="1"/>
      <c r="G38" s="13"/>
    </row>
    <row r="39" spans="1:7" x14ac:dyDescent="0.25">
      <c r="A39" s="13"/>
      <c r="B39" s="5"/>
      <c r="C39" s="7"/>
      <c r="D39" s="13"/>
      <c r="E39" s="13"/>
      <c r="F39" s="13"/>
      <c r="G39" s="13"/>
    </row>
  </sheetData>
  <mergeCells count="1">
    <mergeCell ref="A1:G1"/>
  </mergeCells>
  <pageMargins left="0.50130208333333337" right="0.7" top="0.75" bottom="0.75" header="0.3" footer="0.3"/>
  <pageSetup paperSize="9" orientation="portrait" r:id="rId1"/>
  <headerFooter>
    <oddHeader>&amp;L&amp;D&amp;C&amp;F&amp;R&amp;A</oddHeader>
    <oddFooter>&amp;L&amp;G&amp;C© Raw Design 2010&amp;R&amp;P of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5"/>
  <sheetViews>
    <sheetView showGridLines="0" view="pageLayout" topLeftCell="A16" zoomScaleNormal="115" workbookViewId="0">
      <selection activeCell="D30" sqref="D30:G33"/>
    </sheetView>
  </sheetViews>
  <sheetFormatPr defaultColWidth="8.85546875" defaultRowHeight="13.5" x14ac:dyDescent="0.25"/>
  <cols>
    <col min="1" max="1" width="0.5703125" style="20" customWidth="1"/>
    <col min="2" max="2" width="6.28515625" style="20" customWidth="1"/>
    <col min="3" max="3" width="32.7109375" style="20" customWidth="1"/>
    <col min="4" max="7" width="12.7109375" style="21" customWidth="1"/>
    <col min="8" max="8" width="14.85546875" style="21" customWidth="1"/>
    <col min="9" max="9" width="5.85546875" style="21" customWidth="1"/>
    <col min="10" max="10" width="15.5703125" style="21" customWidth="1"/>
    <col min="11" max="11" width="10.140625" style="21" bestFit="1" customWidth="1"/>
    <col min="12" max="12" width="8.85546875" style="21" customWidth="1"/>
    <col min="13" max="13" width="10.140625" style="21" customWidth="1"/>
    <col min="14" max="14" width="8.85546875" style="21"/>
    <col min="15" max="15" width="4" style="147" customWidth="1"/>
    <col min="16" max="16" width="8.85546875" style="20"/>
    <col min="17" max="17" width="10.85546875" style="20" customWidth="1"/>
    <col min="18" max="253" width="8.85546875" style="20"/>
    <col min="254" max="254" width="0.85546875" style="20" customWidth="1"/>
    <col min="255" max="255" width="4.42578125" style="20" bestFit="1" customWidth="1"/>
    <col min="256" max="256" width="32.7109375" style="20" customWidth="1"/>
    <col min="257" max="257" width="12.7109375" style="20" customWidth="1"/>
    <col min="258" max="258" width="14.85546875" style="20" customWidth="1"/>
    <col min="259" max="259" width="5.85546875" style="20" customWidth="1"/>
    <col min="260" max="260" width="15.5703125" style="20" customWidth="1"/>
    <col min="261" max="261" width="10.140625" style="20" bestFit="1" customWidth="1"/>
    <col min="262" max="262" width="8.85546875" style="20" customWidth="1"/>
    <col min="263" max="263" width="10.140625" style="20" customWidth="1"/>
    <col min="264" max="264" width="8.85546875" style="20"/>
    <col min="265" max="265" width="4" style="20" customWidth="1"/>
    <col min="266" max="266" width="1.5703125" style="20" customWidth="1"/>
    <col min="267" max="269" width="4" style="20" customWidth="1"/>
    <col min="270" max="270" width="8.85546875" style="20"/>
    <col min="271" max="271" width="14.42578125" style="20" bestFit="1" customWidth="1"/>
    <col min="272" max="272" width="8.85546875" style="20"/>
    <col min="273" max="273" width="10.85546875" style="20" customWidth="1"/>
    <col min="274" max="509" width="8.85546875" style="20"/>
    <col min="510" max="510" width="0.85546875" style="20" customWidth="1"/>
    <col min="511" max="511" width="4.42578125" style="20" bestFit="1" customWidth="1"/>
    <col min="512" max="512" width="32.7109375" style="20" customWidth="1"/>
    <col min="513" max="513" width="12.7109375" style="20" customWidth="1"/>
    <col min="514" max="514" width="14.85546875" style="20" customWidth="1"/>
    <col min="515" max="515" width="5.85546875" style="20" customWidth="1"/>
    <col min="516" max="516" width="15.5703125" style="20" customWidth="1"/>
    <col min="517" max="517" width="10.140625" style="20" bestFit="1" customWidth="1"/>
    <col min="518" max="518" width="8.85546875" style="20" customWidth="1"/>
    <col min="519" max="519" width="10.140625" style="20" customWidth="1"/>
    <col min="520" max="520" width="8.85546875" style="20"/>
    <col min="521" max="521" width="4" style="20" customWidth="1"/>
    <col min="522" max="522" width="1.5703125" style="20" customWidth="1"/>
    <col min="523" max="525" width="4" style="20" customWidth="1"/>
    <col min="526" max="526" width="8.85546875" style="20"/>
    <col min="527" max="527" width="14.42578125" style="20" bestFit="1" customWidth="1"/>
    <col min="528" max="528" width="8.85546875" style="20"/>
    <col min="529" max="529" width="10.85546875" style="20" customWidth="1"/>
    <col min="530" max="765" width="8.85546875" style="20"/>
    <col min="766" max="766" width="0.85546875" style="20" customWidth="1"/>
    <col min="767" max="767" width="4.42578125" style="20" bestFit="1" customWidth="1"/>
    <col min="768" max="768" width="32.7109375" style="20" customWidth="1"/>
    <col min="769" max="769" width="12.7109375" style="20" customWidth="1"/>
    <col min="770" max="770" width="14.85546875" style="20" customWidth="1"/>
    <col min="771" max="771" width="5.85546875" style="20" customWidth="1"/>
    <col min="772" max="772" width="15.5703125" style="20" customWidth="1"/>
    <col min="773" max="773" width="10.140625" style="20" bestFit="1" customWidth="1"/>
    <col min="774" max="774" width="8.85546875" style="20" customWidth="1"/>
    <col min="775" max="775" width="10.140625" style="20" customWidth="1"/>
    <col min="776" max="776" width="8.85546875" style="20"/>
    <col min="777" max="777" width="4" style="20" customWidth="1"/>
    <col min="778" max="778" width="1.5703125" style="20" customWidth="1"/>
    <col min="779" max="781" width="4" style="20" customWidth="1"/>
    <col min="782" max="782" width="8.85546875" style="20"/>
    <col min="783" max="783" width="14.42578125" style="20" bestFit="1" customWidth="1"/>
    <col min="784" max="784" width="8.85546875" style="20"/>
    <col min="785" max="785" width="10.85546875" style="20" customWidth="1"/>
    <col min="786" max="1021" width="8.85546875" style="20"/>
    <col min="1022" max="1022" width="0.85546875" style="20" customWidth="1"/>
    <col min="1023" max="1023" width="4.42578125" style="20" bestFit="1" customWidth="1"/>
    <col min="1024" max="1024" width="32.7109375" style="20" customWidth="1"/>
    <col min="1025" max="1025" width="12.7109375" style="20" customWidth="1"/>
    <col min="1026" max="1026" width="14.85546875" style="20" customWidth="1"/>
    <col min="1027" max="1027" width="5.85546875" style="20" customWidth="1"/>
    <col min="1028" max="1028" width="15.5703125" style="20" customWidth="1"/>
    <col min="1029" max="1029" width="10.140625" style="20" bestFit="1" customWidth="1"/>
    <col min="1030" max="1030" width="8.85546875" style="20" customWidth="1"/>
    <col min="1031" max="1031" width="10.140625" style="20" customWidth="1"/>
    <col min="1032" max="1032" width="8.85546875" style="20"/>
    <col min="1033" max="1033" width="4" style="20" customWidth="1"/>
    <col min="1034" max="1034" width="1.5703125" style="20" customWidth="1"/>
    <col min="1035" max="1037" width="4" style="20" customWidth="1"/>
    <col min="1038" max="1038" width="8.85546875" style="20"/>
    <col min="1039" max="1039" width="14.42578125" style="20" bestFit="1" customWidth="1"/>
    <col min="1040" max="1040" width="8.85546875" style="20"/>
    <col min="1041" max="1041" width="10.85546875" style="20" customWidth="1"/>
    <col min="1042" max="1277" width="8.85546875" style="20"/>
    <col min="1278" max="1278" width="0.85546875" style="20" customWidth="1"/>
    <col min="1279" max="1279" width="4.42578125" style="20" bestFit="1" customWidth="1"/>
    <col min="1280" max="1280" width="32.7109375" style="20" customWidth="1"/>
    <col min="1281" max="1281" width="12.7109375" style="20" customWidth="1"/>
    <col min="1282" max="1282" width="14.85546875" style="20" customWidth="1"/>
    <col min="1283" max="1283" width="5.85546875" style="20" customWidth="1"/>
    <col min="1284" max="1284" width="15.5703125" style="20" customWidth="1"/>
    <col min="1285" max="1285" width="10.140625" style="20" bestFit="1" customWidth="1"/>
    <col min="1286" max="1286" width="8.85546875" style="20" customWidth="1"/>
    <col min="1287" max="1287" width="10.140625" style="20" customWidth="1"/>
    <col min="1288" max="1288" width="8.85546875" style="20"/>
    <col min="1289" max="1289" width="4" style="20" customWidth="1"/>
    <col min="1290" max="1290" width="1.5703125" style="20" customWidth="1"/>
    <col min="1291" max="1293" width="4" style="20" customWidth="1"/>
    <col min="1294" max="1294" width="8.85546875" style="20"/>
    <col min="1295" max="1295" width="14.42578125" style="20" bestFit="1" customWidth="1"/>
    <col min="1296" max="1296" width="8.85546875" style="20"/>
    <col min="1297" max="1297" width="10.85546875" style="20" customWidth="1"/>
    <col min="1298" max="1533" width="8.85546875" style="20"/>
    <col min="1534" max="1534" width="0.85546875" style="20" customWidth="1"/>
    <col min="1535" max="1535" width="4.42578125" style="20" bestFit="1" customWidth="1"/>
    <col min="1536" max="1536" width="32.7109375" style="20" customWidth="1"/>
    <col min="1537" max="1537" width="12.7109375" style="20" customWidth="1"/>
    <col min="1538" max="1538" width="14.85546875" style="20" customWidth="1"/>
    <col min="1539" max="1539" width="5.85546875" style="20" customWidth="1"/>
    <col min="1540" max="1540" width="15.5703125" style="20" customWidth="1"/>
    <col min="1541" max="1541" width="10.140625" style="20" bestFit="1" customWidth="1"/>
    <col min="1542" max="1542" width="8.85546875" style="20" customWidth="1"/>
    <col min="1543" max="1543" width="10.140625" style="20" customWidth="1"/>
    <col min="1544" max="1544" width="8.85546875" style="20"/>
    <col min="1545" max="1545" width="4" style="20" customWidth="1"/>
    <col min="1546" max="1546" width="1.5703125" style="20" customWidth="1"/>
    <col min="1547" max="1549" width="4" style="20" customWidth="1"/>
    <col min="1550" max="1550" width="8.85546875" style="20"/>
    <col min="1551" max="1551" width="14.42578125" style="20" bestFit="1" customWidth="1"/>
    <col min="1552" max="1552" width="8.85546875" style="20"/>
    <col min="1553" max="1553" width="10.85546875" style="20" customWidth="1"/>
    <col min="1554" max="1789" width="8.85546875" style="20"/>
    <col min="1790" max="1790" width="0.85546875" style="20" customWidth="1"/>
    <col min="1791" max="1791" width="4.42578125" style="20" bestFit="1" customWidth="1"/>
    <col min="1792" max="1792" width="32.7109375" style="20" customWidth="1"/>
    <col min="1793" max="1793" width="12.7109375" style="20" customWidth="1"/>
    <col min="1794" max="1794" width="14.85546875" style="20" customWidth="1"/>
    <col min="1795" max="1795" width="5.85546875" style="20" customWidth="1"/>
    <col min="1796" max="1796" width="15.5703125" style="20" customWidth="1"/>
    <col min="1797" max="1797" width="10.140625" style="20" bestFit="1" customWidth="1"/>
    <col min="1798" max="1798" width="8.85546875" style="20" customWidth="1"/>
    <col min="1799" max="1799" width="10.140625" style="20" customWidth="1"/>
    <col min="1800" max="1800" width="8.85546875" style="20"/>
    <col min="1801" max="1801" width="4" style="20" customWidth="1"/>
    <col min="1802" max="1802" width="1.5703125" style="20" customWidth="1"/>
    <col min="1803" max="1805" width="4" style="20" customWidth="1"/>
    <col min="1806" max="1806" width="8.85546875" style="20"/>
    <col min="1807" max="1807" width="14.42578125" style="20" bestFit="1" customWidth="1"/>
    <col min="1808" max="1808" width="8.85546875" style="20"/>
    <col min="1809" max="1809" width="10.85546875" style="20" customWidth="1"/>
    <col min="1810" max="2045" width="8.85546875" style="20"/>
    <col min="2046" max="2046" width="0.85546875" style="20" customWidth="1"/>
    <col min="2047" max="2047" width="4.42578125" style="20" bestFit="1" customWidth="1"/>
    <col min="2048" max="2048" width="32.7109375" style="20" customWidth="1"/>
    <col min="2049" max="2049" width="12.7109375" style="20" customWidth="1"/>
    <col min="2050" max="2050" width="14.85546875" style="20" customWidth="1"/>
    <col min="2051" max="2051" width="5.85546875" style="20" customWidth="1"/>
    <col min="2052" max="2052" width="15.5703125" style="20" customWidth="1"/>
    <col min="2053" max="2053" width="10.140625" style="20" bestFit="1" customWidth="1"/>
    <col min="2054" max="2054" width="8.85546875" style="20" customWidth="1"/>
    <col min="2055" max="2055" width="10.140625" style="20" customWidth="1"/>
    <col min="2056" max="2056" width="8.85546875" style="20"/>
    <col min="2057" max="2057" width="4" style="20" customWidth="1"/>
    <col min="2058" max="2058" width="1.5703125" style="20" customWidth="1"/>
    <col min="2059" max="2061" width="4" style="20" customWidth="1"/>
    <col min="2062" max="2062" width="8.85546875" style="20"/>
    <col min="2063" max="2063" width="14.42578125" style="20" bestFit="1" customWidth="1"/>
    <col min="2064" max="2064" width="8.85546875" style="20"/>
    <col min="2065" max="2065" width="10.85546875" style="20" customWidth="1"/>
    <col min="2066" max="2301" width="8.85546875" style="20"/>
    <col min="2302" max="2302" width="0.85546875" style="20" customWidth="1"/>
    <col min="2303" max="2303" width="4.42578125" style="20" bestFit="1" customWidth="1"/>
    <col min="2304" max="2304" width="32.7109375" style="20" customWidth="1"/>
    <col min="2305" max="2305" width="12.7109375" style="20" customWidth="1"/>
    <col min="2306" max="2306" width="14.85546875" style="20" customWidth="1"/>
    <col min="2307" max="2307" width="5.85546875" style="20" customWidth="1"/>
    <col min="2308" max="2308" width="15.5703125" style="20" customWidth="1"/>
    <col min="2309" max="2309" width="10.140625" style="20" bestFit="1" customWidth="1"/>
    <col min="2310" max="2310" width="8.85546875" style="20" customWidth="1"/>
    <col min="2311" max="2311" width="10.140625" style="20" customWidth="1"/>
    <col min="2312" max="2312" width="8.85546875" style="20"/>
    <col min="2313" max="2313" width="4" style="20" customWidth="1"/>
    <col min="2314" max="2314" width="1.5703125" style="20" customWidth="1"/>
    <col min="2315" max="2317" width="4" style="20" customWidth="1"/>
    <col min="2318" max="2318" width="8.85546875" style="20"/>
    <col min="2319" max="2319" width="14.42578125" style="20" bestFit="1" customWidth="1"/>
    <col min="2320" max="2320" width="8.85546875" style="20"/>
    <col min="2321" max="2321" width="10.85546875" style="20" customWidth="1"/>
    <col min="2322" max="2557" width="8.85546875" style="20"/>
    <col min="2558" max="2558" width="0.85546875" style="20" customWidth="1"/>
    <col min="2559" max="2559" width="4.42578125" style="20" bestFit="1" customWidth="1"/>
    <col min="2560" max="2560" width="32.7109375" style="20" customWidth="1"/>
    <col min="2561" max="2561" width="12.7109375" style="20" customWidth="1"/>
    <col min="2562" max="2562" width="14.85546875" style="20" customWidth="1"/>
    <col min="2563" max="2563" width="5.85546875" style="20" customWidth="1"/>
    <col min="2564" max="2564" width="15.5703125" style="20" customWidth="1"/>
    <col min="2565" max="2565" width="10.140625" style="20" bestFit="1" customWidth="1"/>
    <col min="2566" max="2566" width="8.85546875" style="20" customWidth="1"/>
    <col min="2567" max="2567" width="10.140625" style="20" customWidth="1"/>
    <col min="2568" max="2568" width="8.85546875" style="20"/>
    <col min="2569" max="2569" width="4" style="20" customWidth="1"/>
    <col min="2570" max="2570" width="1.5703125" style="20" customWidth="1"/>
    <col min="2571" max="2573" width="4" style="20" customWidth="1"/>
    <col min="2574" max="2574" width="8.85546875" style="20"/>
    <col min="2575" max="2575" width="14.42578125" style="20" bestFit="1" customWidth="1"/>
    <col min="2576" max="2576" width="8.85546875" style="20"/>
    <col min="2577" max="2577" width="10.85546875" style="20" customWidth="1"/>
    <col min="2578" max="2813" width="8.85546875" style="20"/>
    <col min="2814" max="2814" width="0.85546875" style="20" customWidth="1"/>
    <col min="2815" max="2815" width="4.42578125" style="20" bestFit="1" customWidth="1"/>
    <col min="2816" max="2816" width="32.7109375" style="20" customWidth="1"/>
    <col min="2817" max="2817" width="12.7109375" style="20" customWidth="1"/>
    <col min="2818" max="2818" width="14.85546875" style="20" customWidth="1"/>
    <col min="2819" max="2819" width="5.85546875" style="20" customWidth="1"/>
    <col min="2820" max="2820" width="15.5703125" style="20" customWidth="1"/>
    <col min="2821" max="2821" width="10.140625" style="20" bestFit="1" customWidth="1"/>
    <col min="2822" max="2822" width="8.85546875" style="20" customWidth="1"/>
    <col min="2823" max="2823" width="10.140625" style="20" customWidth="1"/>
    <col min="2824" max="2824" width="8.85546875" style="20"/>
    <col min="2825" max="2825" width="4" style="20" customWidth="1"/>
    <col min="2826" max="2826" width="1.5703125" style="20" customWidth="1"/>
    <col min="2827" max="2829" width="4" style="20" customWidth="1"/>
    <col min="2830" max="2830" width="8.85546875" style="20"/>
    <col min="2831" max="2831" width="14.42578125" style="20" bestFit="1" customWidth="1"/>
    <col min="2832" max="2832" width="8.85546875" style="20"/>
    <col min="2833" max="2833" width="10.85546875" style="20" customWidth="1"/>
    <col min="2834" max="3069" width="8.85546875" style="20"/>
    <col min="3070" max="3070" width="0.85546875" style="20" customWidth="1"/>
    <col min="3071" max="3071" width="4.42578125" style="20" bestFit="1" customWidth="1"/>
    <col min="3072" max="3072" width="32.7109375" style="20" customWidth="1"/>
    <col min="3073" max="3073" width="12.7109375" style="20" customWidth="1"/>
    <col min="3074" max="3074" width="14.85546875" style="20" customWidth="1"/>
    <col min="3075" max="3075" width="5.85546875" style="20" customWidth="1"/>
    <col min="3076" max="3076" width="15.5703125" style="20" customWidth="1"/>
    <col min="3077" max="3077" width="10.140625" style="20" bestFit="1" customWidth="1"/>
    <col min="3078" max="3078" width="8.85546875" style="20" customWidth="1"/>
    <col min="3079" max="3079" width="10.140625" style="20" customWidth="1"/>
    <col min="3080" max="3080" width="8.85546875" style="20"/>
    <col min="3081" max="3081" width="4" style="20" customWidth="1"/>
    <col min="3082" max="3082" width="1.5703125" style="20" customWidth="1"/>
    <col min="3083" max="3085" width="4" style="20" customWidth="1"/>
    <col min="3086" max="3086" width="8.85546875" style="20"/>
    <col min="3087" max="3087" width="14.42578125" style="20" bestFit="1" customWidth="1"/>
    <col min="3088" max="3088" width="8.85546875" style="20"/>
    <col min="3089" max="3089" width="10.85546875" style="20" customWidth="1"/>
    <col min="3090" max="3325" width="8.85546875" style="20"/>
    <col min="3326" max="3326" width="0.85546875" style="20" customWidth="1"/>
    <col min="3327" max="3327" width="4.42578125" style="20" bestFit="1" customWidth="1"/>
    <col min="3328" max="3328" width="32.7109375" style="20" customWidth="1"/>
    <col min="3329" max="3329" width="12.7109375" style="20" customWidth="1"/>
    <col min="3330" max="3330" width="14.85546875" style="20" customWidth="1"/>
    <col min="3331" max="3331" width="5.85546875" style="20" customWidth="1"/>
    <col min="3332" max="3332" width="15.5703125" style="20" customWidth="1"/>
    <col min="3333" max="3333" width="10.140625" style="20" bestFit="1" customWidth="1"/>
    <col min="3334" max="3334" width="8.85546875" style="20" customWidth="1"/>
    <col min="3335" max="3335" width="10.140625" style="20" customWidth="1"/>
    <col min="3336" max="3336" width="8.85546875" style="20"/>
    <col min="3337" max="3337" width="4" style="20" customWidth="1"/>
    <col min="3338" max="3338" width="1.5703125" style="20" customWidth="1"/>
    <col min="3339" max="3341" width="4" style="20" customWidth="1"/>
    <col min="3342" max="3342" width="8.85546875" style="20"/>
    <col min="3343" max="3343" width="14.42578125" style="20" bestFit="1" customWidth="1"/>
    <col min="3344" max="3344" width="8.85546875" style="20"/>
    <col min="3345" max="3345" width="10.85546875" style="20" customWidth="1"/>
    <col min="3346" max="3581" width="8.85546875" style="20"/>
    <col min="3582" max="3582" width="0.85546875" style="20" customWidth="1"/>
    <col min="3583" max="3583" width="4.42578125" style="20" bestFit="1" customWidth="1"/>
    <col min="3584" max="3584" width="32.7109375" style="20" customWidth="1"/>
    <col min="3585" max="3585" width="12.7109375" style="20" customWidth="1"/>
    <col min="3586" max="3586" width="14.85546875" style="20" customWidth="1"/>
    <col min="3587" max="3587" width="5.85546875" style="20" customWidth="1"/>
    <col min="3588" max="3588" width="15.5703125" style="20" customWidth="1"/>
    <col min="3589" max="3589" width="10.140625" style="20" bestFit="1" customWidth="1"/>
    <col min="3590" max="3590" width="8.85546875" style="20" customWidth="1"/>
    <col min="3591" max="3591" width="10.140625" style="20" customWidth="1"/>
    <col min="3592" max="3592" width="8.85546875" style="20"/>
    <col min="3593" max="3593" width="4" style="20" customWidth="1"/>
    <col min="3594" max="3594" width="1.5703125" style="20" customWidth="1"/>
    <col min="3595" max="3597" width="4" style="20" customWidth="1"/>
    <col min="3598" max="3598" width="8.85546875" style="20"/>
    <col min="3599" max="3599" width="14.42578125" style="20" bestFit="1" customWidth="1"/>
    <col min="3600" max="3600" width="8.85546875" style="20"/>
    <col min="3601" max="3601" width="10.85546875" style="20" customWidth="1"/>
    <col min="3602" max="3837" width="8.85546875" style="20"/>
    <col min="3838" max="3838" width="0.85546875" style="20" customWidth="1"/>
    <col min="3839" max="3839" width="4.42578125" style="20" bestFit="1" customWidth="1"/>
    <col min="3840" max="3840" width="32.7109375" style="20" customWidth="1"/>
    <col min="3841" max="3841" width="12.7109375" style="20" customWidth="1"/>
    <col min="3842" max="3842" width="14.85546875" style="20" customWidth="1"/>
    <col min="3843" max="3843" width="5.85546875" style="20" customWidth="1"/>
    <col min="3844" max="3844" width="15.5703125" style="20" customWidth="1"/>
    <col min="3845" max="3845" width="10.140625" style="20" bestFit="1" customWidth="1"/>
    <col min="3846" max="3846" width="8.85546875" style="20" customWidth="1"/>
    <col min="3847" max="3847" width="10.140625" style="20" customWidth="1"/>
    <col min="3848" max="3848" width="8.85546875" style="20"/>
    <col min="3849" max="3849" width="4" style="20" customWidth="1"/>
    <col min="3850" max="3850" width="1.5703125" style="20" customWidth="1"/>
    <col min="3851" max="3853" width="4" style="20" customWidth="1"/>
    <col min="3854" max="3854" width="8.85546875" style="20"/>
    <col min="3855" max="3855" width="14.42578125" style="20" bestFit="1" customWidth="1"/>
    <col min="3856" max="3856" width="8.85546875" style="20"/>
    <col min="3857" max="3857" width="10.85546875" style="20" customWidth="1"/>
    <col min="3858" max="4093" width="8.85546875" style="20"/>
    <col min="4094" max="4094" width="0.85546875" style="20" customWidth="1"/>
    <col min="4095" max="4095" width="4.42578125" style="20" bestFit="1" customWidth="1"/>
    <col min="4096" max="4096" width="32.7109375" style="20" customWidth="1"/>
    <col min="4097" max="4097" width="12.7109375" style="20" customWidth="1"/>
    <col min="4098" max="4098" width="14.85546875" style="20" customWidth="1"/>
    <col min="4099" max="4099" width="5.85546875" style="20" customWidth="1"/>
    <col min="4100" max="4100" width="15.5703125" style="20" customWidth="1"/>
    <col min="4101" max="4101" width="10.140625" style="20" bestFit="1" customWidth="1"/>
    <col min="4102" max="4102" width="8.85546875" style="20" customWidth="1"/>
    <col min="4103" max="4103" width="10.140625" style="20" customWidth="1"/>
    <col min="4104" max="4104" width="8.85546875" style="20"/>
    <col min="4105" max="4105" width="4" style="20" customWidth="1"/>
    <col min="4106" max="4106" width="1.5703125" style="20" customWidth="1"/>
    <col min="4107" max="4109" width="4" style="20" customWidth="1"/>
    <col min="4110" max="4110" width="8.85546875" style="20"/>
    <col min="4111" max="4111" width="14.42578125" style="20" bestFit="1" customWidth="1"/>
    <col min="4112" max="4112" width="8.85546875" style="20"/>
    <col min="4113" max="4113" width="10.85546875" style="20" customWidth="1"/>
    <col min="4114" max="4349" width="8.85546875" style="20"/>
    <col min="4350" max="4350" width="0.85546875" style="20" customWidth="1"/>
    <col min="4351" max="4351" width="4.42578125" style="20" bestFit="1" customWidth="1"/>
    <col min="4352" max="4352" width="32.7109375" style="20" customWidth="1"/>
    <col min="4353" max="4353" width="12.7109375" style="20" customWidth="1"/>
    <col min="4354" max="4354" width="14.85546875" style="20" customWidth="1"/>
    <col min="4355" max="4355" width="5.85546875" style="20" customWidth="1"/>
    <col min="4356" max="4356" width="15.5703125" style="20" customWidth="1"/>
    <col min="4357" max="4357" width="10.140625" style="20" bestFit="1" customWidth="1"/>
    <col min="4358" max="4358" width="8.85546875" style="20" customWidth="1"/>
    <col min="4359" max="4359" width="10.140625" style="20" customWidth="1"/>
    <col min="4360" max="4360" width="8.85546875" style="20"/>
    <col min="4361" max="4361" width="4" style="20" customWidth="1"/>
    <col min="4362" max="4362" width="1.5703125" style="20" customWidth="1"/>
    <col min="4363" max="4365" width="4" style="20" customWidth="1"/>
    <col min="4366" max="4366" width="8.85546875" style="20"/>
    <col min="4367" max="4367" width="14.42578125" style="20" bestFit="1" customWidth="1"/>
    <col min="4368" max="4368" width="8.85546875" style="20"/>
    <col min="4369" max="4369" width="10.85546875" style="20" customWidth="1"/>
    <col min="4370" max="4605" width="8.85546875" style="20"/>
    <col min="4606" max="4606" width="0.85546875" style="20" customWidth="1"/>
    <col min="4607" max="4607" width="4.42578125" style="20" bestFit="1" customWidth="1"/>
    <col min="4608" max="4608" width="32.7109375" style="20" customWidth="1"/>
    <col min="4609" max="4609" width="12.7109375" style="20" customWidth="1"/>
    <col min="4610" max="4610" width="14.85546875" style="20" customWidth="1"/>
    <col min="4611" max="4611" width="5.85546875" style="20" customWidth="1"/>
    <col min="4612" max="4612" width="15.5703125" style="20" customWidth="1"/>
    <col min="4613" max="4613" width="10.140625" style="20" bestFit="1" customWidth="1"/>
    <col min="4614" max="4614" width="8.85546875" style="20" customWidth="1"/>
    <col min="4615" max="4615" width="10.140625" style="20" customWidth="1"/>
    <col min="4616" max="4616" width="8.85546875" style="20"/>
    <col min="4617" max="4617" width="4" style="20" customWidth="1"/>
    <col min="4618" max="4618" width="1.5703125" style="20" customWidth="1"/>
    <col min="4619" max="4621" width="4" style="20" customWidth="1"/>
    <col min="4622" max="4622" width="8.85546875" style="20"/>
    <col min="4623" max="4623" width="14.42578125" style="20" bestFit="1" customWidth="1"/>
    <col min="4624" max="4624" width="8.85546875" style="20"/>
    <col min="4625" max="4625" width="10.85546875" style="20" customWidth="1"/>
    <col min="4626" max="4861" width="8.85546875" style="20"/>
    <col min="4862" max="4862" width="0.85546875" style="20" customWidth="1"/>
    <col min="4863" max="4863" width="4.42578125" style="20" bestFit="1" customWidth="1"/>
    <col min="4864" max="4864" width="32.7109375" style="20" customWidth="1"/>
    <col min="4865" max="4865" width="12.7109375" style="20" customWidth="1"/>
    <col min="4866" max="4866" width="14.85546875" style="20" customWidth="1"/>
    <col min="4867" max="4867" width="5.85546875" style="20" customWidth="1"/>
    <col min="4868" max="4868" width="15.5703125" style="20" customWidth="1"/>
    <col min="4869" max="4869" width="10.140625" style="20" bestFit="1" customWidth="1"/>
    <col min="4870" max="4870" width="8.85546875" style="20" customWidth="1"/>
    <col min="4871" max="4871" width="10.140625" style="20" customWidth="1"/>
    <col min="4872" max="4872" width="8.85546875" style="20"/>
    <col min="4873" max="4873" width="4" style="20" customWidth="1"/>
    <col min="4874" max="4874" width="1.5703125" style="20" customWidth="1"/>
    <col min="4875" max="4877" width="4" style="20" customWidth="1"/>
    <col min="4878" max="4878" width="8.85546875" style="20"/>
    <col min="4879" max="4879" width="14.42578125" style="20" bestFit="1" customWidth="1"/>
    <col min="4880" max="4880" width="8.85546875" style="20"/>
    <col min="4881" max="4881" width="10.85546875" style="20" customWidth="1"/>
    <col min="4882" max="5117" width="8.85546875" style="20"/>
    <col min="5118" max="5118" width="0.85546875" style="20" customWidth="1"/>
    <col min="5119" max="5119" width="4.42578125" style="20" bestFit="1" customWidth="1"/>
    <col min="5120" max="5120" width="32.7109375" style="20" customWidth="1"/>
    <col min="5121" max="5121" width="12.7109375" style="20" customWidth="1"/>
    <col min="5122" max="5122" width="14.85546875" style="20" customWidth="1"/>
    <col min="5123" max="5123" width="5.85546875" style="20" customWidth="1"/>
    <col min="5124" max="5124" width="15.5703125" style="20" customWidth="1"/>
    <col min="5125" max="5125" width="10.140625" style="20" bestFit="1" customWidth="1"/>
    <col min="5126" max="5126" width="8.85546875" style="20" customWidth="1"/>
    <col min="5127" max="5127" width="10.140625" style="20" customWidth="1"/>
    <col min="5128" max="5128" width="8.85546875" style="20"/>
    <col min="5129" max="5129" width="4" style="20" customWidth="1"/>
    <col min="5130" max="5130" width="1.5703125" style="20" customWidth="1"/>
    <col min="5131" max="5133" width="4" style="20" customWidth="1"/>
    <col min="5134" max="5134" width="8.85546875" style="20"/>
    <col min="5135" max="5135" width="14.42578125" style="20" bestFit="1" customWidth="1"/>
    <col min="5136" max="5136" width="8.85546875" style="20"/>
    <col min="5137" max="5137" width="10.85546875" style="20" customWidth="1"/>
    <col min="5138" max="5373" width="8.85546875" style="20"/>
    <col min="5374" max="5374" width="0.85546875" style="20" customWidth="1"/>
    <col min="5375" max="5375" width="4.42578125" style="20" bestFit="1" customWidth="1"/>
    <col min="5376" max="5376" width="32.7109375" style="20" customWidth="1"/>
    <col min="5377" max="5377" width="12.7109375" style="20" customWidth="1"/>
    <col min="5378" max="5378" width="14.85546875" style="20" customWidth="1"/>
    <col min="5379" max="5379" width="5.85546875" style="20" customWidth="1"/>
    <col min="5380" max="5380" width="15.5703125" style="20" customWidth="1"/>
    <col min="5381" max="5381" width="10.140625" style="20" bestFit="1" customWidth="1"/>
    <col min="5382" max="5382" width="8.85546875" style="20" customWidth="1"/>
    <col min="5383" max="5383" width="10.140625" style="20" customWidth="1"/>
    <col min="5384" max="5384" width="8.85546875" style="20"/>
    <col min="5385" max="5385" width="4" style="20" customWidth="1"/>
    <col min="5386" max="5386" width="1.5703125" style="20" customWidth="1"/>
    <col min="5387" max="5389" width="4" style="20" customWidth="1"/>
    <col min="5390" max="5390" width="8.85546875" style="20"/>
    <col min="5391" max="5391" width="14.42578125" style="20" bestFit="1" customWidth="1"/>
    <col min="5392" max="5392" width="8.85546875" style="20"/>
    <col min="5393" max="5393" width="10.85546875" style="20" customWidth="1"/>
    <col min="5394" max="5629" width="8.85546875" style="20"/>
    <col min="5630" max="5630" width="0.85546875" style="20" customWidth="1"/>
    <col min="5631" max="5631" width="4.42578125" style="20" bestFit="1" customWidth="1"/>
    <col min="5632" max="5632" width="32.7109375" style="20" customWidth="1"/>
    <col min="5633" max="5633" width="12.7109375" style="20" customWidth="1"/>
    <col min="5634" max="5634" width="14.85546875" style="20" customWidth="1"/>
    <col min="5635" max="5635" width="5.85546875" style="20" customWidth="1"/>
    <col min="5636" max="5636" width="15.5703125" style="20" customWidth="1"/>
    <col min="5637" max="5637" width="10.140625" style="20" bestFit="1" customWidth="1"/>
    <col min="5638" max="5638" width="8.85546875" style="20" customWidth="1"/>
    <col min="5639" max="5639" width="10.140625" style="20" customWidth="1"/>
    <col min="5640" max="5640" width="8.85546875" style="20"/>
    <col min="5641" max="5641" width="4" style="20" customWidth="1"/>
    <col min="5642" max="5642" width="1.5703125" style="20" customWidth="1"/>
    <col min="5643" max="5645" width="4" style="20" customWidth="1"/>
    <col min="5646" max="5646" width="8.85546875" style="20"/>
    <col min="5647" max="5647" width="14.42578125" style="20" bestFit="1" customWidth="1"/>
    <col min="5648" max="5648" width="8.85546875" style="20"/>
    <col min="5649" max="5649" width="10.85546875" style="20" customWidth="1"/>
    <col min="5650" max="5885" width="8.85546875" style="20"/>
    <col min="5886" max="5886" width="0.85546875" style="20" customWidth="1"/>
    <col min="5887" max="5887" width="4.42578125" style="20" bestFit="1" customWidth="1"/>
    <col min="5888" max="5888" width="32.7109375" style="20" customWidth="1"/>
    <col min="5889" max="5889" width="12.7109375" style="20" customWidth="1"/>
    <col min="5890" max="5890" width="14.85546875" style="20" customWidth="1"/>
    <col min="5891" max="5891" width="5.85546875" style="20" customWidth="1"/>
    <col min="5892" max="5892" width="15.5703125" style="20" customWidth="1"/>
    <col min="5893" max="5893" width="10.140625" style="20" bestFit="1" customWidth="1"/>
    <col min="5894" max="5894" width="8.85546875" style="20" customWidth="1"/>
    <col min="5895" max="5895" width="10.140625" style="20" customWidth="1"/>
    <col min="5896" max="5896" width="8.85546875" style="20"/>
    <col min="5897" max="5897" width="4" style="20" customWidth="1"/>
    <col min="5898" max="5898" width="1.5703125" style="20" customWidth="1"/>
    <col min="5899" max="5901" width="4" style="20" customWidth="1"/>
    <col min="5902" max="5902" width="8.85546875" style="20"/>
    <col min="5903" max="5903" width="14.42578125" style="20" bestFit="1" customWidth="1"/>
    <col min="5904" max="5904" width="8.85546875" style="20"/>
    <col min="5905" max="5905" width="10.85546875" style="20" customWidth="1"/>
    <col min="5906" max="6141" width="8.85546875" style="20"/>
    <col min="6142" max="6142" width="0.85546875" style="20" customWidth="1"/>
    <col min="6143" max="6143" width="4.42578125" style="20" bestFit="1" customWidth="1"/>
    <col min="6144" max="6144" width="32.7109375" style="20" customWidth="1"/>
    <col min="6145" max="6145" width="12.7109375" style="20" customWidth="1"/>
    <col min="6146" max="6146" width="14.85546875" style="20" customWidth="1"/>
    <col min="6147" max="6147" width="5.85546875" style="20" customWidth="1"/>
    <col min="6148" max="6148" width="15.5703125" style="20" customWidth="1"/>
    <col min="6149" max="6149" width="10.140625" style="20" bestFit="1" customWidth="1"/>
    <col min="6150" max="6150" width="8.85546875" style="20" customWidth="1"/>
    <col min="6151" max="6151" width="10.140625" style="20" customWidth="1"/>
    <col min="6152" max="6152" width="8.85546875" style="20"/>
    <col min="6153" max="6153" width="4" style="20" customWidth="1"/>
    <col min="6154" max="6154" width="1.5703125" style="20" customWidth="1"/>
    <col min="6155" max="6157" width="4" style="20" customWidth="1"/>
    <col min="6158" max="6158" width="8.85546875" style="20"/>
    <col min="6159" max="6159" width="14.42578125" style="20" bestFit="1" customWidth="1"/>
    <col min="6160" max="6160" width="8.85546875" style="20"/>
    <col min="6161" max="6161" width="10.85546875" style="20" customWidth="1"/>
    <col min="6162" max="6397" width="8.85546875" style="20"/>
    <col min="6398" max="6398" width="0.85546875" style="20" customWidth="1"/>
    <col min="6399" max="6399" width="4.42578125" style="20" bestFit="1" customWidth="1"/>
    <col min="6400" max="6400" width="32.7109375" style="20" customWidth="1"/>
    <col min="6401" max="6401" width="12.7109375" style="20" customWidth="1"/>
    <col min="6402" max="6402" width="14.85546875" style="20" customWidth="1"/>
    <col min="6403" max="6403" width="5.85546875" style="20" customWidth="1"/>
    <col min="6404" max="6404" width="15.5703125" style="20" customWidth="1"/>
    <col min="6405" max="6405" width="10.140625" style="20" bestFit="1" customWidth="1"/>
    <col min="6406" max="6406" width="8.85546875" style="20" customWidth="1"/>
    <col min="6407" max="6407" width="10.140625" style="20" customWidth="1"/>
    <col min="6408" max="6408" width="8.85546875" style="20"/>
    <col min="6409" max="6409" width="4" style="20" customWidth="1"/>
    <col min="6410" max="6410" width="1.5703125" style="20" customWidth="1"/>
    <col min="6411" max="6413" width="4" style="20" customWidth="1"/>
    <col min="6414" max="6414" width="8.85546875" style="20"/>
    <col min="6415" max="6415" width="14.42578125" style="20" bestFit="1" customWidth="1"/>
    <col min="6416" max="6416" width="8.85546875" style="20"/>
    <col min="6417" max="6417" width="10.85546875" style="20" customWidth="1"/>
    <col min="6418" max="6653" width="8.85546875" style="20"/>
    <col min="6654" max="6654" width="0.85546875" style="20" customWidth="1"/>
    <col min="6655" max="6655" width="4.42578125" style="20" bestFit="1" customWidth="1"/>
    <col min="6656" max="6656" width="32.7109375" style="20" customWidth="1"/>
    <col min="6657" max="6657" width="12.7109375" style="20" customWidth="1"/>
    <col min="6658" max="6658" width="14.85546875" style="20" customWidth="1"/>
    <col min="6659" max="6659" width="5.85546875" style="20" customWidth="1"/>
    <col min="6660" max="6660" width="15.5703125" style="20" customWidth="1"/>
    <col min="6661" max="6661" width="10.140625" style="20" bestFit="1" customWidth="1"/>
    <col min="6662" max="6662" width="8.85546875" style="20" customWidth="1"/>
    <col min="6663" max="6663" width="10.140625" style="20" customWidth="1"/>
    <col min="6664" max="6664" width="8.85546875" style="20"/>
    <col min="6665" max="6665" width="4" style="20" customWidth="1"/>
    <col min="6666" max="6666" width="1.5703125" style="20" customWidth="1"/>
    <col min="6667" max="6669" width="4" style="20" customWidth="1"/>
    <col min="6670" max="6670" width="8.85546875" style="20"/>
    <col min="6671" max="6671" width="14.42578125" style="20" bestFit="1" customWidth="1"/>
    <col min="6672" max="6672" width="8.85546875" style="20"/>
    <col min="6673" max="6673" width="10.85546875" style="20" customWidth="1"/>
    <col min="6674" max="6909" width="8.85546875" style="20"/>
    <col min="6910" max="6910" width="0.85546875" style="20" customWidth="1"/>
    <col min="6911" max="6911" width="4.42578125" style="20" bestFit="1" customWidth="1"/>
    <col min="6912" max="6912" width="32.7109375" style="20" customWidth="1"/>
    <col min="6913" max="6913" width="12.7109375" style="20" customWidth="1"/>
    <col min="6914" max="6914" width="14.85546875" style="20" customWidth="1"/>
    <col min="6915" max="6915" width="5.85546875" style="20" customWidth="1"/>
    <col min="6916" max="6916" width="15.5703125" style="20" customWidth="1"/>
    <col min="6917" max="6917" width="10.140625" style="20" bestFit="1" customWidth="1"/>
    <col min="6918" max="6918" width="8.85546875" style="20" customWidth="1"/>
    <col min="6919" max="6919" width="10.140625" style="20" customWidth="1"/>
    <col min="6920" max="6920" width="8.85546875" style="20"/>
    <col min="6921" max="6921" width="4" style="20" customWidth="1"/>
    <col min="6922" max="6922" width="1.5703125" style="20" customWidth="1"/>
    <col min="6923" max="6925" width="4" style="20" customWidth="1"/>
    <col min="6926" max="6926" width="8.85546875" style="20"/>
    <col min="6927" max="6927" width="14.42578125" style="20" bestFit="1" customWidth="1"/>
    <col min="6928" max="6928" width="8.85546875" style="20"/>
    <col min="6929" max="6929" width="10.85546875" style="20" customWidth="1"/>
    <col min="6930" max="7165" width="8.85546875" style="20"/>
    <col min="7166" max="7166" width="0.85546875" style="20" customWidth="1"/>
    <col min="7167" max="7167" width="4.42578125" style="20" bestFit="1" customWidth="1"/>
    <col min="7168" max="7168" width="32.7109375" style="20" customWidth="1"/>
    <col min="7169" max="7169" width="12.7109375" style="20" customWidth="1"/>
    <col min="7170" max="7170" width="14.85546875" style="20" customWidth="1"/>
    <col min="7171" max="7171" width="5.85546875" style="20" customWidth="1"/>
    <col min="7172" max="7172" width="15.5703125" style="20" customWidth="1"/>
    <col min="7173" max="7173" width="10.140625" style="20" bestFit="1" customWidth="1"/>
    <col min="7174" max="7174" width="8.85546875" style="20" customWidth="1"/>
    <col min="7175" max="7175" width="10.140625" style="20" customWidth="1"/>
    <col min="7176" max="7176" width="8.85546875" style="20"/>
    <col min="7177" max="7177" width="4" style="20" customWidth="1"/>
    <col min="7178" max="7178" width="1.5703125" style="20" customWidth="1"/>
    <col min="7179" max="7181" width="4" style="20" customWidth="1"/>
    <col min="7182" max="7182" width="8.85546875" style="20"/>
    <col min="7183" max="7183" width="14.42578125" style="20" bestFit="1" customWidth="1"/>
    <col min="7184" max="7184" width="8.85546875" style="20"/>
    <col min="7185" max="7185" width="10.85546875" style="20" customWidth="1"/>
    <col min="7186" max="7421" width="8.85546875" style="20"/>
    <col min="7422" max="7422" width="0.85546875" style="20" customWidth="1"/>
    <col min="7423" max="7423" width="4.42578125" style="20" bestFit="1" customWidth="1"/>
    <col min="7424" max="7424" width="32.7109375" style="20" customWidth="1"/>
    <col min="7425" max="7425" width="12.7109375" style="20" customWidth="1"/>
    <col min="7426" max="7426" width="14.85546875" style="20" customWidth="1"/>
    <col min="7427" max="7427" width="5.85546875" style="20" customWidth="1"/>
    <col min="7428" max="7428" width="15.5703125" style="20" customWidth="1"/>
    <col min="7429" max="7429" width="10.140625" style="20" bestFit="1" customWidth="1"/>
    <col min="7430" max="7430" width="8.85546875" style="20" customWidth="1"/>
    <col min="7431" max="7431" width="10.140625" style="20" customWidth="1"/>
    <col min="7432" max="7432" width="8.85546875" style="20"/>
    <col min="7433" max="7433" width="4" style="20" customWidth="1"/>
    <col min="7434" max="7434" width="1.5703125" style="20" customWidth="1"/>
    <col min="7435" max="7437" width="4" style="20" customWidth="1"/>
    <col min="7438" max="7438" width="8.85546875" style="20"/>
    <col min="7439" max="7439" width="14.42578125" style="20" bestFit="1" customWidth="1"/>
    <col min="7440" max="7440" width="8.85546875" style="20"/>
    <col min="7441" max="7441" width="10.85546875" style="20" customWidth="1"/>
    <col min="7442" max="7677" width="8.85546875" style="20"/>
    <col min="7678" max="7678" width="0.85546875" style="20" customWidth="1"/>
    <col min="7679" max="7679" width="4.42578125" style="20" bestFit="1" customWidth="1"/>
    <col min="7680" max="7680" width="32.7109375" style="20" customWidth="1"/>
    <col min="7681" max="7681" width="12.7109375" style="20" customWidth="1"/>
    <col min="7682" max="7682" width="14.85546875" style="20" customWidth="1"/>
    <col min="7683" max="7683" width="5.85546875" style="20" customWidth="1"/>
    <col min="7684" max="7684" width="15.5703125" style="20" customWidth="1"/>
    <col min="7685" max="7685" width="10.140625" style="20" bestFit="1" customWidth="1"/>
    <col min="7686" max="7686" width="8.85546875" style="20" customWidth="1"/>
    <col min="7687" max="7687" width="10.140625" style="20" customWidth="1"/>
    <col min="7688" max="7688" width="8.85546875" style="20"/>
    <col min="7689" max="7689" width="4" style="20" customWidth="1"/>
    <col min="7690" max="7690" width="1.5703125" style="20" customWidth="1"/>
    <col min="7691" max="7693" width="4" style="20" customWidth="1"/>
    <col min="7694" max="7694" width="8.85546875" style="20"/>
    <col min="7695" max="7695" width="14.42578125" style="20" bestFit="1" customWidth="1"/>
    <col min="7696" max="7696" width="8.85546875" style="20"/>
    <col min="7697" max="7697" width="10.85546875" style="20" customWidth="1"/>
    <col min="7698" max="7933" width="8.85546875" style="20"/>
    <col min="7934" max="7934" width="0.85546875" style="20" customWidth="1"/>
    <col min="7935" max="7935" width="4.42578125" style="20" bestFit="1" customWidth="1"/>
    <col min="7936" max="7936" width="32.7109375" style="20" customWidth="1"/>
    <col min="7937" max="7937" width="12.7109375" style="20" customWidth="1"/>
    <col min="7938" max="7938" width="14.85546875" style="20" customWidth="1"/>
    <col min="7939" max="7939" width="5.85546875" style="20" customWidth="1"/>
    <col min="7940" max="7940" width="15.5703125" style="20" customWidth="1"/>
    <col min="7941" max="7941" width="10.140625" style="20" bestFit="1" customWidth="1"/>
    <col min="7942" max="7942" width="8.85546875" style="20" customWidth="1"/>
    <col min="7943" max="7943" width="10.140625" style="20" customWidth="1"/>
    <col min="7944" max="7944" width="8.85546875" style="20"/>
    <col min="7945" max="7945" width="4" style="20" customWidth="1"/>
    <col min="7946" max="7946" width="1.5703125" style="20" customWidth="1"/>
    <col min="7947" max="7949" width="4" style="20" customWidth="1"/>
    <col min="7950" max="7950" width="8.85546875" style="20"/>
    <col min="7951" max="7951" width="14.42578125" style="20" bestFit="1" customWidth="1"/>
    <col min="7952" max="7952" width="8.85546875" style="20"/>
    <col min="7953" max="7953" width="10.85546875" style="20" customWidth="1"/>
    <col min="7954" max="8189" width="8.85546875" style="20"/>
    <col min="8190" max="8190" width="0.85546875" style="20" customWidth="1"/>
    <col min="8191" max="8191" width="4.42578125" style="20" bestFit="1" customWidth="1"/>
    <col min="8192" max="8192" width="32.7109375" style="20" customWidth="1"/>
    <col min="8193" max="8193" width="12.7109375" style="20" customWidth="1"/>
    <col min="8194" max="8194" width="14.85546875" style="20" customWidth="1"/>
    <col min="8195" max="8195" width="5.85546875" style="20" customWidth="1"/>
    <col min="8196" max="8196" width="15.5703125" style="20" customWidth="1"/>
    <col min="8197" max="8197" width="10.140625" style="20" bestFit="1" customWidth="1"/>
    <col min="8198" max="8198" width="8.85546875" style="20" customWidth="1"/>
    <col min="8199" max="8199" width="10.140625" style="20" customWidth="1"/>
    <col min="8200" max="8200" width="8.85546875" style="20"/>
    <col min="8201" max="8201" width="4" style="20" customWidth="1"/>
    <col min="8202" max="8202" width="1.5703125" style="20" customWidth="1"/>
    <col min="8203" max="8205" width="4" style="20" customWidth="1"/>
    <col min="8206" max="8206" width="8.85546875" style="20"/>
    <col min="8207" max="8207" width="14.42578125" style="20" bestFit="1" customWidth="1"/>
    <col min="8208" max="8208" width="8.85546875" style="20"/>
    <col min="8209" max="8209" width="10.85546875" style="20" customWidth="1"/>
    <col min="8210" max="8445" width="8.85546875" style="20"/>
    <col min="8446" max="8446" width="0.85546875" style="20" customWidth="1"/>
    <col min="8447" max="8447" width="4.42578125" style="20" bestFit="1" customWidth="1"/>
    <col min="8448" max="8448" width="32.7109375" style="20" customWidth="1"/>
    <col min="8449" max="8449" width="12.7109375" style="20" customWidth="1"/>
    <col min="8450" max="8450" width="14.85546875" style="20" customWidth="1"/>
    <col min="8451" max="8451" width="5.85546875" style="20" customWidth="1"/>
    <col min="8452" max="8452" width="15.5703125" style="20" customWidth="1"/>
    <col min="8453" max="8453" width="10.140625" style="20" bestFit="1" customWidth="1"/>
    <col min="8454" max="8454" width="8.85546875" style="20" customWidth="1"/>
    <col min="8455" max="8455" width="10.140625" style="20" customWidth="1"/>
    <col min="8456" max="8456" width="8.85546875" style="20"/>
    <col min="8457" max="8457" width="4" style="20" customWidth="1"/>
    <col min="8458" max="8458" width="1.5703125" style="20" customWidth="1"/>
    <col min="8459" max="8461" width="4" style="20" customWidth="1"/>
    <col min="8462" max="8462" width="8.85546875" style="20"/>
    <col min="8463" max="8463" width="14.42578125" style="20" bestFit="1" customWidth="1"/>
    <col min="8464" max="8464" width="8.85546875" style="20"/>
    <col min="8465" max="8465" width="10.85546875" style="20" customWidth="1"/>
    <col min="8466" max="8701" width="8.85546875" style="20"/>
    <col min="8702" max="8702" width="0.85546875" style="20" customWidth="1"/>
    <col min="8703" max="8703" width="4.42578125" style="20" bestFit="1" customWidth="1"/>
    <col min="8704" max="8704" width="32.7109375" style="20" customWidth="1"/>
    <col min="8705" max="8705" width="12.7109375" style="20" customWidth="1"/>
    <col min="8706" max="8706" width="14.85546875" style="20" customWidth="1"/>
    <col min="8707" max="8707" width="5.85546875" style="20" customWidth="1"/>
    <col min="8708" max="8708" width="15.5703125" style="20" customWidth="1"/>
    <col min="8709" max="8709" width="10.140625" style="20" bestFit="1" customWidth="1"/>
    <col min="8710" max="8710" width="8.85546875" style="20" customWidth="1"/>
    <col min="8711" max="8711" width="10.140625" style="20" customWidth="1"/>
    <col min="8712" max="8712" width="8.85546875" style="20"/>
    <col min="8713" max="8713" width="4" style="20" customWidth="1"/>
    <col min="8714" max="8714" width="1.5703125" style="20" customWidth="1"/>
    <col min="8715" max="8717" width="4" style="20" customWidth="1"/>
    <col min="8718" max="8718" width="8.85546875" style="20"/>
    <col min="8719" max="8719" width="14.42578125" style="20" bestFit="1" customWidth="1"/>
    <col min="8720" max="8720" width="8.85546875" style="20"/>
    <col min="8721" max="8721" width="10.85546875" style="20" customWidth="1"/>
    <col min="8722" max="8957" width="8.85546875" style="20"/>
    <col min="8958" max="8958" width="0.85546875" style="20" customWidth="1"/>
    <col min="8959" max="8959" width="4.42578125" style="20" bestFit="1" customWidth="1"/>
    <col min="8960" max="8960" width="32.7109375" style="20" customWidth="1"/>
    <col min="8961" max="8961" width="12.7109375" style="20" customWidth="1"/>
    <col min="8962" max="8962" width="14.85546875" style="20" customWidth="1"/>
    <col min="8963" max="8963" width="5.85546875" style="20" customWidth="1"/>
    <col min="8964" max="8964" width="15.5703125" style="20" customWidth="1"/>
    <col min="8965" max="8965" width="10.140625" style="20" bestFit="1" customWidth="1"/>
    <col min="8966" max="8966" width="8.85546875" style="20" customWidth="1"/>
    <col min="8967" max="8967" width="10.140625" style="20" customWidth="1"/>
    <col min="8968" max="8968" width="8.85546875" style="20"/>
    <col min="8969" max="8969" width="4" style="20" customWidth="1"/>
    <col min="8970" max="8970" width="1.5703125" style="20" customWidth="1"/>
    <col min="8971" max="8973" width="4" style="20" customWidth="1"/>
    <col min="8974" max="8974" width="8.85546875" style="20"/>
    <col min="8975" max="8975" width="14.42578125" style="20" bestFit="1" customWidth="1"/>
    <col min="8976" max="8976" width="8.85546875" style="20"/>
    <col min="8977" max="8977" width="10.85546875" style="20" customWidth="1"/>
    <col min="8978" max="9213" width="8.85546875" style="20"/>
    <col min="9214" max="9214" width="0.85546875" style="20" customWidth="1"/>
    <col min="9215" max="9215" width="4.42578125" style="20" bestFit="1" customWidth="1"/>
    <col min="9216" max="9216" width="32.7109375" style="20" customWidth="1"/>
    <col min="9217" max="9217" width="12.7109375" style="20" customWidth="1"/>
    <col min="9218" max="9218" width="14.85546875" style="20" customWidth="1"/>
    <col min="9219" max="9219" width="5.85546875" style="20" customWidth="1"/>
    <col min="9220" max="9220" width="15.5703125" style="20" customWidth="1"/>
    <col min="9221" max="9221" width="10.140625" style="20" bestFit="1" customWidth="1"/>
    <col min="9222" max="9222" width="8.85546875" style="20" customWidth="1"/>
    <col min="9223" max="9223" width="10.140625" style="20" customWidth="1"/>
    <col min="9224" max="9224" width="8.85546875" style="20"/>
    <col min="9225" max="9225" width="4" style="20" customWidth="1"/>
    <col min="9226" max="9226" width="1.5703125" style="20" customWidth="1"/>
    <col min="9227" max="9229" width="4" style="20" customWidth="1"/>
    <col min="9230" max="9230" width="8.85546875" style="20"/>
    <col min="9231" max="9231" width="14.42578125" style="20" bestFit="1" customWidth="1"/>
    <col min="9232" max="9232" width="8.85546875" style="20"/>
    <col min="9233" max="9233" width="10.85546875" style="20" customWidth="1"/>
    <col min="9234" max="9469" width="8.85546875" style="20"/>
    <col min="9470" max="9470" width="0.85546875" style="20" customWidth="1"/>
    <col min="9471" max="9471" width="4.42578125" style="20" bestFit="1" customWidth="1"/>
    <col min="9472" max="9472" width="32.7109375" style="20" customWidth="1"/>
    <col min="9473" max="9473" width="12.7109375" style="20" customWidth="1"/>
    <col min="9474" max="9474" width="14.85546875" style="20" customWidth="1"/>
    <col min="9475" max="9475" width="5.85546875" style="20" customWidth="1"/>
    <col min="9476" max="9476" width="15.5703125" style="20" customWidth="1"/>
    <col min="9477" max="9477" width="10.140625" style="20" bestFit="1" customWidth="1"/>
    <col min="9478" max="9478" width="8.85546875" style="20" customWidth="1"/>
    <col min="9479" max="9479" width="10.140625" style="20" customWidth="1"/>
    <col min="9480" max="9480" width="8.85546875" style="20"/>
    <col min="9481" max="9481" width="4" style="20" customWidth="1"/>
    <col min="9482" max="9482" width="1.5703125" style="20" customWidth="1"/>
    <col min="9483" max="9485" width="4" style="20" customWidth="1"/>
    <col min="9486" max="9486" width="8.85546875" style="20"/>
    <col min="9487" max="9487" width="14.42578125" style="20" bestFit="1" customWidth="1"/>
    <col min="9488" max="9488" width="8.85546875" style="20"/>
    <col min="9489" max="9489" width="10.85546875" style="20" customWidth="1"/>
    <col min="9490" max="9725" width="8.85546875" style="20"/>
    <col min="9726" max="9726" width="0.85546875" style="20" customWidth="1"/>
    <col min="9727" max="9727" width="4.42578125" style="20" bestFit="1" customWidth="1"/>
    <col min="9728" max="9728" width="32.7109375" style="20" customWidth="1"/>
    <col min="9729" max="9729" width="12.7109375" style="20" customWidth="1"/>
    <col min="9730" max="9730" width="14.85546875" style="20" customWidth="1"/>
    <col min="9731" max="9731" width="5.85546875" style="20" customWidth="1"/>
    <col min="9732" max="9732" width="15.5703125" style="20" customWidth="1"/>
    <col min="9733" max="9733" width="10.140625" style="20" bestFit="1" customWidth="1"/>
    <col min="9734" max="9734" width="8.85546875" style="20" customWidth="1"/>
    <col min="9735" max="9735" width="10.140625" style="20" customWidth="1"/>
    <col min="9736" max="9736" width="8.85546875" style="20"/>
    <col min="9737" max="9737" width="4" style="20" customWidth="1"/>
    <col min="9738" max="9738" width="1.5703125" style="20" customWidth="1"/>
    <col min="9739" max="9741" width="4" style="20" customWidth="1"/>
    <col min="9742" max="9742" width="8.85546875" style="20"/>
    <col min="9743" max="9743" width="14.42578125" style="20" bestFit="1" customWidth="1"/>
    <col min="9744" max="9744" width="8.85546875" style="20"/>
    <col min="9745" max="9745" width="10.85546875" style="20" customWidth="1"/>
    <col min="9746" max="9981" width="8.85546875" style="20"/>
    <col min="9982" max="9982" width="0.85546875" style="20" customWidth="1"/>
    <col min="9983" max="9983" width="4.42578125" style="20" bestFit="1" customWidth="1"/>
    <col min="9984" max="9984" width="32.7109375" style="20" customWidth="1"/>
    <col min="9985" max="9985" width="12.7109375" style="20" customWidth="1"/>
    <col min="9986" max="9986" width="14.85546875" style="20" customWidth="1"/>
    <col min="9987" max="9987" width="5.85546875" style="20" customWidth="1"/>
    <col min="9988" max="9988" width="15.5703125" style="20" customWidth="1"/>
    <col min="9989" max="9989" width="10.140625" style="20" bestFit="1" customWidth="1"/>
    <col min="9990" max="9990" width="8.85546875" style="20" customWidth="1"/>
    <col min="9991" max="9991" width="10.140625" style="20" customWidth="1"/>
    <col min="9992" max="9992" width="8.85546875" style="20"/>
    <col min="9993" max="9993" width="4" style="20" customWidth="1"/>
    <col min="9994" max="9994" width="1.5703125" style="20" customWidth="1"/>
    <col min="9995" max="9997" width="4" style="20" customWidth="1"/>
    <col min="9998" max="9998" width="8.85546875" style="20"/>
    <col min="9999" max="9999" width="14.42578125" style="20" bestFit="1" customWidth="1"/>
    <col min="10000" max="10000" width="8.85546875" style="20"/>
    <col min="10001" max="10001" width="10.85546875" style="20" customWidth="1"/>
    <col min="10002" max="10237" width="8.85546875" style="20"/>
    <col min="10238" max="10238" width="0.85546875" style="20" customWidth="1"/>
    <col min="10239" max="10239" width="4.42578125" style="20" bestFit="1" customWidth="1"/>
    <col min="10240" max="10240" width="32.7109375" style="20" customWidth="1"/>
    <col min="10241" max="10241" width="12.7109375" style="20" customWidth="1"/>
    <col min="10242" max="10242" width="14.85546875" style="20" customWidth="1"/>
    <col min="10243" max="10243" width="5.85546875" style="20" customWidth="1"/>
    <col min="10244" max="10244" width="15.5703125" style="20" customWidth="1"/>
    <col min="10245" max="10245" width="10.140625" style="20" bestFit="1" customWidth="1"/>
    <col min="10246" max="10246" width="8.85546875" style="20" customWidth="1"/>
    <col min="10247" max="10247" width="10.140625" style="20" customWidth="1"/>
    <col min="10248" max="10248" width="8.85546875" style="20"/>
    <col min="10249" max="10249" width="4" style="20" customWidth="1"/>
    <col min="10250" max="10250" width="1.5703125" style="20" customWidth="1"/>
    <col min="10251" max="10253" width="4" style="20" customWidth="1"/>
    <col min="10254" max="10254" width="8.85546875" style="20"/>
    <col min="10255" max="10255" width="14.42578125" style="20" bestFit="1" customWidth="1"/>
    <col min="10256" max="10256" width="8.85546875" style="20"/>
    <col min="10257" max="10257" width="10.85546875" style="20" customWidth="1"/>
    <col min="10258" max="10493" width="8.85546875" style="20"/>
    <col min="10494" max="10494" width="0.85546875" style="20" customWidth="1"/>
    <col min="10495" max="10495" width="4.42578125" style="20" bestFit="1" customWidth="1"/>
    <col min="10496" max="10496" width="32.7109375" style="20" customWidth="1"/>
    <col min="10497" max="10497" width="12.7109375" style="20" customWidth="1"/>
    <col min="10498" max="10498" width="14.85546875" style="20" customWidth="1"/>
    <col min="10499" max="10499" width="5.85546875" style="20" customWidth="1"/>
    <col min="10500" max="10500" width="15.5703125" style="20" customWidth="1"/>
    <col min="10501" max="10501" width="10.140625" style="20" bestFit="1" customWidth="1"/>
    <col min="10502" max="10502" width="8.85546875" style="20" customWidth="1"/>
    <col min="10503" max="10503" width="10.140625" style="20" customWidth="1"/>
    <col min="10504" max="10504" width="8.85546875" style="20"/>
    <col min="10505" max="10505" width="4" style="20" customWidth="1"/>
    <col min="10506" max="10506" width="1.5703125" style="20" customWidth="1"/>
    <col min="10507" max="10509" width="4" style="20" customWidth="1"/>
    <col min="10510" max="10510" width="8.85546875" style="20"/>
    <col min="10511" max="10511" width="14.42578125" style="20" bestFit="1" customWidth="1"/>
    <col min="10512" max="10512" width="8.85546875" style="20"/>
    <col min="10513" max="10513" width="10.85546875" style="20" customWidth="1"/>
    <col min="10514" max="10749" width="8.85546875" style="20"/>
    <col min="10750" max="10750" width="0.85546875" style="20" customWidth="1"/>
    <col min="10751" max="10751" width="4.42578125" style="20" bestFit="1" customWidth="1"/>
    <col min="10752" max="10752" width="32.7109375" style="20" customWidth="1"/>
    <col min="10753" max="10753" width="12.7109375" style="20" customWidth="1"/>
    <col min="10754" max="10754" width="14.85546875" style="20" customWidth="1"/>
    <col min="10755" max="10755" width="5.85546875" style="20" customWidth="1"/>
    <col min="10756" max="10756" width="15.5703125" style="20" customWidth="1"/>
    <col min="10757" max="10757" width="10.140625" style="20" bestFit="1" customWidth="1"/>
    <col min="10758" max="10758" width="8.85546875" style="20" customWidth="1"/>
    <col min="10759" max="10759" width="10.140625" style="20" customWidth="1"/>
    <col min="10760" max="10760" width="8.85546875" style="20"/>
    <col min="10761" max="10761" width="4" style="20" customWidth="1"/>
    <col min="10762" max="10762" width="1.5703125" style="20" customWidth="1"/>
    <col min="10763" max="10765" width="4" style="20" customWidth="1"/>
    <col min="10766" max="10766" width="8.85546875" style="20"/>
    <col min="10767" max="10767" width="14.42578125" style="20" bestFit="1" customWidth="1"/>
    <col min="10768" max="10768" width="8.85546875" style="20"/>
    <col min="10769" max="10769" width="10.85546875" style="20" customWidth="1"/>
    <col min="10770" max="11005" width="8.85546875" style="20"/>
    <col min="11006" max="11006" width="0.85546875" style="20" customWidth="1"/>
    <col min="11007" max="11007" width="4.42578125" style="20" bestFit="1" customWidth="1"/>
    <col min="11008" max="11008" width="32.7109375" style="20" customWidth="1"/>
    <col min="11009" max="11009" width="12.7109375" style="20" customWidth="1"/>
    <col min="11010" max="11010" width="14.85546875" style="20" customWidth="1"/>
    <col min="11011" max="11011" width="5.85546875" style="20" customWidth="1"/>
    <col min="11012" max="11012" width="15.5703125" style="20" customWidth="1"/>
    <col min="11013" max="11013" width="10.140625" style="20" bestFit="1" customWidth="1"/>
    <col min="11014" max="11014" width="8.85546875" style="20" customWidth="1"/>
    <col min="11015" max="11015" width="10.140625" style="20" customWidth="1"/>
    <col min="11016" max="11016" width="8.85546875" style="20"/>
    <col min="11017" max="11017" width="4" style="20" customWidth="1"/>
    <col min="11018" max="11018" width="1.5703125" style="20" customWidth="1"/>
    <col min="11019" max="11021" width="4" style="20" customWidth="1"/>
    <col min="11022" max="11022" width="8.85546875" style="20"/>
    <col min="11023" max="11023" width="14.42578125" style="20" bestFit="1" customWidth="1"/>
    <col min="11024" max="11024" width="8.85546875" style="20"/>
    <col min="11025" max="11025" width="10.85546875" style="20" customWidth="1"/>
    <col min="11026" max="11261" width="8.85546875" style="20"/>
    <col min="11262" max="11262" width="0.85546875" style="20" customWidth="1"/>
    <col min="11263" max="11263" width="4.42578125" style="20" bestFit="1" customWidth="1"/>
    <col min="11264" max="11264" width="32.7109375" style="20" customWidth="1"/>
    <col min="11265" max="11265" width="12.7109375" style="20" customWidth="1"/>
    <col min="11266" max="11266" width="14.85546875" style="20" customWidth="1"/>
    <col min="11267" max="11267" width="5.85546875" style="20" customWidth="1"/>
    <col min="11268" max="11268" width="15.5703125" style="20" customWidth="1"/>
    <col min="11269" max="11269" width="10.140625" style="20" bestFit="1" customWidth="1"/>
    <col min="11270" max="11270" width="8.85546875" style="20" customWidth="1"/>
    <col min="11271" max="11271" width="10.140625" style="20" customWidth="1"/>
    <col min="11272" max="11272" width="8.85546875" style="20"/>
    <col min="11273" max="11273" width="4" style="20" customWidth="1"/>
    <col min="11274" max="11274" width="1.5703125" style="20" customWidth="1"/>
    <col min="11275" max="11277" width="4" style="20" customWidth="1"/>
    <col min="11278" max="11278" width="8.85546875" style="20"/>
    <col min="11279" max="11279" width="14.42578125" style="20" bestFit="1" customWidth="1"/>
    <col min="11280" max="11280" width="8.85546875" style="20"/>
    <col min="11281" max="11281" width="10.85546875" style="20" customWidth="1"/>
    <col min="11282" max="11517" width="8.85546875" style="20"/>
    <col min="11518" max="11518" width="0.85546875" style="20" customWidth="1"/>
    <col min="11519" max="11519" width="4.42578125" style="20" bestFit="1" customWidth="1"/>
    <col min="11520" max="11520" width="32.7109375" style="20" customWidth="1"/>
    <col min="11521" max="11521" width="12.7109375" style="20" customWidth="1"/>
    <col min="11522" max="11522" width="14.85546875" style="20" customWidth="1"/>
    <col min="11523" max="11523" width="5.85546875" style="20" customWidth="1"/>
    <col min="11524" max="11524" width="15.5703125" style="20" customWidth="1"/>
    <col min="11525" max="11525" width="10.140625" style="20" bestFit="1" customWidth="1"/>
    <col min="11526" max="11526" width="8.85546875" style="20" customWidth="1"/>
    <col min="11527" max="11527" width="10.140625" style="20" customWidth="1"/>
    <col min="11528" max="11528" width="8.85546875" style="20"/>
    <col min="11529" max="11529" width="4" style="20" customWidth="1"/>
    <col min="11530" max="11530" width="1.5703125" style="20" customWidth="1"/>
    <col min="11531" max="11533" width="4" style="20" customWidth="1"/>
    <col min="11534" max="11534" width="8.85546875" style="20"/>
    <col min="11535" max="11535" width="14.42578125" style="20" bestFit="1" customWidth="1"/>
    <col min="11536" max="11536" width="8.85546875" style="20"/>
    <col min="11537" max="11537" width="10.85546875" style="20" customWidth="1"/>
    <col min="11538" max="11773" width="8.85546875" style="20"/>
    <col min="11774" max="11774" width="0.85546875" style="20" customWidth="1"/>
    <col min="11775" max="11775" width="4.42578125" style="20" bestFit="1" customWidth="1"/>
    <col min="11776" max="11776" width="32.7109375" style="20" customWidth="1"/>
    <col min="11777" max="11777" width="12.7109375" style="20" customWidth="1"/>
    <col min="11778" max="11778" width="14.85546875" style="20" customWidth="1"/>
    <col min="11779" max="11779" width="5.85546875" style="20" customWidth="1"/>
    <col min="11780" max="11780" width="15.5703125" style="20" customWidth="1"/>
    <col min="11781" max="11781" width="10.140625" style="20" bestFit="1" customWidth="1"/>
    <col min="11782" max="11782" width="8.85546875" style="20" customWidth="1"/>
    <col min="11783" max="11783" width="10.140625" style="20" customWidth="1"/>
    <col min="11784" max="11784" width="8.85546875" style="20"/>
    <col min="11785" max="11785" width="4" style="20" customWidth="1"/>
    <col min="11786" max="11786" width="1.5703125" style="20" customWidth="1"/>
    <col min="11787" max="11789" width="4" style="20" customWidth="1"/>
    <col min="11790" max="11790" width="8.85546875" style="20"/>
    <col min="11791" max="11791" width="14.42578125" style="20" bestFit="1" customWidth="1"/>
    <col min="11792" max="11792" width="8.85546875" style="20"/>
    <col min="11793" max="11793" width="10.85546875" style="20" customWidth="1"/>
    <col min="11794" max="12029" width="8.85546875" style="20"/>
    <col min="12030" max="12030" width="0.85546875" style="20" customWidth="1"/>
    <col min="12031" max="12031" width="4.42578125" style="20" bestFit="1" customWidth="1"/>
    <col min="12032" max="12032" width="32.7109375" style="20" customWidth="1"/>
    <col min="12033" max="12033" width="12.7109375" style="20" customWidth="1"/>
    <col min="12034" max="12034" width="14.85546875" style="20" customWidth="1"/>
    <col min="12035" max="12035" width="5.85546875" style="20" customWidth="1"/>
    <col min="12036" max="12036" width="15.5703125" style="20" customWidth="1"/>
    <col min="12037" max="12037" width="10.140625" style="20" bestFit="1" customWidth="1"/>
    <col min="12038" max="12038" width="8.85546875" style="20" customWidth="1"/>
    <col min="12039" max="12039" width="10.140625" style="20" customWidth="1"/>
    <col min="12040" max="12040" width="8.85546875" style="20"/>
    <col min="12041" max="12041" width="4" style="20" customWidth="1"/>
    <col min="12042" max="12042" width="1.5703125" style="20" customWidth="1"/>
    <col min="12043" max="12045" width="4" style="20" customWidth="1"/>
    <col min="12046" max="12046" width="8.85546875" style="20"/>
    <col min="12047" max="12047" width="14.42578125" style="20" bestFit="1" customWidth="1"/>
    <col min="12048" max="12048" width="8.85546875" style="20"/>
    <col min="12049" max="12049" width="10.85546875" style="20" customWidth="1"/>
    <col min="12050" max="12285" width="8.85546875" style="20"/>
    <col min="12286" max="12286" width="0.85546875" style="20" customWidth="1"/>
    <col min="12287" max="12287" width="4.42578125" style="20" bestFit="1" customWidth="1"/>
    <col min="12288" max="12288" width="32.7109375" style="20" customWidth="1"/>
    <col min="12289" max="12289" width="12.7109375" style="20" customWidth="1"/>
    <col min="12290" max="12290" width="14.85546875" style="20" customWidth="1"/>
    <col min="12291" max="12291" width="5.85546875" style="20" customWidth="1"/>
    <col min="12292" max="12292" width="15.5703125" style="20" customWidth="1"/>
    <col min="12293" max="12293" width="10.140625" style="20" bestFit="1" customWidth="1"/>
    <col min="12294" max="12294" width="8.85546875" style="20" customWidth="1"/>
    <col min="12295" max="12295" width="10.140625" style="20" customWidth="1"/>
    <col min="12296" max="12296" width="8.85546875" style="20"/>
    <col min="12297" max="12297" width="4" style="20" customWidth="1"/>
    <col min="12298" max="12298" width="1.5703125" style="20" customWidth="1"/>
    <col min="12299" max="12301" width="4" style="20" customWidth="1"/>
    <col min="12302" max="12302" width="8.85546875" style="20"/>
    <col min="12303" max="12303" width="14.42578125" style="20" bestFit="1" customWidth="1"/>
    <col min="12304" max="12304" width="8.85546875" style="20"/>
    <col min="12305" max="12305" width="10.85546875" style="20" customWidth="1"/>
    <col min="12306" max="12541" width="8.85546875" style="20"/>
    <col min="12542" max="12542" width="0.85546875" style="20" customWidth="1"/>
    <col min="12543" max="12543" width="4.42578125" style="20" bestFit="1" customWidth="1"/>
    <col min="12544" max="12544" width="32.7109375" style="20" customWidth="1"/>
    <col min="12545" max="12545" width="12.7109375" style="20" customWidth="1"/>
    <col min="12546" max="12546" width="14.85546875" style="20" customWidth="1"/>
    <col min="12547" max="12547" width="5.85546875" style="20" customWidth="1"/>
    <col min="12548" max="12548" width="15.5703125" style="20" customWidth="1"/>
    <col min="12549" max="12549" width="10.140625" style="20" bestFit="1" customWidth="1"/>
    <col min="12550" max="12550" width="8.85546875" style="20" customWidth="1"/>
    <col min="12551" max="12551" width="10.140625" style="20" customWidth="1"/>
    <col min="12552" max="12552" width="8.85546875" style="20"/>
    <col min="12553" max="12553" width="4" style="20" customWidth="1"/>
    <col min="12554" max="12554" width="1.5703125" style="20" customWidth="1"/>
    <col min="12555" max="12557" width="4" style="20" customWidth="1"/>
    <col min="12558" max="12558" width="8.85546875" style="20"/>
    <col min="12559" max="12559" width="14.42578125" style="20" bestFit="1" customWidth="1"/>
    <col min="12560" max="12560" width="8.85546875" style="20"/>
    <col min="12561" max="12561" width="10.85546875" style="20" customWidth="1"/>
    <col min="12562" max="12797" width="8.85546875" style="20"/>
    <col min="12798" max="12798" width="0.85546875" style="20" customWidth="1"/>
    <col min="12799" max="12799" width="4.42578125" style="20" bestFit="1" customWidth="1"/>
    <col min="12800" max="12800" width="32.7109375" style="20" customWidth="1"/>
    <col min="12801" max="12801" width="12.7109375" style="20" customWidth="1"/>
    <col min="12802" max="12802" width="14.85546875" style="20" customWidth="1"/>
    <col min="12803" max="12803" width="5.85546875" style="20" customWidth="1"/>
    <col min="12804" max="12804" width="15.5703125" style="20" customWidth="1"/>
    <col min="12805" max="12805" width="10.140625" style="20" bestFit="1" customWidth="1"/>
    <col min="12806" max="12806" width="8.85546875" style="20" customWidth="1"/>
    <col min="12807" max="12807" width="10.140625" style="20" customWidth="1"/>
    <col min="12808" max="12808" width="8.85546875" style="20"/>
    <col min="12809" max="12809" width="4" style="20" customWidth="1"/>
    <col min="12810" max="12810" width="1.5703125" style="20" customWidth="1"/>
    <col min="12811" max="12813" width="4" style="20" customWidth="1"/>
    <col min="12814" max="12814" width="8.85546875" style="20"/>
    <col min="12815" max="12815" width="14.42578125" style="20" bestFit="1" customWidth="1"/>
    <col min="12816" max="12816" width="8.85546875" style="20"/>
    <col min="12817" max="12817" width="10.85546875" style="20" customWidth="1"/>
    <col min="12818" max="13053" width="8.85546875" style="20"/>
    <col min="13054" max="13054" width="0.85546875" style="20" customWidth="1"/>
    <col min="13055" max="13055" width="4.42578125" style="20" bestFit="1" customWidth="1"/>
    <col min="13056" max="13056" width="32.7109375" style="20" customWidth="1"/>
    <col min="13057" max="13057" width="12.7109375" style="20" customWidth="1"/>
    <col min="13058" max="13058" width="14.85546875" style="20" customWidth="1"/>
    <col min="13059" max="13059" width="5.85546875" style="20" customWidth="1"/>
    <col min="13060" max="13060" width="15.5703125" style="20" customWidth="1"/>
    <col min="13061" max="13061" width="10.140625" style="20" bestFit="1" customWidth="1"/>
    <col min="13062" max="13062" width="8.85546875" style="20" customWidth="1"/>
    <col min="13063" max="13063" width="10.140625" style="20" customWidth="1"/>
    <col min="13064" max="13064" width="8.85546875" style="20"/>
    <col min="13065" max="13065" width="4" style="20" customWidth="1"/>
    <col min="13066" max="13066" width="1.5703125" style="20" customWidth="1"/>
    <col min="13067" max="13069" width="4" style="20" customWidth="1"/>
    <col min="13070" max="13070" width="8.85546875" style="20"/>
    <col min="13071" max="13071" width="14.42578125" style="20" bestFit="1" customWidth="1"/>
    <col min="13072" max="13072" width="8.85546875" style="20"/>
    <col min="13073" max="13073" width="10.85546875" style="20" customWidth="1"/>
    <col min="13074" max="13309" width="8.85546875" style="20"/>
    <col min="13310" max="13310" width="0.85546875" style="20" customWidth="1"/>
    <col min="13311" max="13311" width="4.42578125" style="20" bestFit="1" customWidth="1"/>
    <col min="13312" max="13312" width="32.7109375" style="20" customWidth="1"/>
    <col min="13313" max="13313" width="12.7109375" style="20" customWidth="1"/>
    <col min="13314" max="13314" width="14.85546875" style="20" customWidth="1"/>
    <col min="13315" max="13315" width="5.85546875" style="20" customWidth="1"/>
    <col min="13316" max="13316" width="15.5703125" style="20" customWidth="1"/>
    <col min="13317" max="13317" width="10.140625" style="20" bestFit="1" customWidth="1"/>
    <col min="13318" max="13318" width="8.85546875" style="20" customWidth="1"/>
    <col min="13319" max="13319" width="10.140625" style="20" customWidth="1"/>
    <col min="13320" max="13320" width="8.85546875" style="20"/>
    <col min="13321" max="13321" width="4" style="20" customWidth="1"/>
    <col min="13322" max="13322" width="1.5703125" style="20" customWidth="1"/>
    <col min="13323" max="13325" width="4" style="20" customWidth="1"/>
    <col min="13326" max="13326" width="8.85546875" style="20"/>
    <col min="13327" max="13327" width="14.42578125" style="20" bestFit="1" customWidth="1"/>
    <col min="13328" max="13328" width="8.85546875" style="20"/>
    <col min="13329" max="13329" width="10.85546875" style="20" customWidth="1"/>
    <col min="13330" max="13565" width="8.85546875" style="20"/>
    <col min="13566" max="13566" width="0.85546875" style="20" customWidth="1"/>
    <col min="13567" max="13567" width="4.42578125" style="20" bestFit="1" customWidth="1"/>
    <col min="13568" max="13568" width="32.7109375" style="20" customWidth="1"/>
    <col min="13569" max="13569" width="12.7109375" style="20" customWidth="1"/>
    <col min="13570" max="13570" width="14.85546875" style="20" customWidth="1"/>
    <col min="13571" max="13571" width="5.85546875" style="20" customWidth="1"/>
    <col min="13572" max="13572" width="15.5703125" style="20" customWidth="1"/>
    <col min="13573" max="13573" width="10.140625" style="20" bestFit="1" customWidth="1"/>
    <col min="13574" max="13574" width="8.85546875" style="20" customWidth="1"/>
    <col min="13575" max="13575" width="10.140625" style="20" customWidth="1"/>
    <col min="13576" max="13576" width="8.85546875" style="20"/>
    <col min="13577" max="13577" width="4" style="20" customWidth="1"/>
    <col min="13578" max="13578" width="1.5703125" style="20" customWidth="1"/>
    <col min="13579" max="13581" width="4" style="20" customWidth="1"/>
    <col min="13582" max="13582" width="8.85546875" style="20"/>
    <col min="13583" max="13583" width="14.42578125" style="20" bestFit="1" customWidth="1"/>
    <col min="13584" max="13584" width="8.85546875" style="20"/>
    <col min="13585" max="13585" width="10.85546875" style="20" customWidth="1"/>
    <col min="13586" max="13821" width="8.85546875" style="20"/>
    <col min="13822" max="13822" width="0.85546875" style="20" customWidth="1"/>
    <col min="13823" max="13823" width="4.42578125" style="20" bestFit="1" customWidth="1"/>
    <col min="13824" max="13824" width="32.7109375" style="20" customWidth="1"/>
    <col min="13825" max="13825" width="12.7109375" style="20" customWidth="1"/>
    <col min="13826" max="13826" width="14.85546875" style="20" customWidth="1"/>
    <col min="13827" max="13827" width="5.85546875" style="20" customWidth="1"/>
    <col min="13828" max="13828" width="15.5703125" style="20" customWidth="1"/>
    <col min="13829" max="13829" width="10.140625" style="20" bestFit="1" customWidth="1"/>
    <col min="13830" max="13830" width="8.85546875" style="20" customWidth="1"/>
    <col min="13831" max="13831" width="10.140625" style="20" customWidth="1"/>
    <col min="13832" max="13832" width="8.85546875" style="20"/>
    <col min="13833" max="13833" width="4" style="20" customWidth="1"/>
    <col min="13834" max="13834" width="1.5703125" style="20" customWidth="1"/>
    <col min="13835" max="13837" width="4" style="20" customWidth="1"/>
    <col min="13838" max="13838" width="8.85546875" style="20"/>
    <col min="13839" max="13839" width="14.42578125" style="20" bestFit="1" customWidth="1"/>
    <col min="13840" max="13840" width="8.85546875" style="20"/>
    <col min="13841" max="13841" width="10.85546875" style="20" customWidth="1"/>
    <col min="13842" max="14077" width="8.85546875" style="20"/>
    <col min="14078" max="14078" width="0.85546875" style="20" customWidth="1"/>
    <col min="14079" max="14079" width="4.42578125" style="20" bestFit="1" customWidth="1"/>
    <col min="14080" max="14080" width="32.7109375" style="20" customWidth="1"/>
    <col min="14081" max="14081" width="12.7109375" style="20" customWidth="1"/>
    <col min="14082" max="14082" width="14.85546875" style="20" customWidth="1"/>
    <col min="14083" max="14083" width="5.85546875" style="20" customWidth="1"/>
    <col min="14084" max="14084" width="15.5703125" style="20" customWidth="1"/>
    <col min="14085" max="14085" width="10.140625" style="20" bestFit="1" customWidth="1"/>
    <col min="14086" max="14086" width="8.85546875" style="20" customWidth="1"/>
    <col min="14087" max="14087" width="10.140625" style="20" customWidth="1"/>
    <col min="14088" max="14088" width="8.85546875" style="20"/>
    <col min="14089" max="14089" width="4" style="20" customWidth="1"/>
    <col min="14090" max="14090" width="1.5703125" style="20" customWidth="1"/>
    <col min="14091" max="14093" width="4" style="20" customWidth="1"/>
    <col min="14094" max="14094" width="8.85546875" style="20"/>
    <col min="14095" max="14095" width="14.42578125" style="20" bestFit="1" customWidth="1"/>
    <col min="14096" max="14096" width="8.85546875" style="20"/>
    <col min="14097" max="14097" width="10.85546875" style="20" customWidth="1"/>
    <col min="14098" max="14333" width="8.85546875" style="20"/>
    <col min="14334" max="14334" width="0.85546875" style="20" customWidth="1"/>
    <col min="14335" max="14335" width="4.42578125" style="20" bestFit="1" customWidth="1"/>
    <col min="14336" max="14336" width="32.7109375" style="20" customWidth="1"/>
    <col min="14337" max="14337" width="12.7109375" style="20" customWidth="1"/>
    <col min="14338" max="14338" width="14.85546875" style="20" customWidth="1"/>
    <col min="14339" max="14339" width="5.85546875" style="20" customWidth="1"/>
    <col min="14340" max="14340" width="15.5703125" style="20" customWidth="1"/>
    <col min="14341" max="14341" width="10.140625" style="20" bestFit="1" customWidth="1"/>
    <col min="14342" max="14342" width="8.85546875" style="20" customWidth="1"/>
    <col min="14343" max="14343" width="10.140625" style="20" customWidth="1"/>
    <col min="14344" max="14344" width="8.85546875" style="20"/>
    <col min="14345" max="14345" width="4" style="20" customWidth="1"/>
    <col min="14346" max="14346" width="1.5703125" style="20" customWidth="1"/>
    <col min="14347" max="14349" width="4" style="20" customWidth="1"/>
    <col min="14350" max="14350" width="8.85546875" style="20"/>
    <col min="14351" max="14351" width="14.42578125" style="20" bestFit="1" customWidth="1"/>
    <col min="14352" max="14352" width="8.85546875" style="20"/>
    <col min="14353" max="14353" width="10.85546875" style="20" customWidth="1"/>
    <col min="14354" max="14589" width="8.85546875" style="20"/>
    <col min="14590" max="14590" width="0.85546875" style="20" customWidth="1"/>
    <col min="14591" max="14591" width="4.42578125" style="20" bestFit="1" customWidth="1"/>
    <col min="14592" max="14592" width="32.7109375" style="20" customWidth="1"/>
    <col min="14593" max="14593" width="12.7109375" style="20" customWidth="1"/>
    <col min="14594" max="14594" width="14.85546875" style="20" customWidth="1"/>
    <col min="14595" max="14595" width="5.85546875" style="20" customWidth="1"/>
    <col min="14596" max="14596" width="15.5703125" style="20" customWidth="1"/>
    <col min="14597" max="14597" width="10.140625" style="20" bestFit="1" customWidth="1"/>
    <col min="14598" max="14598" width="8.85546875" style="20" customWidth="1"/>
    <col min="14599" max="14599" width="10.140625" style="20" customWidth="1"/>
    <col min="14600" max="14600" width="8.85546875" style="20"/>
    <col min="14601" max="14601" width="4" style="20" customWidth="1"/>
    <col min="14602" max="14602" width="1.5703125" style="20" customWidth="1"/>
    <col min="14603" max="14605" width="4" style="20" customWidth="1"/>
    <col min="14606" max="14606" width="8.85546875" style="20"/>
    <col min="14607" max="14607" width="14.42578125" style="20" bestFit="1" customWidth="1"/>
    <col min="14608" max="14608" width="8.85546875" style="20"/>
    <col min="14609" max="14609" width="10.85546875" style="20" customWidth="1"/>
    <col min="14610" max="14845" width="8.85546875" style="20"/>
    <col min="14846" max="14846" width="0.85546875" style="20" customWidth="1"/>
    <col min="14847" max="14847" width="4.42578125" style="20" bestFit="1" customWidth="1"/>
    <col min="14848" max="14848" width="32.7109375" style="20" customWidth="1"/>
    <col min="14849" max="14849" width="12.7109375" style="20" customWidth="1"/>
    <col min="14850" max="14850" width="14.85546875" style="20" customWidth="1"/>
    <col min="14851" max="14851" width="5.85546875" style="20" customWidth="1"/>
    <col min="14852" max="14852" width="15.5703125" style="20" customWidth="1"/>
    <col min="14853" max="14853" width="10.140625" style="20" bestFit="1" customWidth="1"/>
    <col min="14854" max="14854" width="8.85546875" style="20" customWidth="1"/>
    <col min="14855" max="14855" width="10.140625" style="20" customWidth="1"/>
    <col min="14856" max="14856" width="8.85546875" style="20"/>
    <col min="14857" max="14857" width="4" style="20" customWidth="1"/>
    <col min="14858" max="14858" width="1.5703125" style="20" customWidth="1"/>
    <col min="14859" max="14861" width="4" style="20" customWidth="1"/>
    <col min="14862" max="14862" width="8.85546875" style="20"/>
    <col min="14863" max="14863" width="14.42578125" style="20" bestFit="1" customWidth="1"/>
    <col min="14864" max="14864" width="8.85546875" style="20"/>
    <col min="14865" max="14865" width="10.85546875" style="20" customWidth="1"/>
    <col min="14866" max="15101" width="8.85546875" style="20"/>
    <col min="15102" max="15102" width="0.85546875" style="20" customWidth="1"/>
    <col min="15103" max="15103" width="4.42578125" style="20" bestFit="1" customWidth="1"/>
    <col min="15104" max="15104" width="32.7109375" style="20" customWidth="1"/>
    <col min="15105" max="15105" width="12.7109375" style="20" customWidth="1"/>
    <col min="15106" max="15106" width="14.85546875" style="20" customWidth="1"/>
    <col min="15107" max="15107" width="5.85546875" style="20" customWidth="1"/>
    <col min="15108" max="15108" width="15.5703125" style="20" customWidth="1"/>
    <col min="15109" max="15109" width="10.140625" style="20" bestFit="1" customWidth="1"/>
    <col min="15110" max="15110" width="8.85546875" style="20" customWidth="1"/>
    <col min="15111" max="15111" width="10.140625" style="20" customWidth="1"/>
    <col min="15112" max="15112" width="8.85546875" style="20"/>
    <col min="15113" max="15113" width="4" style="20" customWidth="1"/>
    <col min="15114" max="15114" width="1.5703125" style="20" customWidth="1"/>
    <col min="15115" max="15117" width="4" style="20" customWidth="1"/>
    <col min="15118" max="15118" width="8.85546875" style="20"/>
    <col min="15119" max="15119" width="14.42578125" style="20" bestFit="1" customWidth="1"/>
    <col min="15120" max="15120" width="8.85546875" style="20"/>
    <col min="15121" max="15121" width="10.85546875" style="20" customWidth="1"/>
    <col min="15122" max="15357" width="8.85546875" style="20"/>
    <col min="15358" max="15358" width="0.85546875" style="20" customWidth="1"/>
    <col min="15359" max="15359" width="4.42578125" style="20" bestFit="1" customWidth="1"/>
    <col min="15360" max="15360" width="32.7109375" style="20" customWidth="1"/>
    <col min="15361" max="15361" width="12.7109375" style="20" customWidth="1"/>
    <col min="15362" max="15362" width="14.85546875" style="20" customWidth="1"/>
    <col min="15363" max="15363" width="5.85546875" style="20" customWidth="1"/>
    <col min="15364" max="15364" width="15.5703125" style="20" customWidth="1"/>
    <col min="15365" max="15365" width="10.140625" style="20" bestFit="1" customWidth="1"/>
    <col min="15366" max="15366" width="8.85546875" style="20" customWidth="1"/>
    <col min="15367" max="15367" width="10.140625" style="20" customWidth="1"/>
    <col min="15368" max="15368" width="8.85546875" style="20"/>
    <col min="15369" max="15369" width="4" style="20" customWidth="1"/>
    <col min="15370" max="15370" width="1.5703125" style="20" customWidth="1"/>
    <col min="15371" max="15373" width="4" style="20" customWidth="1"/>
    <col min="15374" max="15374" width="8.85546875" style="20"/>
    <col min="15375" max="15375" width="14.42578125" style="20" bestFit="1" customWidth="1"/>
    <col min="15376" max="15376" width="8.85546875" style="20"/>
    <col min="15377" max="15377" width="10.85546875" style="20" customWidth="1"/>
    <col min="15378" max="15613" width="8.85546875" style="20"/>
    <col min="15614" max="15614" width="0.85546875" style="20" customWidth="1"/>
    <col min="15615" max="15615" width="4.42578125" style="20" bestFit="1" customWidth="1"/>
    <col min="15616" max="15616" width="32.7109375" style="20" customWidth="1"/>
    <col min="15617" max="15617" width="12.7109375" style="20" customWidth="1"/>
    <col min="15618" max="15618" width="14.85546875" style="20" customWidth="1"/>
    <col min="15619" max="15619" width="5.85546875" style="20" customWidth="1"/>
    <col min="15620" max="15620" width="15.5703125" style="20" customWidth="1"/>
    <col min="15621" max="15621" width="10.140625" style="20" bestFit="1" customWidth="1"/>
    <col min="15622" max="15622" width="8.85546875" style="20" customWidth="1"/>
    <col min="15623" max="15623" width="10.140625" style="20" customWidth="1"/>
    <col min="15624" max="15624" width="8.85546875" style="20"/>
    <col min="15625" max="15625" width="4" style="20" customWidth="1"/>
    <col min="15626" max="15626" width="1.5703125" style="20" customWidth="1"/>
    <col min="15627" max="15629" width="4" style="20" customWidth="1"/>
    <col min="15630" max="15630" width="8.85546875" style="20"/>
    <col min="15631" max="15631" width="14.42578125" style="20" bestFit="1" customWidth="1"/>
    <col min="15632" max="15632" width="8.85546875" style="20"/>
    <col min="15633" max="15633" width="10.85546875" style="20" customWidth="1"/>
    <col min="15634" max="15869" width="8.85546875" style="20"/>
    <col min="15870" max="15870" width="0.85546875" style="20" customWidth="1"/>
    <col min="15871" max="15871" width="4.42578125" style="20" bestFit="1" customWidth="1"/>
    <col min="15872" max="15872" width="32.7109375" style="20" customWidth="1"/>
    <col min="15873" max="15873" width="12.7109375" style="20" customWidth="1"/>
    <col min="15874" max="15874" width="14.85546875" style="20" customWidth="1"/>
    <col min="15875" max="15875" width="5.85546875" style="20" customWidth="1"/>
    <col min="15876" max="15876" width="15.5703125" style="20" customWidth="1"/>
    <col min="15877" max="15877" width="10.140625" style="20" bestFit="1" customWidth="1"/>
    <col min="15878" max="15878" width="8.85546875" style="20" customWidth="1"/>
    <col min="15879" max="15879" width="10.140625" style="20" customWidth="1"/>
    <col min="15880" max="15880" width="8.85546875" style="20"/>
    <col min="15881" max="15881" width="4" style="20" customWidth="1"/>
    <col min="15882" max="15882" width="1.5703125" style="20" customWidth="1"/>
    <col min="15883" max="15885" width="4" style="20" customWidth="1"/>
    <col min="15886" max="15886" width="8.85546875" style="20"/>
    <col min="15887" max="15887" width="14.42578125" style="20" bestFit="1" customWidth="1"/>
    <col min="15888" max="15888" width="8.85546875" style="20"/>
    <col min="15889" max="15889" width="10.85546875" style="20" customWidth="1"/>
    <col min="15890" max="16125" width="8.85546875" style="20"/>
    <col min="16126" max="16126" width="0.85546875" style="20" customWidth="1"/>
    <col min="16127" max="16127" width="4.42578125" style="20" bestFit="1" customWidth="1"/>
    <col min="16128" max="16128" width="32.7109375" style="20" customWidth="1"/>
    <col min="16129" max="16129" width="12.7109375" style="20" customWidth="1"/>
    <col min="16130" max="16130" width="14.85546875" style="20" customWidth="1"/>
    <col min="16131" max="16131" width="5.85546875" style="20" customWidth="1"/>
    <col min="16132" max="16132" width="15.5703125" style="20" customWidth="1"/>
    <col min="16133" max="16133" width="10.140625" style="20" bestFit="1" customWidth="1"/>
    <col min="16134" max="16134" width="8.85546875" style="20" customWidth="1"/>
    <col min="16135" max="16135" width="10.140625" style="20" customWidth="1"/>
    <col min="16136" max="16136" width="8.85546875" style="20"/>
    <col min="16137" max="16137" width="4" style="20" customWidth="1"/>
    <col min="16138" max="16138" width="1.5703125" style="20" customWidth="1"/>
    <col min="16139" max="16141" width="4" style="20" customWidth="1"/>
    <col min="16142" max="16142" width="8.85546875" style="20"/>
    <col min="16143" max="16143" width="14.42578125" style="20" bestFit="1" customWidth="1"/>
    <col min="16144" max="16144" width="8.85546875" style="20"/>
    <col min="16145" max="16145" width="10.85546875" style="20" customWidth="1"/>
    <col min="16146" max="16384" width="8.85546875" style="20"/>
  </cols>
  <sheetData>
    <row r="1" spans="2:16" ht="27" customHeight="1" x14ac:dyDescent="0.25">
      <c r="C1" s="20" t="s">
        <v>71</v>
      </c>
      <c r="D1" s="193"/>
      <c r="E1" s="193"/>
      <c r="F1" s="193"/>
      <c r="G1" s="193"/>
      <c r="H1" s="193"/>
      <c r="J1" s="194" t="s">
        <v>72</v>
      </c>
      <c r="K1" s="194"/>
      <c r="L1" s="194"/>
      <c r="M1" s="194"/>
      <c r="N1" s="194"/>
    </row>
    <row r="2" spans="2:16" ht="19.5" customHeight="1" x14ac:dyDescent="0.25">
      <c r="D2" s="195" t="s">
        <v>73</v>
      </c>
      <c r="E2" s="195"/>
      <c r="F2" s="195"/>
      <c r="G2" s="195"/>
      <c r="H2" s="195"/>
      <c r="J2" s="196" t="s">
        <v>74</v>
      </c>
      <c r="K2" s="197"/>
      <c r="L2" s="197"/>
      <c r="M2" s="197"/>
      <c r="N2" s="198"/>
      <c r="P2" s="22"/>
    </row>
    <row r="3" spans="2:16" ht="19.5" customHeight="1" x14ac:dyDescent="0.25">
      <c r="D3" s="195"/>
      <c r="E3" s="195"/>
      <c r="F3" s="195"/>
      <c r="G3" s="195"/>
      <c r="H3" s="195"/>
      <c r="I3" s="23"/>
      <c r="J3" s="199" t="s">
        <v>75</v>
      </c>
      <c r="K3" s="200"/>
      <c r="L3" s="201">
        <v>40555</v>
      </c>
      <c r="M3" s="202"/>
      <c r="N3" s="203"/>
    </row>
    <row r="4" spans="2:16" ht="45" x14ac:dyDescent="0.25">
      <c r="B4" s="24" t="s">
        <v>76</v>
      </c>
      <c r="C4" s="24" t="s">
        <v>1</v>
      </c>
      <c r="D4" s="156" t="s">
        <v>95</v>
      </c>
      <c r="E4" s="156" t="s">
        <v>86</v>
      </c>
      <c r="F4" s="156" t="s">
        <v>94</v>
      </c>
      <c r="G4" s="156" t="s">
        <v>85</v>
      </c>
      <c r="H4" s="158" t="s">
        <v>77</v>
      </c>
      <c r="J4" s="158" t="s">
        <v>78</v>
      </c>
      <c r="K4" s="191" t="s">
        <v>79</v>
      </c>
      <c r="L4" s="191"/>
      <c r="M4" s="192" t="s">
        <v>80</v>
      </c>
      <c r="N4" s="192"/>
    </row>
    <row r="5" spans="2:16" x14ac:dyDescent="0.25">
      <c r="D5" s="163" t="s">
        <v>82</v>
      </c>
      <c r="E5" s="163" t="s">
        <v>82</v>
      </c>
      <c r="F5" s="163" t="s">
        <v>82</v>
      </c>
      <c r="G5" s="163" t="s">
        <v>82</v>
      </c>
      <c r="H5" s="157" t="s">
        <v>81</v>
      </c>
      <c r="J5" s="157" t="s">
        <v>83</v>
      </c>
      <c r="K5" s="157" t="s">
        <v>81</v>
      </c>
      <c r="L5" s="157" t="s">
        <v>83</v>
      </c>
      <c r="M5" s="157" t="s">
        <v>82</v>
      </c>
      <c r="N5" s="157" t="s">
        <v>83</v>
      </c>
    </row>
    <row r="6" spans="2:16" x14ac:dyDescent="0.25">
      <c r="D6" s="164"/>
      <c r="E6" s="164"/>
      <c r="F6" s="164"/>
      <c r="G6" s="164"/>
      <c r="H6" s="150"/>
      <c r="J6" s="170"/>
      <c r="K6" s="148"/>
      <c r="L6" s="149"/>
      <c r="M6" s="147"/>
      <c r="N6" s="149"/>
    </row>
    <row r="7" spans="2:16" ht="15" x14ac:dyDescent="0.25">
      <c r="B7" s="25">
        <v>1</v>
      </c>
      <c r="C7" s="26" t="s">
        <v>238</v>
      </c>
      <c r="D7" s="164"/>
      <c r="E7" s="164"/>
      <c r="F7" s="164"/>
      <c r="G7" s="164"/>
      <c r="H7" s="150"/>
      <c r="J7" s="170"/>
      <c r="K7" s="148"/>
      <c r="L7" s="149"/>
      <c r="M7" s="147"/>
      <c r="N7" s="149"/>
    </row>
    <row r="8" spans="2:16" ht="15" x14ac:dyDescent="0.25">
      <c r="B8" s="27">
        <f t="shared" ref="B8:B14" si="0">B7+0.1</f>
        <v>1.1000000000000001</v>
      </c>
      <c r="C8" s="28" t="s">
        <v>87</v>
      </c>
      <c r="D8" s="165">
        <v>4</v>
      </c>
      <c r="E8" s="165">
        <v>16</v>
      </c>
      <c r="F8" s="165">
        <v>16</v>
      </c>
      <c r="G8" s="154">
        <f>SUM(D8:F8)</f>
        <v>36</v>
      </c>
      <c r="H8" s="159">
        <f t="shared" ref="H8:H14" si="1">($D$52*D8)+(E8*$D$51)+(F8*$D$53)</f>
        <v>4600</v>
      </c>
      <c r="J8" s="175"/>
      <c r="K8" s="176"/>
      <c r="L8" s="174" t="str">
        <f>IF(ISBLANK($K8),"",$K8/$H8)</f>
        <v/>
      </c>
      <c r="M8" s="155"/>
      <c r="N8" s="174" t="str">
        <f>IF(ISBLANK($M8),"",$M8/$G8)</f>
        <v/>
      </c>
    </row>
    <row r="9" spans="2:16" ht="15" x14ac:dyDescent="0.25">
      <c r="B9" s="27">
        <f t="shared" si="0"/>
        <v>1.2000000000000002</v>
      </c>
      <c r="C9" s="28" t="s">
        <v>88</v>
      </c>
      <c r="D9" s="165">
        <v>6</v>
      </c>
      <c r="E9" s="165">
        <v>16</v>
      </c>
      <c r="F9" s="165">
        <v>16</v>
      </c>
      <c r="G9" s="154">
        <f t="shared" ref="G9:G14" si="2">SUM(D9:F9)</f>
        <v>38</v>
      </c>
      <c r="H9" s="159">
        <f t="shared" si="1"/>
        <v>4900</v>
      </c>
      <c r="J9" s="175"/>
      <c r="K9" s="176"/>
      <c r="L9" s="174" t="str">
        <f>IF(ISBLANK($K9),"",$K9/$H9)</f>
        <v/>
      </c>
      <c r="M9" s="155"/>
      <c r="N9" s="174" t="str">
        <f t="shared" ref="N9:N14" si="3">IF(ISBLANK($M9),"",$M9/$G9)</f>
        <v/>
      </c>
    </row>
    <row r="10" spans="2:16" ht="15" x14ac:dyDescent="0.25">
      <c r="B10" s="27">
        <f t="shared" si="0"/>
        <v>1.3000000000000003</v>
      </c>
      <c r="C10" s="28" t="s">
        <v>90</v>
      </c>
      <c r="D10" s="165">
        <v>6</v>
      </c>
      <c r="E10" s="165">
        <v>16</v>
      </c>
      <c r="F10" s="165">
        <v>16</v>
      </c>
      <c r="G10" s="154">
        <f t="shared" si="2"/>
        <v>38</v>
      </c>
      <c r="H10" s="159">
        <f t="shared" si="1"/>
        <v>4900</v>
      </c>
      <c r="J10" s="175"/>
      <c r="K10" s="176"/>
      <c r="L10" s="174" t="str">
        <f>IF(ISBLANK($K10),"",$K10/$H10)</f>
        <v/>
      </c>
      <c r="M10" s="155"/>
      <c r="N10" s="174" t="str">
        <f t="shared" si="3"/>
        <v/>
      </c>
    </row>
    <row r="11" spans="2:16" ht="15" x14ac:dyDescent="0.25">
      <c r="B11" s="27">
        <f t="shared" si="0"/>
        <v>1.4000000000000004</v>
      </c>
      <c r="C11" s="28" t="s">
        <v>93</v>
      </c>
      <c r="D11" s="165">
        <v>2</v>
      </c>
      <c r="E11" s="165">
        <v>8</v>
      </c>
      <c r="F11" s="165">
        <v>4</v>
      </c>
      <c r="G11" s="154">
        <f t="shared" si="2"/>
        <v>14</v>
      </c>
      <c r="H11" s="159">
        <f t="shared" si="1"/>
        <v>1900</v>
      </c>
      <c r="J11" s="175"/>
      <c r="K11" s="176"/>
      <c r="L11" s="174" t="str">
        <f>IF(ISBLANK($K11),"",$K11/$H11)</f>
        <v/>
      </c>
      <c r="M11" s="155"/>
      <c r="N11" s="174" t="str">
        <f t="shared" si="3"/>
        <v/>
      </c>
    </row>
    <row r="12" spans="2:16" ht="15" x14ac:dyDescent="0.25">
      <c r="B12" s="27">
        <f t="shared" si="0"/>
        <v>1.5000000000000004</v>
      </c>
      <c r="C12" s="28" t="s">
        <v>91</v>
      </c>
      <c r="D12" s="165"/>
      <c r="E12" s="165">
        <v>16</v>
      </c>
      <c r="F12" s="165"/>
      <c r="G12" s="154">
        <f t="shared" si="2"/>
        <v>16</v>
      </c>
      <c r="H12" s="159">
        <f t="shared" si="1"/>
        <v>2400</v>
      </c>
      <c r="J12" s="175"/>
      <c r="K12" s="176"/>
      <c r="L12" s="174"/>
      <c r="M12" s="155"/>
      <c r="N12" s="174" t="str">
        <f t="shared" si="3"/>
        <v/>
      </c>
    </row>
    <row r="13" spans="2:16" ht="15" x14ac:dyDescent="0.25">
      <c r="B13" s="27">
        <f t="shared" si="0"/>
        <v>1.6000000000000005</v>
      </c>
      <c r="C13" s="28" t="s">
        <v>96</v>
      </c>
      <c r="D13" s="165">
        <v>4</v>
      </c>
      <c r="E13" s="165">
        <v>8</v>
      </c>
      <c r="F13" s="165">
        <v>8</v>
      </c>
      <c r="G13" s="154">
        <f t="shared" si="2"/>
        <v>20</v>
      </c>
      <c r="H13" s="159">
        <f t="shared" si="1"/>
        <v>2600</v>
      </c>
      <c r="J13" s="175"/>
      <c r="K13" s="176"/>
      <c r="L13" s="174"/>
      <c r="M13" s="155"/>
      <c r="N13" s="174" t="str">
        <f t="shared" si="3"/>
        <v/>
      </c>
    </row>
    <row r="14" spans="2:16" ht="15" x14ac:dyDescent="0.25">
      <c r="B14" s="27">
        <f t="shared" si="0"/>
        <v>1.7000000000000006</v>
      </c>
      <c r="C14" s="28" t="s">
        <v>237</v>
      </c>
      <c r="D14" s="165"/>
      <c r="E14" s="165"/>
      <c r="F14" s="165"/>
      <c r="G14" s="154">
        <f t="shared" si="2"/>
        <v>0</v>
      </c>
      <c r="H14" s="159">
        <f t="shared" si="1"/>
        <v>0</v>
      </c>
      <c r="J14" s="175"/>
      <c r="K14" s="176"/>
      <c r="L14" s="174"/>
      <c r="M14" s="155"/>
      <c r="N14" s="174" t="str">
        <f t="shared" si="3"/>
        <v/>
      </c>
    </row>
    <row r="15" spans="2:16" x14ac:dyDescent="0.25">
      <c r="B15" s="27"/>
      <c r="C15" s="30"/>
      <c r="D15" s="166"/>
      <c r="E15" s="166"/>
      <c r="F15" s="166"/>
      <c r="G15" s="166"/>
      <c r="H15" s="151"/>
      <c r="J15" s="170"/>
      <c r="K15" s="148"/>
      <c r="L15" s="149" t="str">
        <f>IF(ISBLANK($K15),"",$K15/$H15)</f>
        <v/>
      </c>
      <c r="M15" s="147"/>
      <c r="N15" s="149" t="str">
        <f>IF(ISBLANK($M15),"",$M15/$D15)</f>
        <v/>
      </c>
    </row>
    <row r="16" spans="2:16" ht="15" x14ac:dyDescent="0.25">
      <c r="B16" s="29"/>
      <c r="C16" s="24" t="s">
        <v>85</v>
      </c>
      <c r="D16" s="167">
        <f>SUM(D6:D15)</f>
        <v>22</v>
      </c>
      <c r="E16" s="167">
        <f>SUM(E6:E15)</f>
        <v>80</v>
      </c>
      <c r="F16" s="167">
        <f>SUM(F6:F15)</f>
        <v>60</v>
      </c>
      <c r="G16" s="167">
        <f>SUM(G6:G15)</f>
        <v>162</v>
      </c>
      <c r="H16" s="153">
        <f>SUM(H6:H15)</f>
        <v>21300</v>
      </c>
      <c r="J16" s="174" t="e">
        <f>AVERAGE(J6:J15)</f>
        <v>#DIV/0!</v>
      </c>
      <c r="K16" s="159">
        <f>SUM(K6:K15)</f>
        <v>0</v>
      </c>
      <c r="L16" s="174">
        <f>K16/H16</f>
        <v>0</v>
      </c>
      <c r="M16" s="152">
        <f>SUM(M6:M15)</f>
        <v>0</v>
      </c>
      <c r="N16" s="174">
        <f>M16/G16</f>
        <v>0</v>
      </c>
    </row>
    <row r="17" spans="2:15" s="28" customFormat="1" ht="15" x14ac:dyDescent="0.25">
      <c r="B17" s="145"/>
      <c r="C17" s="146"/>
      <c r="D17" s="168"/>
      <c r="E17" s="168"/>
      <c r="F17" s="168"/>
      <c r="G17" s="168"/>
      <c r="H17" s="148"/>
      <c r="I17" s="147"/>
      <c r="J17" s="147"/>
      <c r="K17" s="148"/>
      <c r="L17" s="149"/>
      <c r="M17" s="147"/>
      <c r="N17" s="149"/>
      <c r="O17" s="147"/>
    </row>
    <row r="18" spans="2:15" ht="45" x14ac:dyDescent="0.25">
      <c r="B18" s="24" t="s">
        <v>76</v>
      </c>
      <c r="C18" s="24" t="s">
        <v>1</v>
      </c>
      <c r="D18" s="156" t="s">
        <v>98</v>
      </c>
      <c r="E18" s="156" t="s">
        <v>244</v>
      </c>
      <c r="F18" s="156" t="s">
        <v>97</v>
      </c>
      <c r="G18" s="156" t="s">
        <v>245</v>
      </c>
      <c r="H18" s="158" t="s">
        <v>77</v>
      </c>
      <c r="J18" s="158" t="s">
        <v>78</v>
      </c>
      <c r="K18" s="191" t="s">
        <v>79</v>
      </c>
      <c r="L18" s="191"/>
      <c r="M18" s="192" t="s">
        <v>80</v>
      </c>
      <c r="N18" s="192"/>
    </row>
    <row r="19" spans="2:15" x14ac:dyDescent="0.25">
      <c r="B19" s="27"/>
      <c r="C19" s="28"/>
      <c r="D19" s="163" t="s">
        <v>81</v>
      </c>
      <c r="E19" s="163" t="s">
        <v>82</v>
      </c>
      <c r="F19" s="163" t="s">
        <v>81</v>
      </c>
      <c r="G19" s="163" t="s">
        <v>82</v>
      </c>
      <c r="H19" s="160" t="s">
        <v>81</v>
      </c>
      <c r="J19" s="171" t="s">
        <v>83</v>
      </c>
      <c r="K19" s="157" t="s">
        <v>81</v>
      </c>
      <c r="L19" s="157" t="s">
        <v>83</v>
      </c>
      <c r="M19" s="157" t="s">
        <v>82</v>
      </c>
      <c r="N19" s="157" t="s">
        <v>83</v>
      </c>
    </row>
    <row r="20" spans="2:15" ht="15" x14ac:dyDescent="0.25">
      <c r="B20" s="25">
        <v>2</v>
      </c>
      <c r="C20" s="26" t="s">
        <v>87</v>
      </c>
      <c r="D20" s="164"/>
      <c r="E20" s="164"/>
      <c r="F20" s="164"/>
      <c r="G20" s="164"/>
      <c r="H20" s="32"/>
      <c r="J20" s="149"/>
      <c r="K20" s="148"/>
      <c r="L20" s="149" t="str">
        <f t="shared" ref="L20:L33" si="4">IF(ISBLANK($K20),"",$K20/$H20)</f>
        <v/>
      </c>
      <c r="M20" s="147"/>
      <c r="N20" s="149" t="str">
        <f t="shared" ref="N20:N33" si="5">IF(ISBLANK($M20),"",$M20/$D20)</f>
        <v/>
      </c>
    </row>
    <row r="21" spans="2:15" ht="15" x14ac:dyDescent="0.25">
      <c r="B21" s="27">
        <f>B20+0.1</f>
        <v>2.1</v>
      </c>
      <c r="C21" s="28" t="s">
        <v>259</v>
      </c>
      <c r="D21" s="172">
        <f>12*150</f>
        <v>1800</v>
      </c>
      <c r="E21" s="177">
        <v>0</v>
      </c>
      <c r="F21" s="172">
        <v>5000</v>
      </c>
      <c r="G21" s="177">
        <v>8</v>
      </c>
      <c r="H21" s="162">
        <f t="shared" ref="H21:H27" si="6">D21+(E21*$D$54)+F21+(G21*$D$55)</f>
        <v>7280</v>
      </c>
      <c r="J21" s="175"/>
      <c r="K21" s="176"/>
      <c r="L21" s="174" t="str">
        <f t="shared" si="4"/>
        <v/>
      </c>
      <c r="M21" s="155"/>
      <c r="N21" s="174" t="str">
        <f t="shared" si="5"/>
        <v/>
      </c>
    </row>
    <row r="22" spans="2:15" ht="15" x14ac:dyDescent="0.25">
      <c r="B22" s="27">
        <f>B21+0.1</f>
        <v>2.2000000000000002</v>
      </c>
      <c r="C22" s="28" t="s">
        <v>239</v>
      </c>
      <c r="D22" s="173">
        <v>0</v>
      </c>
      <c r="E22" s="177">
        <v>0</v>
      </c>
      <c r="F22" s="173">
        <v>1000</v>
      </c>
      <c r="G22" s="177">
        <v>9</v>
      </c>
      <c r="H22" s="162">
        <f t="shared" si="6"/>
        <v>1540</v>
      </c>
      <c r="J22" s="175"/>
      <c r="K22" s="176"/>
      <c r="L22" s="174"/>
      <c r="M22" s="155"/>
      <c r="N22" s="174"/>
    </row>
    <row r="23" spans="2:15" ht="15" x14ac:dyDescent="0.25">
      <c r="B23" s="27">
        <f t="shared" ref="B23:B27" si="7">B22+0.1</f>
        <v>2.3000000000000003</v>
      </c>
      <c r="C23" s="28" t="s">
        <v>240</v>
      </c>
      <c r="D23" s="173">
        <v>150</v>
      </c>
      <c r="E23" s="177">
        <v>4</v>
      </c>
      <c r="F23" s="173">
        <v>100</v>
      </c>
      <c r="G23" s="177">
        <v>1</v>
      </c>
      <c r="H23" s="162">
        <f t="shared" si="6"/>
        <v>510</v>
      </c>
      <c r="J23" s="175"/>
      <c r="K23" s="176"/>
      <c r="L23" s="174" t="str">
        <f t="shared" si="4"/>
        <v/>
      </c>
      <c r="M23" s="155"/>
      <c r="N23" s="174" t="str">
        <f t="shared" si="5"/>
        <v/>
      </c>
    </row>
    <row r="24" spans="2:15" ht="15" x14ac:dyDescent="0.25">
      <c r="B24" s="27">
        <f t="shared" si="7"/>
        <v>2.4000000000000004</v>
      </c>
      <c r="C24" s="28" t="s">
        <v>241</v>
      </c>
      <c r="D24" s="173">
        <v>1000</v>
      </c>
      <c r="E24" s="177">
        <v>4</v>
      </c>
      <c r="F24" s="173">
        <v>50</v>
      </c>
      <c r="G24" s="177">
        <v>6</v>
      </c>
      <c r="H24" s="162">
        <f t="shared" si="6"/>
        <v>1610</v>
      </c>
      <c r="J24" s="175"/>
      <c r="K24" s="176"/>
      <c r="L24" s="174" t="str">
        <f t="shared" si="4"/>
        <v/>
      </c>
      <c r="M24" s="155"/>
      <c r="N24" s="174" t="str">
        <f t="shared" si="5"/>
        <v/>
      </c>
    </row>
    <row r="25" spans="2:15" ht="15" x14ac:dyDescent="0.25">
      <c r="B25" s="27">
        <f t="shared" si="7"/>
        <v>2.5000000000000004</v>
      </c>
      <c r="C25" s="28" t="s">
        <v>258</v>
      </c>
      <c r="D25" s="173">
        <v>1800</v>
      </c>
      <c r="E25" s="177">
        <v>16</v>
      </c>
      <c r="F25" s="173">
        <v>100</v>
      </c>
      <c r="G25" s="177">
        <v>16</v>
      </c>
      <c r="H25" s="162">
        <f t="shared" si="6"/>
        <v>3660</v>
      </c>
      <c r="J25" s="175"/>
      <c r="K25" s="176"/>
      <c r="L25" s="174" t="str">
        <f t="shared" si="4"/>
        <v/>
      </c>
      <c r="M25" s="155"/>
      <c r="N25" s="174" t="str">
        <f t="shared" si="5"/>
        <v/>
      </c>
    </row>
    <row r="26" spans="2:15" ht="15" x14ac:dyDescent="0.25">
      <c r="B26" s="27">
        <f t="shared" si="7"/>
        <v>2.6000000000000005</v>
      </c>
      <c r="C26" s="28" t="s">
        <v>242</v>
      </c>
      <c r="D26" s="173">
        <v>2500</v>
      </c>
      <c r="E26" s="177">
        <v>3</v>
      </c>
      <c r="F26" s="173">
        <v>0</v>
      </c>
      <c r="G26" s="177">
        <v>0</v>
      </c>
      <c r="H26" s="162">
        <f t="shared" si="6"/>
        <v>2650</v>
      </c>
      <c r="J26" s="175"/>
      <c r="K26" s="176"/>
      <c r="L26" s="174"/>
      <c r="M26" s="155"/>
      <c r="N26" s="174" t="str">
        <f t="shared" si="5"/>
        <v/>
      </c>
    </row>
    <row r="27" spans="2:15" ht="15" x14ac:dyDescent="0.25">
      <c r="B27" s="27">
        <f t="shared" si="7"/>
        <v>2.7000000000000006</v>
      </c>
      <c r="C27" s="28" t="s">
        <v>243</v>
      </c>
      <c r="D27" s="173">
        <v>1500</v>
      </c>
      <c r="E27" s="177">
        <v>16</v>
      </c>
      <c r="F27" s="173">
        <v>0</v>
      </c>
      <c r="G27" s="177">
        <v>8</v>
      </c>
      <c r="H27" s="162">
        <f t="shared" si="6"/>
        <v>2780</v>
      </c>
      <c r="J27" s="175"/>
      <c r="K27" s="176"/>
      <c r="L27" s="174"/>
      <c r="M27" s="155"/>
      <c r="N27" s="174" t="str">
        <f t="shared" si="5"/>
        <v/>
      </c>
    </row>
    <row r="28" spans="2:15" x14ac:dyDescent="0.25">
      <c r="B28" s="27"/>
      <c r="C28" s="28"/>
      <c r="D28" s="164"/>
      <c r="E28" s="178"/>
      <c r="F28" s="164"/>
      <c r="G28" s="178"/>
      <c r="H28" s="32"/>
      <c r="J28" s="149"/>
      <c r="K28" s="148"/>
      <c r="L28" s="149" t="str">
        <f t="shared" si="4"/>
        <v/>
      </c>
      <c r="M28" s="147"/>
      <c r="N28" s="149" t="str">
        <f t="shared" si="5"/>
        <v/>
      </c>
    </row>
    <row r="29" spans="2:15" ht="15" x14ac:dyDescent="0.25">
      <c r="B29" s="25">
        <v>3</v>
      </c>
      <c r="C29" s="26" t="s">
        <v>89</v>
      </c>
      <c r="D29" s="164"/>
      <c r="E29" s="178"/>
      <c r="F29" s="164"/>
      <c r="G29" s="178"/>
      <c r="H29" s="32"/>
      <c r="J29" s="149"/>
      <c r="K29" s="148"/>
      <c r="L29" s="149" t="str">
        <f t="shared" si="4"/>
        <v/>
      </c>
      <c r="M29" s="147"/>
      <c r="N29" s="149" t="str">
        <f t="shared" si="5"/>
        <v/>
      </c>
    </row>
    <row r="30" spans="2:15" ht="15" x14ac:dyDescent="0.25">
      <c r="B30" s="27">
        <f>B29+0.1</f>
        <v>3.1</v>
      </c>
      <c r="C30" s="28" t="s">
        <v>261</v>
      </c>
      <c r="D30" s="172">
        <v>2000</v>
      </c>
      <c r="E30" s="177">
        <v>0</v>
      </c>
      <c r="F30" s="172">
        <v>0</v>
      </c>
      <c r="G30" s="177">
        <v>0</v>
      </c>
      <c r="H30" s="162">
        <f>D30+(E30*$D$54)+F30+(G30*$D$55)</f>
        <v>2000</v>
      </c>
      <c r="J30" s="175"/>
      <c r="K30" s="176"/>
      <c r="L30" s="174"/>
      <c r="M30" s="155"/>
      <c r="N30" s="174"/>
    </row>
    <row r="31" spans="2:15" ht="15" x14ac:dyDescent="0.25">
      <c r="B31" s="27">
        <f t="shared" ref="B31:B33" si="8">B30+0.1</f>
        <v>3.2</v>
      </c>
      <c r="C31" s="28" t="s">
        <v>249</v>
      </c>
      <c r="D31" s="172">
        <v>0</v>
      </c>
      <c r="E31" s="177">
        <v>4</v>
      </c>
      <c r="F31" s="172">
        <v>50</v>
      </c>
      <c r="G31" s="177">
        <v>8</v>
      </c>
      <c r="H31" s="162">
        <f>D31+(E31*$D$54)+F31+(G31*$D$55)</f>
        <v>730</v>
      </c>
      <c r="J31" s="175"/>
      <c r="K31" s="176"/>
      <c r="L31" s="174" t="str">
        <f t="shared" si="4"/>
        <v/>
      </c>
      <c r="M31" s="155"/>
      <c r="N31" s="174" t="str">
        <f t="shared" si="5"/>
        <v/>
      </c>
    </row>
    <row r="32" spans="2:15" ht="15" x14ac:dyDescent="0.25">
      <c r="B32" s="27">
        <f t="shared" si="8"/>
        <v>3.3000000000000003</v>
      </c>
      <c r="C32" s="28" t="s">
        <v>250</v>
      </c>
      <c r="D32" s="172">
        <v>0</v>
      </c>
      <c r="E32" s="177">
        <v>0</v>
      </c>
      <c r="F32" s="172">
        <v>50</v>
      </c>
      <c r="G32" s="177">
        <v>12</v>
      </c>
      <c r="H32" s="162">
        <f>D32+(E32*$D$54)+F32+(G32*$D$55)</f>
        <v>770</v>
      </c>
      <c r="J32" s="175"/>
      <c r="K32" s="176"/>
      <c r="L32" s="174" t="str">
        <f t="shared" si="4"/>
        <v/>
      </c>
      <c r="M32" s="155"/>
      <c r="N32" s="174" t="str">
        <f t="shared" si="5"/>
        <v/>
      </c>
    </row>
    <row r="33" spans="2:15" ht="15" x14ac:dyDescent="0.25">
      <c r="B33" s="27">
        <f t="shared" si="8"/>
        <v>3.4000000000000004</v>
      </c>
      <c r="C33" s="28" t="s">
        <v>251</v>
      </c>
      <c r="D33" s="172">
        <v>1000</v>
      </c>
      <c r="E33" s="177">
        <v>4</v>
      </c>
      <c r="F33" s="172">
        <v>50</v>
      </c>
      <c r="G33" s="177">
        <v>25</v>
      </c>
      <c r="H33" s="162">
        <f>D33+(E33*$D$54)+F33+(G33*$D$55)</f>
        <v>2750</v>
      </c>
      <c r="J33" s="175"/>
      <c r="K33" s="176"/>
      <c r="L33" s="174" t="str">
        <f t="shared" si="4"/>
        <v/>
      </c>
      <c r="M33" s="155"/>
      <c r="N33" s="174" t="str">
        <f t="shared" si="5"/>
        <v/>
      </c>
    </row>
    <row r="34" spans="2:15" x14ac:dyDescent="0.25">
      <c r="B34" s="27"/>
      <c r="C34" s="28"/>
      <c r="D34" s="164"/>
      <c r="E34" s="178"/>
      <c r="F34" s="164"/>
      <c r="G34" s="178"/>
      <c r="H34" s="32"/>
      <c r="J34" s="149"/>
      <c r="K34" s="148"/>
      <c r="L34" s="149"/>
      <c r="M34" s="147"/>
      <c r="N34" s="149"/>
    </row>
    <row r="35" spans="2:15" ht="15" x14ac:dyDescent="0.25">
      <c r="B35" s="25">
        <v>4</v>
      </c>
      <c r="C35" s="26" t="s">
        <v>90</v>
      </c>
      <c r="D35" s="164"/>
      <c r="E35" s="178"/>
      <c r="F35" s="164"/>
      <c r="G35" s="178"/>
      <c r="H35" s="32"/>
      <c r="J35" s="149"/>
      <c r="K35" s="148"/>
      <c r="L35" s="149" t="str">
        <f>IF(ISBLANK($K35),"",$K35/$H35)</f>
        <v/>
      </c>
      <c r="M35" s="147"/>
      <c r="N35" s="149" t="str">
        <f>IF(ISBLANK($M35),"",$M35/$D35)</f>
        <v/>
      </c>
    </row>
    <row r="36" spans="2:15" ht="15" x14ac:dyDescent="0.25">
      <c r="B36" s="27">
        <f>B35+0.1</f>
        <v>4.0999999999999996</v>
      </c>
      <c r="C36" s="28" t="s">
        <v>261</v>
      </c>
      <c r="D36" s="161">
        <v>2000</v>
      </c>
      <c r="E36" s="177">
        <v>0</v>
      </c>
      <c r="F36" s="161">
        <v>0</v>
      </c>
      <c r="G36" s="177">
        <v>0</v>
      </c>
      <c r="H36" s="162">
        <f>D36+(E36*$D$54)+F36+(G36*$D$55)</f>
        <v>2000</v>
      </c>
      <c r="J36" s="175"/>
      <c r="K36" s="176"/>
      <c r="L36" s="174" t="str">
        <f>IF(ISBLANK($K36),"",$K36/$H36)</f>
        <v/>
      </c>
      <c r="M36" s="155"/>
      <c r="N36" s="174" t="str">
        <f>IF(ISBLANK($M36),"",$M36/$D36)</f>
        <v/>
      </c>
    </row>
    <row r="37" spans="2:15" ht="15" x14ac:dyDescent="0.25">
      <c r="B37" s="27">
        <f t="shared" ref="B37:B39" si="9">B36+0.1</f>
        <v>4.1999999999999993</v>
      </c>
      <c r="C37" s="28" t="s">
        <v>254</v>
      </c>
      <c r="D37" s="161">
        <v>10000</v>
      </c>
      <c r="E37" s="177"/>
      <c r="F37" s="161"/>
      <c r="G37" s="177"/>
      <c r="H37" s="162">
        <f>D37+(E37*$D$54)+F37+(G37*$D$55)</f>
        <v>10000</v>
      </c>
      <c r="J37" s="175"/>
      <c r="K37" s="176"/>
      <c r="L37" s="174" t="str">
        <f>IF(ISBLANK($K37),"",$K37/$H37)</f>
        <v/>
      </c>
      <c r="M37" s="155"/>
      <c r="N37" s="174" t="str">
        <f>IF(ISBLANK($M37),"",$M37/$D37)</f>
        <v/>
      </c>
    </row>
    <row r="38" spans="2:15" ht="15" x14ac:dyDescent="0.25">
      <c r="B38" s="27">
        <f t="shared" si="9"/>
        <v>4.2999999999999989</v>
      </c>
      <c r="C38" s="28" t="s">
        <v>253</v>
      </c>
      <c r="D38" s="161">
        <v>10000</v>
      </c>
      <c r="E38" s="177"/>
      <c r="F38" s="161"/>
      <c r="G38" s="177"/>
      <c r="H38" s="162">
        <f>D38+(E38*$D$54)+F38+(G38*$D$55)</f>
        <v>10000</v>
      </c>
      <c r="J38" s="175"/>
      <c r="K38" s="176"/>
      <c r="L38" s="174" t="str">
        <f>IF(ISBLANK($K38),"",$K38/$H38)</f>
        <v/>
      </c>
      <c r="M38" s="155"/>
      <c r="N38" s="174" t="str">
        <f>IF(ISBLANK($M38),"",$M38/$D38)</f>
        <v/>
      </c>
    </row>
    <row r="39" spans="2:15" ht="15" x14ac:dyDescent="0.25">
      <c r="B39" s="27">
        <f t="shared" si="9"/>
        <v>4.3999999999999986</v>
      </c>
      <c r="C39" s="28" t="s">
        <v>252</v>
      </c>
      <c r="D39" s="161">
        <v>5000</v>
      </c>
      <c r="E39" s="177"/>
      <c r="F39" s="161"/>
      <c r="G39" s="177"/>
      <c r="H39" s="162">
        <f>D39+(E39*$D$54)+F39+(G39*$D$55)</f>
        <v>5000</v>
      </c>
      <c r="J39" s="175"/>
      <c r="K39" s="176"/>
      <c r="L39" s="174" t="str">
        <f>IF(ISBLANK($K39),"",$K39/$H39)</f>
        <v/>
      </c>
      <c r="M39" s="155"/>
      <c r="N39" s="174" t="str">
        <f>IF(ISBLANK($M39),"",$M39/$D39)</f>
        <v/>
      </c>
    </row>
    <row r="40" spans="2:15" x14ac:dyDescent="0.25">
      <c r="B40" s="27"/>
      <c r="C40" s="28"/>
      <c r="D40" s="164"/>
      <c r="E40" s="178"/>
      <c r="F40" s="164"/>
      <c r="G40" s="178"/>
      <c r="H40" s="32"/>
      <c r="J40" s="149"/>
      <c r="K40" s="148"/>
      <c r="L40" s="149"/>
      <c r="M40" s="147"/>
      <c r="N40" s="149"/>
    </row>
    <row r="41" spans="2:15" ht="17.25" customHeight="1" x14ac:dyDescent="0.25">
      <c r="B41" s="25">
        <v>5</v>
      </c>
      <c r="C41" s="26" t="s">
        <v>92</v>
      </c>
      <c r="D41" s="164"/>
      <c r="E41" s="178"/>
      <c r="F41" s="164"/>
      <c r="G41" s="178"/>
      <c r="H41" s="32"/>
      <c r="J41" s="149"/>
      <c r="K41" s="148"/>
      <c r="L41" s="149" t="str">
        <f t="shared" ref="L41:L46" si="10">IF(ISBLANK($K41),"",$K41/$H41)</f>
        <v/>
      </c>
      <c r="M41" s="147"/>
      <c r="N41" s="149" t="str">
        <f t="shared" ref="N41:N46" si="11">IF(ISBLANK($M41),"",$M41/$D41)</f>
        <v/>
      </c>
    </row>
    <row r="42" spans="2:15" ht="15" x14ac:dyDescent="0.25">
      <c r="B42" s="27">
        <f t="shared" ref="B42:B46" si="12">B41+0.1</f>
        <v>5.0999999999999996</v>
      </c>
      <c r="C42" s="28" t="s">
        <v>255</v>
      </c>
      <c r="D42" s="172">
        <v>5000</v>
      </c>
      <c r="E42" s="177">
        <v>0</v>
      </c>
      <c r="F42" s="172">
        <v>0</v>
      </c>
      <c r="G42" s="177">
        <v>2</v>
      </c>
      <c r="H42" s="162">
        <f>D42+(E42*$D$54)+F42+(G42*$D$55)</f>
        <v>5120</v>
      </c>
      <c r="J42" s="175"/>
      <c r="K42" s="176"/>
      <c r="L42" s="174" t="str">
        <f t="shared" si="10"/>
        <v/>
      </c>
      <c r="M42" s="155"/>
      <c r="N42" s="174" t="str">
        <f t="shared" si="11"/>
        <v/>
      </c>
    </row>
    <row r="43" spans="2:15" ht="15" x14ac:dyDescent="0.25">
      <c r="B43" s="27">
        <f>B42+0.1</f>
        <v>5.1999999999999993</v>
      </c>
      <c r="C43" s="28" t="s">
        <v>256</v>
      </c>
      <c r="D43" s="172">
        <v>500</v>
      </c>
      <c r="E43" s="177">
        <v>0</v>
      </c>
      <c r="F43" s="172">
        <v>200</v>
      </c>
      <c r="G43" s="177">
        <v>16</v>
      </c>
      <c r="H43" s="162">
        <f>D43+(E43*$D$54)+F43+(G43*$D$55)</f>
        <v>1660</v>
      </c>
      <c r="J43" s="175"/>
      <c r="K43" s="176"/>
      <c r="L43" s="174" t="str">
        <f t="shared" si="10"/>
        <v/>
      </c>
      <c r="M43" s="155"/>
      <c r="N43" s="174" t="str">
        <f t="shared" si="11"/>
        <v/>
      </c>
    </row>
    <row r="44" spans="2:15" ht="15" x14ac:dyDescent="0.25">
      <c r="B44" s="27">
        <f>B42+0.1</f>
        <v>5.1999999999999993</v>
      </c>
      <c r="C44" s="28" t="s">
        <v>260</v>
      </c>
      <c r="D44" s="172">
        <v>0</v>
      </c>
      <c r="E44" s="177">
        <v>0</v>
      </c>
      <c r="F44" s="172">
        <v>200</v>
      </c>
      <c r="G44" s="177">
        <v>8</v>
      </c>
      <c r="H44" s="162">
        <f>D44+(E44*$D$54)+F44+(G44*$D$55)</f>
        <v>680</v>
      </c>
      <c r="J44" s="175"/>
      <c r="K44" s="176"/>
      <c r="L44" s="174" t="str">
        <f t="shared" si="10"/>
        <v/>
      </c>
      <c r="M44" s="155"/>
      <c r="N44" s="174" t="str">
        <f t="shared" si="11"/>
        <v/>
      </c>
    </row>
    <row r="45" spans="2:15" ht="15" x14ac:dyDescent="0.25">
      <c r="B45" s="27">
        <f>B43+0.1</f>
        <v>5.2999999999999989</v>
      </c>
      <c r="C45" s="28" t="s">
        <v>257</v>
      </c>
      <c r="D45" s="172">
        <v>200</v>
      </c>
      <c r="E45" s="177">
        <v>8</v>
      </c>
      <c r="F45" s="172">
        <v>50</v>
      </c>
      <c r="G45" s="177">
        <v>2</v>
      </c>
      <c r="H45" s="162">
        <f>D45+(E45*$D$54)+F45+(G45*$D$55)</f>
        <v>770</v>
      </c>
      <c r="J45" s="175"/>
      <c r="K45" s="176"/>
      <c r="L45" s="174" t="str">
        <f t="shared" si="10"/>
        <v/>
      </c>
      <c r="M45" s="155"/>
      <c r="N45" s="174" t="str">
        <f t="shared" si="11"/>
        <v/>
      </c>
    </row>
    <row r="46" spans="2:15" ht="15" x14ac:dyDescent="0.25">
      <c r="B46" s="27">
        <f t="shared" si="12"/>
        <v>5.3999999999999986</v>
      </c>
      <c r="C46" s="28" t="s">
        <v>249</v>
      </c>
      <c r="D46" s="172">
        <v>1000</v>
      </c>
      <c r="E46" s="177"/>
      <c r="F46" s="172"/>
      <c r="G46" s="177"/>
      <c r="H46" s="162">
        <f>D46+(E46*$D$54)+F46+(G46*$D$55)</f>
        <v>1000</v>
      </c>
      <c r="J46" s="175"/>
      <c r="K46" s="176"/>
      <c r="L46" s="174" t="str">
        <f t="shared" si="10"/>
        <v/>
      </c>
      <c r="M46" s="155"/>
      <c r="N46" s="174" t="str">
        <f t="shared" si="11"/>
        <v/>
      </c>
    </row>
    <row r="47" spans="2:15" x14ac:dyDescent="0.25">
      <c r="B47" s="27"/>
      <c r="C47" s="28"/>
      <c r="D47" s="164"/>
      <c r="E47" s="164"/>
      <c r="F47" s="164"/>
      <c r="G47" s="164"/>
      <c r="H47" s="150"/>
      <c r="J47" s="149"/>
      <c r="K47" s="148"/>
      <c r="L47" s="149"/>
      <c r="M47" s="147"/>
      <c r="N47" s="149"/>
    </row>
    <row r="48" spans="2:15" s="30" customFormat="1" ht="15" x14ac:dyDescent="0.25">
      <c r="B48" s="181"/>
      <c r="C48" s="24" t="s">
        <v>85</v>
      </c>
      <c r="D48" s="182">
        <f>SUM(D21:D47)</f>
        <v>45450</v>
      </c>
      <c r="E48" s="183">
        <f>SUM(E21:E47)</f>
        <v>59</v>
      </c>
      <c r="F48" s="182">
        <f>SUM(F21:F47)</f>
        <v>6850</v>
      </c>
      <c r="G48" s="183">
        <f>SUM(G21:G47)</f>
        <v>121</v>
      </c>
      <c r="H48" s="182">
        <f>SUM(H21:H47)</f>
        <v>62510</v>
      </c>
      <c r="I48" s="31"/>
      <c r="J48" s="184"/>
      <c r="K48" s="185">
        <f>SUM(K6:K47)</f>
        <v>0</v>
      </c>
      <c r="L48" s="186">
        <f>K48/H48</f>
        <v>0</v>
      </c>
      <c r="M48" s="184">
        <f>SUM(M6:M47)</f>
        <v>0</v>
      </c>
      <c r="N48" s="186">
        <f>M48/D48</f>
        <v>0</v>
      </c>
      <c r="O48" s="187"/>
    </row>
    <row r="49" spans="3:7" x14ac:dyDescent="0.25">
      <c r="D49" s="31"/>
      <c r="E49" s="31"/>
      <c r="F49" s="31"/>
      <c r="G49" s="31"/>
    </row>
    <row r="50" spans="3:7" ht="15" x14ac:dyDescent="0.25">
      <c r="C50" s="24" t="s">
        <v>246</v>
      </c>
    </row>
    <row r="51" spans="3:7" ht="15" x14ac:dyDescent="0.25">
      <c r="C51" s="20" t="s">
        <v>86</v>
      </c>
      <c r="D51" s="169">
        <v>150</v>
      </c>
      <c r="E51" s="32"/>
    </row>
    <row r="52" spans="3:7" ht="15" x14ac:dyDescent="0.25">
      <c r="C52" s="20" t="s">
        <v>95</v>
      </c>
      <c r="D52" s="169">
        <v>150</v>
      </c>
      <c r="E52" s="32"/>
    </row>
    <row r="53" spans="3:7" ht="15" x14ac:dyDescent="0.25">
      <c r="C53" s="20" t="s">
        <v>94</v>
      </c>
      <c r="D53" s="169">
        <v>100</v>
      </c>
      <c r="E53" s="32"/>
    </row>
    <row r="54" spans="3:7" ht="15" x14ac:dyDescent="0.25">
      <c r="C54" s="20" t="s">
        <v>248</v>
      </c>
      <c r="D54" s="169">
        <v>50</v>
      </c>
    </row>
    <row r="55" spans="3:7" ht="15" x14ac:dyDescent="0.25">
      <c r="C55" s="20" t="s">
        <v>247</v>
      </c>
      <c r="D55" s="169">
        <v>60</v>
      </c>
    </row>
  </sheetData>
  <mergeCells count="10">
    <mergeCell ref="K4:L4"/>
    <mergeCell ref="M4:N4"/>
    <mergeCell ref="K18:L18"/>
    <mergeCell ref="M18:N18"/>
    <mergeCell ref="D1:H1"/>
    <mergeCell ref="J1:N1"/>
    <mergeCell ref="D2:H3"/>
    <mergeCell ref="J2:N2"/>
    <mergeCell ref="J3:K3"/>
    <mergeCell ref="L3:N3"/>
  </mergeCells>
  <pageMargins left="0.75" right="0.75" top="1" bottom="1" header="0.5" footer="0.5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5"/>
  <sheetViews>
    <sheetView showGridLines="0" view="pageLayout" topLeftCell="A16" zoomScaleNormal="115" workbookViewId="0">
      <selection activeCell="C4" sqref="C4"/>
    </sheetView>
  </sheetViews>
  <sheetFormatPr defaultColWidth="8.85546875" defaultRowHeight="13.5" x14ac:dyDescent="0.25"/>
  <cols>
    <col min="1" max="1" width="0.5703125" style="20" customWidth="1"/>
    <col min="2" max="2" width="6.28515625" style="20" customWidth="1"/>
    <col min="3" max="3" width="32.7109375" style="20" customWidth="1"/>
    <col min="4" max="7" width="12.7109375" style="21" customWidth="1"/>
    <col min="8" max="8" width="14.85546875" style="21" customWidth="1"/>
    <col min="9" max="9" width="5.85546875" style="21" customWidth="1"/>
    <col min="10" max="10" width="15.5703125" style="21" customWidth="1"/>
    <col min="11" max="11" width="10.140625" style="21" bestFit="1" customWidth="1"/>
    <col min="12" max="12" width="8.85546875" style="21" customWidth="1"/>
    <col min="13" max="13" width="10.140625" style="21" customWidth="1"/>
    <col min="14" max="14" width="8.85546875" style="21"/>
    <col min="15" max="15" width="4" style="147" customWidth="1"/>
    <col min="16" max="16" width="8.85546875" style="20"/>
    <col min="17" max="17" width="10.85546875" style="20" customWidth="1"/>
    <col min="18" max="253" width="8.85546875" style="20"/>
    <col min="254" max="254" width="0.85546875" style="20" customWidth="1"/>
    <col min="255" max="255" width="4.42578125" style="20" bestFit="1" customWidth="1"/>
    <col min="256" max="256" width="32.7109375" style="20" customWidth="1"/>
    <col min="257" max="257" width="12.7109375" style="20" customWidth="1"/>
    <col min="258" max="258" width="14.85546875" style="20" customWidth="1"/>
    <col min="259" max="259" width="5.85546875" style="20" customWidth="1"/>
    <col min="260" max="260" width="15.5703125" style="20" customWidth="1"/>
    <col min="261" max="261" width="10.140625" style="20" bestFit="1" customWidth="1"/>
    <col min="262" max="262" width="8.85546875" style="20" customWidth="1"/>
    <col min="263" max="263" width="10.140625" style="20" customWidth="1"/>
    <col min="264" max="264" width="8.85546875" style="20"/>
    <col min="265" max="265" width="4" style="20" customWidth="1"/>
    <col min="266" max="266" width="1.5703125" style="20" customWidth="1"/>
    <col min="267" max="269" width="4" style="20" customWidth="1"/>
    <col min="270" max="270" width="8.85546875" style="20"/>
    <col min="271" max="271" width="14.42578125" style="20" bestFit="1" customWidth="1"/>
    <col min="272" max="272" width="8.85546875" style="20"/>
    <col min="273" max="273" width="10.85546875" style="20" customWidth="1"/>
    <col min="274" max="509" width="8.85546875" style="20"/>
    <col min="510" max="510" width="0.85546875" style="20" customWidth="1"/>
    <col min="511" max="511" width="4.42578125" style="20" bestFit="1" customWidth="1"/>
    <col min="512" max="512" width="32.7109375" style="20" customWidth="1"/>
    <col min="513" max="513" width="12.7109375" style="20" customWidth="1"/>
    <col min="514" max="514" width="14.85546875" style="20" customWidth="1"/>
    <col min="515" max="515" width="5.85546875" style="20" customWidth="1"/>
    <col min="516" max="516" width="15.5703125" style="20" customWidth="1"/>
    <col min="517" max="517" width="10.140625" style="20" bestFit="1" customWidth="1"/>
    <col min="518" max="518" width="8.85546875" style="20" customWidth="1"/>
    <col min="519" max="519" width="10.140625" style="20" customWidth="1"/>
    <col min="520" max="520" width="8.85546875" style="20"/>
    <col min="521" max="521" width="4" style="20" customWidth="1"/>
    <col min="522" max="522" width="1.5703125" style="20" customWidth="1"/>
    <col min="523" max="525" width="4" style="20" customWidth="1"/>
    <col min="526" max="526" width="8.85546875" style="20"/>
    <col min="527" max="527" width="14.42578125" style="20" bestFit="1" customWidth="1"/>
    <col min="528" max="528" width="8.85546875" style="20"/>
    <col min="529" max="529" width="10.85546875" style="20" customWidth="1"/>
    <col min="530" max="765" width="8.85546875" style="20"/>
    <col min="766" max="766" width="0.85546875" style="20" customWidth="1"/>
    <col min="767" max="767" width="4.42578125" style="20" bestFit="1" customWidth="1"/>
    <col min="768" max="768" width="32.7109375" style="20" customWidth="1"/>
    <col min="769" max="769" width="12.7109375" style="20" customWidth="1"/>
    <col min="770" max="770" width="14.85546875" style="20" customWidth="1"/>
    <col min="771" max="771" width="5.85546875" style="20" customWidth="1"/>
    <col min="772" max="772" width="15.5703125" style="20" customWidth="1"/>
    <col min="773" max="773" width="10.140625" style="20" bestFit="1" customWidth="1"/>
    <col min="774" max="774" width="8.85546875" style="20" customWidth="1"/>
    <col min="775" max="775" width="10.140625" style="20" customWidth="1"/>
    <col min="776" max="776" width="8.85546875" style="20"/>
    <col min="777" max="777" width="4" style="20" customWidth="1"/>
    <col min="778" max="778" width="1.5703125" style="20" customWidth="1"/>
    <col min="779" max="781" width="4" style="20" customWidth="1"/>
    <col min="782" max="782" width="8.85546875" style="20"/>
    <col min="783" max="783" width="14.42578125" style="20" bestFit="1" customWidth="1"/>
    <col min="784" max="784" width="8.85546875" style="20"/>
    <col min="785" max="785" width="10.85546875" style="20" customWidth="1"/>
    <col min="786" max="1021" width="8.85546875" style="20"/>
    <col min="1022" max="1022" width="0.85546875" style="20" customWidth="1"/>
    <col min="1023" max="1023" width="4.42578125" style="20" bestFit="1" customWidth="1"/>
    <col min="1024" max="1024" width="32.7109375" style="20" customWidth="1"/>
    <col min="1025" max="1025" width="12.7109375" style="20" customWidth="1"/>
    <col min="1026" max="1026" width="14.85546875" style="20" customWidth="1"/>
    <col min="1027" max="1027" width="5.85546875" style="20" customWidth="1"/>
    <col min="1028" max="1028" width="15.5703125" style="20" customWidth="1"/>
    <col min="1029" max="1029" width="10.140625" style="20" bestFit="1" customWidth="1"/>
    <col min="1030" max="1030" width="8.85546875" style="20" customWidth="1"/>
    <col min="1031" max="1031" width="10.140625" style="20" customWidth="1"/>
    <col min="1032" max="1032" width="8.85546875" style="20"/>
    <col min="1033" max="1033" width="4" style="20" customWidth="1"/>
    <col min="1034" max="1034" width="1.5703125" style="20" customWidth="1"/>
    <col min="1035" max="1037" width="4" style="20" customWidth="1"/>
    <col min="1038" max="1038" width="8.85546875" style="20"/>
    <col min="1039" max="1039" width="14.42578125" style="20" bestFit="1" customWidth="1"/>
    <col min="1040" max="1040" width="8.85546875" style="20"/>
    <col min="1041" max="1041" width="10.85546875" style="20" customWidth="1"/>
    <col min="1042" max="1277" width="8.85546875" style="20"/>
    <col min="1278" max="1278" width="0.85546875" style="20" customWidth="1"/>
    <col min="1279" max="1279" width="4.42578125" style="20" bestFit="1" customWidth="1"/>
    <col min="1280" max="1280" width="32.7109375" style="20" customWidth="1"/>
    <col min="1281" max="1281" width="12.7109375" style="20" customWidth="1"/>
    <col min="1282" max="1282" width="14.85546875" style="20" customWidth="1"/>
    <col min="1283" max="1283" width="5.85546875" style="20" customWidth="1"/>
    <col min="1284" max="1284" width="15.5703125" style="20" customWidth="1"/>
    <col min="1285" max="1285" width="10.140625" style="20" bestFit="1" customWidth="1"/>
    <col min="1286" max="1286" width="8.85546875" style="20" customWidth="1"/>
    <col min="1287" max="1287" width="10.140625" style="20" customWidth="1"/>
    <col min="1288" max="1288" width="8.85546875" style="20"/>
    <col min="1289" max="1289" width="4" style="20" customWidth="1"/>
    <col min="1290" max="1290" width="1.5703125" style="20" customWidth="1"/>
    <col min="1291" max="1293" width="4" style="20" customWidth="1"/>
    <col min="1294" max="1294" width="8.85546875" style="20"/>
    <col min="1295" max="1295" width="14.42578125" style="20" bestFit="1" customWidth="1"/>
    <col min="1296" max="1296" width="8.85546875" style="20"/>
    <col min="1297" max="1297" width="10.85546875" style="20" customWidth="1"/>
    <col min="1298" max="1533" width="8.85546875" style="20"/>
    <col min="1534" max="1534" width="0.85546875" style="20" customWidth="1"/>
    <col min="1535" max="1535" width="4.42578125" style="20" bestFit="1" customWidth="1"/>
    <col min="1536" max="1536" width="32.7109375" style="20" customWidth="1"/>
    <col min="1537" max="1537" width="12.7109375" style="20" customWidth="1"/>
    <col min="1538" max="1538" width="14.85546875" style="20" customWidth="1"/>
    <col min="1539" max="1539" width="5.85546875" style="20" customWidth="1"/>
    <col min="1540" max="1540" width="15.5703125" style="20" customWidth="1"/>
    <col min="1541" max="1541" width="10.140625" style="20" bestFit="1" customWidth="1"/>
    <col min="1542" max="1542" width="8.85546875" style="20" customWidth="1"/>
    <col min="1543" max="1543" width="10.140625" style="20" customWidth="1"/>
    <col min="1544" max="1544" width="8.85546875" style="20"/>
    <col min="1545" max="1545" width="4" style="20" customWidth="1"/>
    <col min="1546" max="1546" width="1.5703125" style="20" customWidth="1"/>
    <col min="1547" max="1549" width="4" style="20" customWidth="1"/>
    <col min="1550" max="1550" width="8.85546875" style="20"/>
    <col min="1551" max="1551" width="14.42578125" style="20" bestFit="1" customWidth="1"/>
    <col min="1552" max="1552" width="8.85546875" style="20"/>
    <col min="1553" max="1553" width="10.85546875" style="20" customWidth="1"/>
    <col min="1554" max="1789" width="8.85546875" style="20"/>
    <col min="1790" max="1790" width="0.85546875" style="20" customWidth="1"/>
    <col min="1791" max="1791" width="4.42578125" style="20" bestFit="1" customWidth="1"/>
    <col min="1792" max="1792" width="32.7109375" style="20" customWidth="1"/>
    <col min="1793" max="1793" width="12.7109375" style="20" customWidth="1"/>
    <col min="1794" max="1794" width="14.85546875" style="20" customWidth="1"/>
    <col min="1795" max="1795" width="5.85546875" style="20" customWidth="1"/>
    <col min="1796" max="1796" width="15.5703125" style="20" customWidth="1"/>
    <col min="1797" max="1797" width="10.140625" style="20" bestFit="1" customWidth="1"/>
    <col min="1798" max="1798" width="8.85546875" style="20" customWidth="1"/>
    <col min="1799" max="1799" width="10.140625" style="20" customWidth="1"/>
    <col min="1800" max="1800" width="8.85546875" style="20"/>
    <col min="1801" max="1801" width="4" style="20" customWidth="1"/>
    <col min="1802" max="1802" width="1.5703125" style="20" customWidth="1"/>
    <col min="1803" max="1805" width="4" style="20" customWidth="1"/>
    <col min="1806" max="1806" width="8.85546875" style="20"/>
    <col min="1807" max="1807" width="14.42578125" style="20" bestFit="1" customWidth="1"/>
    <col min="1808" max="1808" width="8.85546875" style="20"/>
    <col min="1809" max="1809" width="10.85546875" style="20" customWidth="1"/>
    <col min="1810" max="2045" width="8.85546875" style="20"/>
    <col min="2046" max="2046" width="0.85546875" style="20" customWidth="1"/>
    <col min="2047" max="2047" width="4.42578125" style="20" bestFit="1" customWidth="1"/>
    <col min="2048" max="2048" width="32.7109375" style="20" customWidth="1"/>
    <col min="2049" max="2049" width="12.7109375" style="20" customWidth="1"/>
    <col min="2050" max="2050" width="14.85546875" style="20" customWidth="1"/>
    <col min="2051" max="2051" width="5.85546875" style="20" customWidth="1"/>
    <col min="2052" max="2052" width="15.5703125" style="20" customWidth="1"/>
    <col min="2053" max="2053" width="10.140625" style="20" bestFit="1" customWidth="1"/>
    <col min="2054" max="2054" width="8.85546875" style="20" customWidth="1"/>
    <col min="2055" max="2055" width="10.140625" style="20" customWidth="1"/>
    <col min="2056" max="2056" width="8.85546875" style="20"/>
    <col min="2057" max="2057" width="4" style="20" customWidth="1"/>
    <col min="2058" max="2058" width="1.5703125" style="20" customWidth="1"/>
    <col min="2059" max="2061" width="4" style="20" customWidth="1"/>
    <col min="2062" max="2062" width="8.85546875" style="20"/>
    <col min="2063" max="2063" width="14.42578125" style="20" bestFit="1" customWidth="1"/>
    <col min="2064" max="2064" width="8.85546875" style="20"/>
    <col min="2065" max="2065" width="10.85546875" style="20" customWidth="1"/>
    <col min="2066" max="2301" width="8.85546875" style="20"/>
    <col min="2302" max="2302" width="0.85546875" style="20" customWidth="1"/>
    <col min="2303" max="2303" width="4.42578125" style="20" bestFit="1" customWidth="1"/>
    <col min="2304" max="2304" width="32.7109375" style="20" customWidth="1"/>
    <col min="2305" max="2305" width="12.7109375" style="20" customWidth="1"/>
    <col min="2306" max="2306" width="14.85546875" style="20" customWidth="1"/>
    <col min="2307" max="2307" width="5.85546875" style="20" customWidth="1"/>
    <col min="2308" max="2308" width="15.5703125" style="20" customWidth="1"/>
    <col min="2309" max="2309" width="10.140625" style="20" bestFit="1" customWidth="1"/>
    <col min="2310" max="2310" width="8.85546875" style="20" customWidth="1"/>
    <col min="2311" max="2311" width="10.140625" style="20" customWidth="1"/>
    <col min="2312" max="2312" width="8.85546875" style="20"/>
    <col min="2313" max="2313" width="4" style="20" customWidth="1"/>
    <col min="2314" max="2314" width="1.5703125" style="20" customWidth="1"/>
    <col min="2315" max="2317" width="4" style="20" customWidth="1"/>
    <col min="2318" max="2318" width="8.85546875" style="20"/>
    <col min="2319" max="2319" width="14.42578125" style="20" bestFit="1" customWidth="1"/>
    <col min="2320" max="2320" width="8.85546875" style="20"/>
    <col min="2321" max="2321" width="10.85546875" style="20" customWidth="1"/>
    <col min="2322" max="2557" width="8.85546875" style="20"/>
    <col min="2558" max="2558" width="0.85546875" style="20" customWidth="1"/>
    <col min="2559" max="2559" width="4.42578125" style="20" bestFit="1" customWidth="1"/>
    <col min="2560" max="2560" width="32.7109375" style="20" customWidth="1"/>
    <col min="2561" max="2561" width="12.7109375" style="20" customWidth="1"/>
    <col min="2562" max="2562" width="14.85546875" style="20" customWidth="1"/>
    <col min="2563" max="2563" width="5.85546875" style="20" customWidth="1"/>
    <col min="2564" max="2564" width="15.5703125" style="20" customWidth="1"/>
    <col min="2565" max="2565" width="10.140625" style="20" bestFit="1" customWidth="1"/>
    <col min="2566" max="2566" width="8.85546875" style="20" customWidth="1"/>
    <col min="2567" max="2567" width="10.140625" style="20" customWidth="1"/>
    <col min="2568" max="2568" width="8.85546875" style="20"/>
    <col min="2569" max="2569" width="4" style="20" customWidth="1"/>
    <col min="2570" max="2570" width="1.5703125" style="20" customWidth="1"/>
    <col min="2571" max="2573" width="4" style="20" customWidth="1"/>
    <col min="2574" max="2574" width="8.85546875" style="20"/>
    <col min="2575" max="2575" width="14.42578125" style="20" bestFit="1" customWidth="1"/>
    <col min="2576" max="2576" width="8.85546875" style="20"/>
    <col min="2577" max="2577" width="10.85546875" style="20" customWidth="1"/>
    <col min="2578" max="2813" width="8.85546875" style="20"/>
    <col min="2814" max="2814" width="0.85546875" style="20" customWidth="1"/>
    <col min="2815" max="2815" width="4.42578125" style="20" bestFit="1" customWidth="1"/>
    <col min="2816" max="2816" width="32.7109375" style="20" customWidth="1"/>
    <col min="2817" max="2817" width="12.7109375" style="20" customWidth="1"/>
    <col min="2818" max="2818" width="14.85546875" style="20" customWidth="1"/>
    <col min="2819" max="2819" width="5.85546875" style="20" customWidth="1"/>
    <col min="2820" max="2820" width="15.5703125" style="20" customWidth="1"/>
    <col min="2821" max="2821" width="10.140625" style="20" bestFit="1" customWidth="1"/>
    <col min="2822" max="2822" width="8.85546875" style="20" customWidth="1"/>
    <col min="2823" max="2823" width="10.140625" style="20" customWidth="1"/>
    <col min="2824" max="2824" width="8.85546875" style="20"/>
    <col min="2825" max="2825" width="4" style="20" customWidth="1"/>
    <col min="2826" max="2826" width="1.5703125" style="20" customWidth="1"/>
    <col min="2827" max="2829" width="4" style="20" customWidth="1"/>
    <col min="2830" max="2830" width="8.85546875" style="20"/>
    <col min="2831" max="2831" width="14.42578125" style="20" bestFit="1" customWidth="1"/>
    <col min="2832" max="2832" width="8.85546875" style="20"/>
    <col min="2833" max="2833" width="10.85546875" style="20" customWidth="1"/>
    <col min="2834" max="3069" width="8.85546875" style="20"/>
    <col min="3070" max="3070" width="0.85546875" style="20" customWidth="1"/>
    <col min="3071" max="3071" width="4.42578125" style="20" bestFit="1" customWidth="1"/>
    <col min="3072" max="3072" width="32.7109375" style="20" customWidth="1"/>
    <col min="3073" max="3073" width="12.7109375" style="20" customWidth="1"/>
    <col min="3074" max="3074" width="14.85546875" style="20" customWidth="1"/>
    <col min="3075" max="3075" width="5.85546875" style="20" customWidth="1"/>
    <col min="3076" max="3076" width="15.5703125" style="20" customWidth="1"/>
    <col min="3077" max="3077" width="10.140625" style="20" bestFit="1" customWidth="1"/>
    <col min="3078" max="3078" width="8.85546875" style="20" customWidth="1"/>
    <col min="3079" max="3079" width="10.140625" style="20" customWidth="1"/>
    <col min="3080" max="3080" width="8.85546875" style="20"/>
    <col min="3081" max="3081" width="4" style="20" customWidth="1"/>
    <col min="3082" max="3082" width="1.5703125" style="20" customWidth="1"/>
    <col min="3083" max="3085" width="4" style="20" customWidth="1"/>
    <col min="3086" max="3086" width="8.85546875" style="20"/>
    <col min="3087" max="3087" width="14.42578125" style="20" bestFit="1" customWidth="1"/>
    <col min="3088" max="3088" width="8.85546875" style="20"/>
    <col min="3089" max="3089" width="10.85546875" style="20" customWidth="1"/>
    <col min="3090" max="3325" width="8.85546875" style="20"/>
    <col min="3326" max="3326" width="0.85546875" style="20" customWidth="1"/>
    <col min="3327" max="3327" width="4.42578125" style="20" bestFit="1" customWidth="1"/>
    <col min="3328" max="3328" width="32.7109375" style="20" customWidth="1"/>
    <col min="3329" max="3329" width="12.7109375" style="20" customWidth="1"/>
    <col min="3330" max="3330" width="14.85546875" style="20" customWidth="1"/>
    <col min="3331" max="3331" width="5.85546875" style="20" customWidth="1"/>
    <col min="3332" max="3332" width="15.5703125" style="20" customWidth="1"/>
    <col min="3333" max="3333" width="10.140625" style="20" bestFit="1" customWidth="1"/>
    <col min="3334" max="3334" width="8.85546875" style="20" customWidth="1"/>
    <col min="3335" max="3335" width="10.140625" style="20" customWidth="1"/>
    <col min="3336" max="3336" width="8.85546875" style="20"/>
    <col min="3337" max="3337" width="4" style="20" customWidth="1"/>
    <col min="3338" max="3338" width="1.5703125" style="20" customWidth="1"/>
    <col min="3339" max="3341" width="4" style="20" customWidth="1"/>
    <col min="3342" max="3342" width="8.85546875" style="20"/>
    <col min="3343" max="3343" width="14.42578125" style="20" bestFit="1" customWidth="1"/>
    <col min="3344" max="3344" width="8.85546875" style="20"/>
    <col min="3345" max="3345" width="10.85546875" style="20" customWidth="1"/>
    <col min="3346" max="3581" width="8.85546875" style="20"/>
    <col min="3582" max="3582" width="0.85546875" style="20" customWidth="1"/>
    <col min="3583" max="3583" width="4.42578125" style="20" bestFit="1" customWidth="1"/>
    <col min="3584" max="3584" width="32.7109375" style="20" customWidth="1"/>
    <col min="3585" max="3585" width="12.7109375" style="20" customWidth="1"/>
    <col min="3586" max="3586" width="14.85546875" style="20" customWidth="1"/>
    <col min="3587" max="3587" width="5.85546875" style="20" customWidth="1"/>
    <col min="3588" max="3588" width="15.5703125" style="20" customWidth="1"/>
    <col min="3589" max="3589" width="10.140625" style="20" bestFit="1" customWidth="1"/>
    <col min="3590" max="3590" width="8.85546875" style="20" customWidth="1"/>
    <col min="3591" max="3591" width="10.140625" style="20" customWidth="1"/>
    <col min="3592" max="3592" width="8.85546875" style="20"/>
    <col min="3593" max="3593" width="4" style="20" customWidth="1"/>
    <col min="3594" max="3594" width="1.5703125" style="20" customWidth="1"/>
    <col min="3595" max="3597" width="4" style="20" customWidth="1"/>
    <col min="3598" max="3598" width="8.85546875" style="20"/>
    <col min="3599" max="3599" width="14.42578125" style="20" bestFit="1" customWidth="1"/>
    <col min="3600" max="3600" width="8.85546875" style="20"/>
    <col min="3601" max="3601" width="10.85546875" style="20" customWidth="1"/>
    <col min="3602" max="3837" width="8.85546875" style="20"/>
    <col min="3838" max="3838" width="0.85546875" style="20" customWidth="1"/>
    <col min="3839" max="3839" width="4.42578125" style="20" bestFit="1" customWidth="1"/>
    <col min="3840" max="3840" width="32.7109375" style="20" customWidth="1"/>
    <col min="3841" max="3841" width="12.7109375" style="20" customWidth="1"/>
    <col min="3842" max="3842" width="14.85546875" style="20" customWidth="1"/>
    <col min="3843" max="3843" width="5.85546875" style="20" customWidth="1"/>
    <col min="3844" max="3844" width="15.5703125" style="20" customWidth="1"/>
    <col min="3845" max="3845" width="10.140625" style="20" bestFit="1" customWidth="1"/>
    <col min="3846" max="3846" width="8.85546875" style="20" customWidth="1"/>
    <col min="3847" max="3847" width="10.140625" style="20" customWidth="1"/>
    <col min="3848" max="3848" width="8.85546875" style="20"/>
    <col min="3849" max="3849" width="4" style="20" customWidth="1"/>
    <col min="3850" max="3850" width="1.5703125" style="20" customWidth="1"/>
    <col min="3851" max="3853" width="4" style="20" customWidth="1"/>
    <col min="3854" max="3854" width="8.85546875" style="20"/>
    <col min="3855" max="3855" width="14.42578125" style="20" bestFit="1" customWidth="1"/>
    <col min="3856" max="3856" width="8.85546875" style="20"/>
    <col min="3857" max="3857" width="10.85546875" style="20" customWidth="1"/>
    <col min="3858" max="4093" width="8.85546875" style="20"/>
    <col min="4094" max="4094" width="0.85546875" style="20" customWidth="1"/>
    <col min="4095" max="4095" width="4.42578125" style="20" bestFit="1" customWidth="1"/>
    <col min="4096" max="4096" width="32.7109375" style="20" customWidth="1"/>
    <col min="4097" max="4097" width="12.7109375" style="20" customWidth="1"/>
    <col min="4098" max="4098" width="14.85546875" style="20" customWidth="1"/>
    <col min="4099" max="4099" width="5.85546875" style="20" customWidth="1"/>
    <col min="4100" max="4100" width="15.5703125" style="20" customWidth="1"/>
    <col min="4101" max="4101" width="10.140625" style="20" bestFit="1" customWidth="1"/>
    <col min="4102" max="4102" width="8.85546875" style="20" customWidth="1"/>
    <col min="4103" max="4103" width="10.140625" style="20" customWidth="1"/>
    <col min="4104" max="4104" width="8.85546875" style="20"/>
    <col min="4105" max="4105" width="4" style="20" customWidth="1"/>
    <col min="4106" max="4106" width="1.5703125" style="20" customWidth="1"/>
    <col min="4107" max="4109" width="4" style="20" customWidth="1"/>
    <col min="4110" max="4110" width="8.85546875" style="20"/>
    <col min="4111" max="4111" width="14.42578125" style="20" bestFit="1" customWidth="1"/>
    <col min="4112" max="4112" width="8.85546875" style="20"/>
    <col min="4113" max="4113" width="10.85546875" style="20" customWidth="1"/>
    <col min="4114" max="4349" width="8.85546875" style="20"/>
    <col min="4350" max="4350" width="0.85546875" style="20" customWidth="1"/>
    <col min="4351" max="4351" width="4.42578125" style="20" bestFit="1" customWidth="1"/>
    <col min="4352" max="4352" width="32.7109375" style="20" customWidth="1"/>
    <col min="4353" max="4353" width="12.7109375" style="20" customWidth="1"/>
    <col min="4354" max="4354" width="14.85546875" style="20" customWidth="1"/>
    <col min="4355" max="4355" width="5.85546875" style="20" customWidth="1"/>
    <col min="4356" max="4356" width="15.5703125" style="20" customWidth="1"/>
    <col min="4357" max="4357" width="10.140625" style="20" bestFit="1" customWidth="1"/>
    <col min="4358" max="4358" width="8.85546875" style="20" customWidth="1"/>
    <col min="4359" max="4359" width="10.140625" style="20" customWidth="1"/>
    <col min="4360" max="4360" width="8.85546875" style="20"/>
    <col min="4361" max="4361" width="4" style="20" customWidth="1"/>
    <col min="4362" max="4362" width="1.5703125" style="20" customWidth="1"/>
    <col min="4363" max="4365" width="4" style="20" customWidth="1"/>
    <col min="4366" max="4366" width="8.85546875" style="20"/>
    <col min="4367" max="4367" width="14.42578125" style="20" bestFit="1" customWidth="1"/>
    <col min="4368" max="4368" width="8.85546875" style="20"/>
    <col min="4369" max="4369" width="10.85546875" style="20" customWidth="1"/>
    <col min="4370" max="4605" width="8.85546875" style="20"/>
    <col min="4606" max="4606" width="0.85546875" style="20" customWidth="1"/>
    <col min="4607" max="4607" width="4.42578125" style="20" bestFit="1" customWidth="1"/>
    <col min="4608" max="4608" width="32.7109375" style="20" customWidth="1"/>
    <col min="4609" max="4609" width="12.7109375" style="20" customWidth="1"/>
    <col min="4610" max="4610" width="14.85546875" style="20" customWidth="1"/>
    <col min="4611" max="4611" width="5.85546875" style="20" customWidth="1"/>
    <col min="4612" max="4612" width="15.5703125" style="20" customWidth="1"/>
    <col min="4613" max="4613" width="10.140625" style="20" bestFit="1" customWidth="1"/>
    <col min="4614" max="4614" width="8.85546875" style="20" customWidth="1"/>
    <col min="4615" max="4615" width="10.140625" style="20" customWidth="1"/>
    <col min="4616" max="4616" width="8.85546875" style="20"/>
    <col min="4617" max="4617" width="4" style="20" customWidth="1"/>
    <col min="4618" max="4618" width="1.5703125" style="20" customWidth="1"/>
    <col min="4619" max="4621" width="4" style="20" customWidth="1"/>
    <col min="4622" max="4622" width="8.85546875" style="20"/>
    <col min="4623" max="4623" width="14.42578125" style="20" bestFit="1" customWidth="1"/>
    <col min="4624" max="4624" width="8.85546875" style="20"/>
    <col min="4625" max="4625" width="10.85546875" style="20" customWidth="1"/>
    <col min="4626" max="4861" width="8.85546875" style="20"/>
    <col min="4862" max="4862" width="0.85546875" style="20" customWidth="1"/>
    <col min="4863" max="4863" width="4.42578125" style="20" bestFit="1" customWidth="1"/>
    <col min="4864" max="4864" width="32.7109375" style="20" customWidth="1"/>
    <col min="4865" max="4865" width="12.7109375" style="20" customWidth="1"/>
    <col min="4866" max="4866" width="14.85546875" style="20" customWidth="1"/>
    <col min="4867" max="4867" width="5.85546875" style="20" customWidth="1"/>
    <col min="4868" max="4868" width="15.5703125" style="20" customWidth="1"/>
    <col min="4869" max="4869" width="10.140625" style="20" bestFit="1" customWidth="1"/>
    <col min="4870" max="4870" width="8.85546875" style="20" customWidth="1"/>
    <col min="4871" max="4871" width="10.140625" style="20" customWidth="1"/>
    <col min="4872" max="4872" width="8.85546875" style="20"/>
    <col min="4873" max="4873" width="4" style="20" customWidth="1"/>
    <col min="4874" max="4874" width="1.5703125" style="20" customWidth="1"/>
    <col min="4875" max="4877" width="4" style="20" customWidth="1"/>
    <col min="4878" max="4878" width="8.85546875" style="20"/>
    <col min="4879" max="4879" width="14.42578125" style="20" bestFit="1" customWidth="1"/>
    <col min="4880" max="4880" width="8.85546875" style="20"/>
    <col min="4881" max="4881" width="10.85546875" style="20" customWidth="1"/>
    <col min="4882" max="5117" width="8.85546875" style="20"/>
    <col min="5118" max="5118" width="0.85546875" style="20" customWidth="1"/>
    <col min="5119" max="5119" width="4.42578125" style="20" bestFit="1" customWidth="1"/>
    <col min="5120" max="5120" width="32.7109375" style="20" customWidth="1"/>
    <col min="5121" max="5121" width="12.7109375" style="20" customWidth="1"/>
    <col min="5122" max="5122" width="14.85546875" style="20" customWidth="1"/>
    <col min="5123" max="5123" width="5.85546875" style="20" customWidth="1"/>
    <col min="5124" max="5124" width="15.5703125" style="20" customWidth="1"/>
    <col min="5125" max="5125" width="10.140625" style="20" bestFit="1" customWidth="1"/>
    <col min="5126" max="5126" width="8.85546875" style="20" customWidth="1"/>
    <col min="5127" max="5127" width="10.140625" style="20" customWidth="1"/>
    <col min="5128" max="5128" width="8.85546875" style="20"/>
    <col min="5129" max="5129" width="4" style="20" customWidth="1"/>
    <col min="5130" max="5130" width="1.5703125" style="20" customWidth="1"/>
    <col min="5131" max="5133" width="4" style="20" customWidth="1"/>
    <col min="5134" max="5134" width="8.85546875" style="20"/>
    <col min="5135" max="5135" width="14.42578125" style="20" bestFit="1" customWidth="1"/>
    <col min="5136" max="5136" width="8.85546875" style="20"/>
    <col min="5137" max="5137" width="10.85546875" style="20" customWidth="1"/>
    <col min="5138" max="5373" width="8.85546875" style="20"/>
    <col min="5374" max="5374" width="0.85546875" style="20" customWidth="1"/>
    <col min="5375" max="5375" width="4.42578125" style="20" bestFit="1" customWidth="1"/>
    <col min="5376" max="5376" width="32.7109375" style="20" customWidth="1"/>
    <col min="5377" max="5377" width="12.7109375" style="20" customWidth="1"/>
    <col min="5378" max="5378" width="14.85546875" style="20" customWidth="1"/>
    <col min="5379" max="5379" width="5.85546875" style="20" customWidth="1"/>
    <col min="5380" max="5380" width="15.5703125" style="20" customWidth="1"/>
    <col min="5381" max="5381" width="10.140625" style="20" bestFit="1" customWidth="1"/>
    <col min="5382" max="5382" width="8.85546875" style="20" customWidth="1"/>
    <col min="5383" max="5383" width="10.140625" style="20" customWidth="1"/>
    <col min="5384" max="5384" width="8.85546875" style="20"/>
    <col min="5385" max="5385" width="4" style="20" customWidth="1"/>
    <col min="5386" max="5386" width="1.5703125" style="20" customWidth="1"/>
    <col min="5387" max="5389" width="4" style="20" customWidth="1"/>
    <col min="5390" max="5390" width="8.85546875" style="20"/>
    <col min="5391" max="5391" width="14.42578125" style="20" bestFit="1" customWidth="1"/>
    <col min="5392" max="5392" width="8.85546875" style="20"/>
    <col min="5393" max="5393" width="10.85546875" style="20" customWidth="1"/>
    <col min="5394" max="5629" width="8.85546875" style="20"/>
    <col min="5630" max="5630" width="0.85546875" style="20" customWidth="1"/>
    <col min="5631" max="5631" width="4.42578125" style="20" bestFit="1" customWidth="1"/>
    <col min="5632" max="5632" width="32.7109375" style="20" customWidth="1"/>
    <col min="5633" max="5633" width="12.7109375" style="20" customWidth="1"/>
    <col min="5634" max="5634" width="14.85546875" style="20" customWidth="1"/>
    <col min="5635" max="5635" width="5.85546875" style="20" customWidth="1"/>
    <col min="5636" max="5636" width="15.5703125" style="20" customWidth="1"/>
    <col min="5637" max="5637" width="10.140625" style="20" bestFit="1" customWidth="1"/>
    <col min="5638" max="5638" width="8.85546875" style="20" customWidth="1"/>
    <col min="5639" max="5639" width="10.140625" style="20" customWidth="1"/>
    <col min="5640" max="5640" width="8.85546875" style="20"/>
    <col min="5641" max="5641" width="4" style="20" customWidth="1"/>
    <col min="5642" max="5642" width="1.5703125" style="20" customWidth="1"/>
    <col min="5643" max="5645" width="4" style="20" customWidth="1"/>
    <col min="5646" max="5646" width="8.85546875" style="20"/>
    <col min="5647" max="5647" width="14.42578125" style="20" bestFit="1" customWidth="1"/>
    <col min="5648" max="5648" width="8.85546875" style="20"/>
    <col min="5649" max="5649" width="10.85546875" style="20" customWidth="1"/>
    <col min="5650" max="5885" width="8.85546875" style="20"/>
    <col min="5886" max="5886" width="0.85546875" style="20" customWidth="1"/>
    <col min="5887" max="5887" width="4.42578125" style="20" bestFit="1" customWidth="1"/>
    <col min="5888" max="5888" width="32.7109375" style="20" customWidth="1"/>
    <col min="5889" max="5889" width="12.7109375" style="20" customWidth="1"/>
    <col min="5890" max="5890" width="14.85546875" style="20" customWidth="1"/>
    <col min="5891" max="5891" width="5.85546875" style="20" customWidth="1"/>
    <col min="5892" max="5892" width="15.5703125" style="20" customWidth="1"/>
    <col min="5893" max="5893" width="10.140625" style="20" bestFit="1" customWidth="1"/>
    <col min="5894" max="5894" width="8.85546875" style="20" customWidth="1"/>
    <col min="5895" max="5895" width="10.140625" style="20" customWidth="1"/>
    <col min="5896" max="5896" width="8.85546875" style="20"/>
    <col min="5897" max="5897" width="4" style="20" customWidth="1"/>
    <col min="5898" max="5898" width="1.5703125" style="20" customWidth="1"/>
    <col min="5899" max="5901" width="4" style="20" customWidth="1"/>
    <col min="5902" max="5902" width="8.85546875" style="20"/>
    <col min="5903" max="5903" width="14.42578125" style="20" bestFit="1" customWidth="1"/>
    <col min="5904" max="5904" width="8.85546875" style="20"/>
    <col min="5905" max="5905" width="10.85546875" style="20" customWidth="1"/>
    <col min="5906" max="6141" width="8.85546875" style="20"/>
    <col min="6142" max="6142" width="0.85546875" style="20" customWidth="1"/>
    <col min="6143" max="6143" width="4.42578125" style="20" bestFit="1" customWidth="1"/>
    <col min="6144" max="6144" width="32.7109375" style="20" customWidth="1"/>
    <col min="6145" max="6145" width="12.7109375" style="20" customWidth="1"/>
    <col min="6146" max="6146" width="14.85546875" style="20" customWidth="1"/>
    <col min="6147" max="6147" width="5.85546875" style="20" customWidth="1"/>
    <col min="6148" max="6148" width="15.5703125" style="20" customWidth="1"/>
    <col min="6149" max="6149" width="10.140625" style="20" bestFit="1" customWidth="1"/>
    <col min="6150" max="6150" width="8.85546875" style="20" customWidth="1"/>
    <col min="6151" max="6151" width="10.140625" style="20" customWidth="1"/>
    <col min="6152" max="6152" width="8.85546875" style="20"/>
    <col min="6153" max="6153" width="4" style="20" customWidth="1"/>
    <col min="6154" max="6154" width="1.5703125" style="20" customWidth="1"/>
    <col min="6155" max="6157" width="4" style="20" customWidth="1"/>
    <col min="6158" max="6158" width="8.85546875" style="20"/>
    <col min="6159" max="6159" width="14.42578125" style="20" bestFit="1" customWidth="1"/>
    <col min="6160" max="6160" width="8.85546875" style="20"/>
    <col min="6161" max="6161" width="10.85546875" style="20" customWidth="1"/>
    <col min="6162" max="6397" width="8.85546875" style="20"/>
    <col min="6398" max="6398" width="0.85546875" style="20" customWidth="1"/>
    <col min="6399" max="6399" width="4.42578125" style="20" bestFit="1" customWidth="1"/>
    <col min="6400" max="6400" width="32.7109375" style="20" customWidth="1"/>
    <col min="6401" max="6401" width="12.7109375" style="20" customWidth="1"/>
    <col min="6402" max="6402" width="14.85546875" style="20" customWidth="1"/>
    <col min="6403" max="6403" width="5.85546875" style="20" customWidth="1"/>
    <col min="6404" max="6404" width="15.5703125" style="20" customWidth="1"/>
    <col min="6405" max="6405" width="10.140625" style="20" bestFit="1" customWidth="1"/>
    <col min="6406" max="6406" width="8.85546875" style="20" customWidth="1"/>
    <col min="6407" max="6407" width="10.140625" style="20" customWidth="1"/>
    <col min="6408" max="6408" width="8.85546875" style="20"/>
    <col min="6409" max="6409" width="4" style="20" customWidth="1"/>
    <col min="6410" max="6410" width="1.5703125" style="20" customWidth="1"/>
    <col min="6411" max="6413" width="4" style="20" customWidth="1"/>
    <col min="6414" max="6414" width="8.85546875" style="20"/>
    <col min="6415" max="6415" width="14.42578125" style="20" bestFit="1" customWidth="1"/>
    <col min="6416" max="6416" width="8.85546875" style="20"/>
    <col min="6417" max="6417" width="10.85546875" style="20" customWidth="1"/>
    <col min="6418" max="6653" width="8.85546875" style="20"/>
    <col min="6654" max="6654" width="0.85546875" style="20" customWidth="1"/>
    <col min="6655" max="6655" width="4.42578125" style="20" bestFit="1" customWidth="1"/>
    <col min="6656" max="6656" width="32.7109375" style="20" customWidth="1"/>
    <col min="6657" max="6657" width="12.7109375" style="20" customWidth="1"/>
    <col min="6658" max="6658" width="14.85546875" style="20" customWidth="1"/>
    <col min="6659" max="6659" width="5.85546875" style="20" customWidth="1"/>
    <col min="6660" max="6660" width="15.5703125" style="20" customWidth="1"/>
    <col min="6661" max="6661" width="10.140625" style="20" bestFit="1" customWidth="1"/>
    <col min="6662" max="6662" width="8.85546875" style="20" customWidth="1"/>
    <col min="6663" max="6663" width="10.140625" style="20" customWidth="1"/>
    <col min="6664" max="6664" width="8.85546875" style="20"/>
    <col min="6665" max="6665" width="4" style="20" customWidth="1"/>
    <col min="6666" max="6666" width="1.5703125" style="20" customWidth="1"/>
    <col min="6667" max="6669" width="4" style="20" customWidth="1"/>
    <col min="6670" max="6670" width="8.85546875" style="20"/>
    <col min="6671" max="6671" width="14.42578125" style="20" bestFit="1" customWidth="1"/>
    <col min="6672" max="6672" width="8.85546875" style="20"/>
    <col min="6673" max="6673" width="10.85546875" style="20" customWidth="1"/>
    <col min="6674" max="6909" width="8.85546875" style="20"/>
    <col min="6910" max="6910" width="0.85546875" style="20" customWidth="1"/>
    <col min="6911" max="6911" width="4.42578125" style="20" bestFit="1" customWidth="1"/>
    <col min="6912" max="6912" width="32.7109375" style="20" customWidth="1"/>
    <col min="6913" max="6913" width="12.7109375" style="20" customWidth="1"/>
    <col min="6914" max="6914" width="14.85546875" style="20" customWidth="1"/>
    <col min="6915" max="6915" width="5.85546875" style="20" customWidth="1"/>
    <col min="6916" max="6916" width="15.5703125" style="20" customWidth="1"/>
    <col min="6917" max="6917" width="10.140625" style="20" bestFit="1" customWidth="1"/>
    <col min="6918" max="6918" width="8.85546875" style="20" customWidth="1"/>
    <col min="6919" max="6919" width="10.140625" style="20" customWidth="1"/>
    <col min="6920" max="6920" width="8.85546875" style="20"/>
    <col min="6921" max="6921" width="4" style="20" customWidth="1"/>
    <col min="6922" max="6922" width="1.5703125" style="20" customWidth="1"/>
    <col min="6923" max="6925" width="4" style="20" customWidth="1"/>
    <col min="6926" max="6926" width="8.85546875" style="20"/>
    <col min="6927" max="6927" width="14.42578125" style="20" bestFit="1" customWidth="1"/>
    <col min="6928" max="6928" width="8.85546875" style="20"/>
    <col min="6929" max="6929" width="10.85546875" style="20" customWidth="1"/>
    <col min="6930" max="7165" width="8.85546875" style="20"/>
    <col min="7166" max="7166" width="0.85546875" style="20" customWidth="1"/>
    <col min="7167" max="7167" width="4.42578125" style="20" bestFit="1" customWidth="1"/>
    <col min="7168" max="7168" width="32.7109375" style="20" customWidth="1"/>
    <col min="7169" max="7169" width="12.7109375" style="20" customWidth="1"/>
    <col min="7170" max="7170" width="14.85546875" style="20" customWidth="1"/>
    <col min="7171" max="7171" width="5.85546875" style="20" customWidth="1"/>
    <col min="7172" max="7172" width="15.5703125" style="20" customWidth="1"/>
    <col min="7173" max="7173" width="10.140625" style="20" bestFit="1" customWidth="1"/>
    <col min="7174" max="7174" width="8.85546875" style="20" customWidth="1"/>
    <col min="7175" max="7175" width="10.140625" style="20" customWidth="1"/>
    <col min="7176" max="7176" width="8.85546875" style="20"/>
    <col min="7177" max="7177" width="4" style="20" customWidth="1"/>
    <col min="7178" max="7178" width="1.5703125" style="20" customWidth="1"/>
    <col min="7179" max="7181" width="4" style="20" customWidth="1"/>
    <col min="7182" max="7182" width="8.85546875" style="20"/>
    <col min="7183" max="7183" width="14.42578125" style="20" bestFit="1" customWidth="1"/>
    <col min="7184" max="7184" width="8.85546875" style="20"/>
    <col min="7185" max="7185" width="10.85546875" style="20" customWidth="1"/>
    <col min="7186" max="7421" width="8.85546875" style="20"/>
    <col min="7422" max="7422" width="0.85546875" style="20" customWidth="1"/>
    <col min="7423" max="7423" width="4.42578125" style="20" bestFit="1" customWidth="1"/>
    <col min="7424" max="7424" width="32.7109375" style="20" customWidth="1"/>
    <col min="7425" max="7425" width="12.7109375" style="20" customWidth="1"/>
    <col min="7426" max="7426" width="14.85546875" style="20" customWidth="1"/>
    <col min="7427" max="7427" width="5.85546875" style="20" customWidth="1"/>
    <col min="7428" max="7428" width="15.5703125" style="20" customWidth="1"/>
    <col min="7429" max="7429" width="10.140625" style="20" bestFit="1" customWidth="1"/>
    <col min="7430" max="7430" width="8.85546875" style="20" customWidth="1"/>
    <col min="7431" max="7431" width="10.140625" style="20" customWidth="1"/>
    <col min="7432" max="7432" width="8.85546875" style="20"/>
    <col min="7433" max="7433" width="4" style="20" customWidth="1"/>
    <col min="7434" max="7434" width="1.5703125" style="20" customWidth="1"/>
    <col min="7435" max="7437" width="4" style="20" customWidth="1"/>
    <col min="7438" max="7438" width="8.85546875" style="20"/>
    <col min="7439" max="7439" width="14.42578125" style="20" bestFit="1" customWidth="1"/>
    <col min="7440" max="7440" width="8.85546875" style="20"/>
    <col min="7441" max="7441" width="10.85546875" style="20" customWidth="1"/>
    <col min="7442" max="7677" width="8.85546875" style="20"/>
    <col min="7678" max="7678" width="0.85546875" style="20" customWidth="1"/>
    <col min="7679" max="7679" width="4.42578125" style="20" bestFit="1" customWidth="1"/>
    <col min="7680" max="7680" width="32.7109375" style="20" customWidth="1"/>
    <col min="7681" max="7681" width="12.7109375" style="20" customWidth="1"/>
    <col min="7682" max="7682" width="14.85546875" style="20" customWidth="1"/>
    <col min="7683" max="7683" width="5.85546875" style="20" customWidth="1"/>
    <col min="7684" max="7684" width="15.5703125" style="20" customWidth="1"/>
    <col min="7685" max="7685" width="10.140625" style="20" bestFit="1" customWidth="1"/>
    <col min="7686" max="7686" width="8.85546875" style="20" customWidth="1"/>
    <col min="7687" max="7687" width="10.140625" style="20" customWidth="1"/>
    <col min="7688" max="7688" width="8.85546875" style="20"/>
    <col min="7689" max="7689" width="4" style="20" customWidth="1"/>
    <col min="7690" max="7690" width="1.5703125" style="20" customWidth="1"/>
    <col min="7691" max="7693" width="4" style="20" customWidth="1"/>
    <col min="7694" max="7694" width="8.85546875" style="20"/>
    <col min="7695" max="7695" width="14.42578125" style="20" bestFit="1" customWidth="1"/>
    <col min="7696" max="7696" width="8.85546875" style="20"/>
    <col min="7697" max="7697" width="10.85546875" style="20" customWidth="1"/>
    <col min="7698" max="7933" width="8.85546875" style="20"/>
    <col min="7934" max="7934" width="0.85546875" style="20" customWidth="1"/>
    <col min="7935" max="7935" width="4.42578125" style="20" bestFit="1" customWidth="1"/>
    <col min="7936" max="7936" width="32.7109375" style="20" customWidth="1"/>
    <col min="7937" max="7937" width="12.7109375" style="20" customWidth="1"/>
    <col min="7938" max="7938" width="14.85546875" style="20" customWidth="1"/>
    <col min="7939" max="7939" width="5.85546875" style="20" customWidth="1"/>
    <col min="7940" max="7940" width="15.5703125" style="20" customWidth="1"/>
    <col min="7941" max="7941" width="10.140625" style="20" bestFit="1" customWidth="1"/>
    <col min="7942" max="7942" width="8.85546875" style="20" customWidth="1"/>
    <col min="7943" max="7943" width="10.140625" style="20" customWidth="1"/>
    <col min="7944" max="7944" width="8.85546875" style="20"/>
    <col min="7945" max="7945" width="4" style="20" customWidth="1"/>
    <col min="7946" max="7946" width="1.5703125" style="20" customWidth="1"/>
    <col min="7947" max="7949" width="4" style="20" customWidth="1"/>
    <col min="7950" max="7950" width="8.85546875" style="20"/>
    <col min="7951" max="7951" width="14.42578125" style="20" bestFit="1" customWidth="1"/>
    <col min="7952" max="7952" width="8.85546875" style="20"/>
    <col min="7953" max="7953" width="10.85546875" style="20" customWidth="1"/>
    <col min="7954" max="8189" width="8.85546875" style="20"/>
    <col min="8190" max="8190" width="0.85546875" style="20" customWidth="1"/>
    <col min="8191" max="8191" width="4.42578125" style="20" bestFit="1" customWidth="1"/>
    <col min="8192" max="8192" width="32.7109375" style="20" customWidth="1"/>
    <col min="8193" max="8193" width="12.7109375" style="20" customWidth="1"/>
    <col min="8194" max="8194" width="14.85546875" style="20" customWidth="1"/>
    <col min="8195" max="8195" width="5.85546875" style="20" customWidth="1"/>
    <col min="8196" max="8196" width="15.5703125" style="20" customWidth="1"/>
    <col min="8197" max="8197" width="10.140625" style="20" bestFit="1" customWidth="1"/>
    <col min="8198" max="8198" width="8.85546875" style="20" customWidth="1"/>
    <col min="8199" max="8199" width="10.140625" style="20" customWidth="1"/>
    <col min="8200" max="8200" width="8.85546875" style="20"/>
    <col min="8201" max="8201" width="4" style="20" customWidth="1"/>
    <col min="8202" max="8202" width="1.5703125" style="20" customWidth="1"/>
    <col min="8203" max="8205" width="4" style="20" customWidth="1"/>
    <col min="8206" max="8206" width="8.85546875" style="20"/>
    <col min="8207" max="8207" width="14.42578125" style="20" bestFit="1" customWidth="1"/>
    <col min="8208" max="8208" width="8.85546875" style="20"/>
    <col min="8209" max="8209" width="10.85546875" style="20" customWidth="1"/>
    <col min="8210" max="8445" width="8.85546875" style="20"/>
    <col min="8446" max="8446" width="0.85546875" style="20" customWidth="1"/>
    <col min="8447" max="8447" width="4.42578125" style="20" bestFit="1" customWidth="1"/>
    <col min="8448" max="8448" width="32.7109375" style="20" customWidth="1"/>
    <col min="8449" max="8449" width="12.7109375" style="20" customWidth="1"/>
    <col min="8450" max="8450" width="14.85546875" style="20" customWidth="1"/>
    <col min="8451" max="8451" width="5.85546875" style="20" customWidth="1"/>
    <col min="8452" max="8452" width="15.5703125" style="20" customWidth="1"/>
    <col min="8453" max="8453" width="10.140625" style="20" bestFit="1" customWidth="1"/>
    <col min="8454" max="8454" width="8.85546875" style="20" customWidth="1"/>
    <col min="8455" max="8455" width="10.140625" style="20" customWidth="1"/>
    <col min="8456" max="8456" width="8.85546875" style="20"/>
    <col min="8457" max="8457" width="4" style="20" customWidth="1"/>
    <col min="8458" max="8458" width="1.5703125" style="20" customWidth="1"/>
    <col min="8459" max="8461" width="4" style="20" customWidth="1"/>
    <col min="8462" max="8462" width="8.85546875" style="20"/>
    <col min="8463" max="8463" width="14.42578125" style="20" bestFit="1" customWidth="1"/>
    <col min="8464" max="8464" width="8.85546875" style="20"/>
    <col min="8465" max="8465" width="10.85546875" style="20" customWidth="1"/>
    <col min="8466" max="8701" width="8.85546875" style="20"/>
    <col min="8702" max="8702" width="0.85546875" style="20" customWidth="1"/>
    <col min="8703" max="8703" width="4.42578125" style="20" bestFit="1" customWidth="1"/>
    <col min="8704" max="8704" width="32.7109375" style="20" customWidth="1"/>
    <col min="8705" max="8705" width="12.7109375" style="20" customWidth="1"/>
    <col min="8706" max="8706" width="14.85546875" style="20" customWidth="1"/>
    <col min="8707" max="8707" width="5.85546875" style="20" customWidth="1"/>
    <col min="8708" max="8708" width="15.5703125" style="20" customWidth="1"/>
    <col min="8709" max="8709" width="10.140625" style="20" bestFit="1" customWidth="1"/>
    <col min="8710" max="8710" width="8.85546875" style="20" customWidth="1"/>
    <col min="8711" max="8711" width="10.140625" style="20" customWidth="1"/>
    <col min="8712" max="8712" width="8.85546875" style="20"/>
    <col min="8713" max="8713" width="4" style="20" customWidth="1"/>
    <col min="8714" max="8714" width="1.5703125" style="20" customWidth="1"/>
    <col min="8715" max="8717" width="4" style="20" customWidth="1"/>
    <col min="8718" max="8718" width="8.85546875" style="20"/>
    <col min="8719" max="8719" width="14.42578125" style="20" bestFit="1" customWidth="1"/>
    <col min="8720" max="8720" width="8.85546875" style="20"/>
    <col min="8721" max="8721" width="10.85546875" style="20" customWidth="1"/>
    <col min="8722" max="8957" width="8.85546875" style="20"/>
    <col min="8958" max="8958" width="0.85546875" style="20" customWidth="1"/>
    <col min="8959" max="8959" width="4.42578125" style="20" bestFit="1" customWidth="1"/>
    <col min="8960" max="8960" width="32.7109375" style="20" customWidth="1"/>
    <col min="8961" max="8961" width="12.7109375" style="20" customWidth="1"/>
    <col min="8962" max="8962" width="14.85546875" style="20" customWidth="1"/>
    <col min="8963" max="8963" width="5.85546875" style="20" customWidth="1"/>
    <col min="8964" max="8964" width="15.5703125" style="20" customWidth="1"/>
    <col min="8965" max="8965" width="10.140625" style="20" bestFit="1" customWidth="1"/>
    <col min="8966" max="8966" width="8.85546875" style="20" customWidth="1"/>
    <col min="8967" max="8967" width="10.140625" style="20" customWidth="1"/>
    <col min="8968" max="8968" width="8.85546875" style="20"/>
    <col min="8969" max="8969" width="4" style="20" customWidth="1"/>
    <col min="8970" max="8970" width="1.5703125" style="20" customWidth="1"/>
    <col min="8971" max="8973" width="4" style="20" customWidth="1"/>
    <col min="8974" max="8974" width="8.85546875" style="20"/>
    <col min="8975" max="8975" width="14.42578125" style="20" bestFit="1" customWidth="1"/>
    <col min="8976" max="8976" width="8.85546875" style="20"/>
    <col min="8977" max="8977" width="10.85546875" style="20" customWidth="1"/>
    <col min="8978" max="9213" width="8.85546875" style="20"/>
    <col min="9214" max="9214" width="0.85546875" style="20" customWidth="1"/>
    <col min="9215" max="9215" width="4.42578125" style="20" bestFit="1" customWidth="1"/>
    <col min="9216" max="9216" width="32.7109375" style="20" customWidth="1"/>
    <col min="9217" max="9217" width="12.7109375" style="20" customWidth="1"/>
    <col min="9218" max="9218" width="14.85546875" style="20" customWidth="1"/>
    <col min="9219" max="9219" width="5.85546875" style="20" customWidth="1"/>
    <col min="9220" max="9220" width="15.5703125" style="20" customWidth="1"/>
    <col min="9221" max="9221" width="10.140625" style="20" bestFit="1" customWidth="1"/>
    <col min="9222" max="9222" width="8.85546875" style="20" customWidth="1"/>
    <col min="9223" max="9223" width="10.140625" style="20" customWidth="1"/>
    <col min="9224" max="9224" width="8.85546875" style="20"/>
    <col min="9225" max="9225" width="4" style="20" customWidth="1"/>
    <col min="9226" max="9226" width="1.5703125" style="20" customWidth="1"/>
    <col min="9227" max="9229" width="4" style="20" customWidth="1"/>
    <col min="9230" max="9230" width="8.85546875" style="20"/>
    <col min="9231" max="9231" width="14.42578125" style="20" bestFit="1" customWidth="1"/>
    <col min="9232" max="9232" width="8.85546875" style="20"/>
    <col min="9233" max="9233" width="10.85546875" style="20" customWidth="1"/>
    <col min="9234" max="9469" width="8.85546875" style="20"/>
    <col min="9470" max="9470" width="0.85546875" style="20" customWidth="1"/>
    <col min="9471" max="9471" width="4.42578125" style="20" bestFit="1" customWidth="1"/>
    <col min="9472" max="9472" width="32.7109375" style="20" customWidth="1"/>
    <col min="9473" max="9473" width="12.7109375" style="20" customWidth="1"/>
    <col min="9474" max="9474" width="14.85546875" style="20" customWidth="1"/>
    <col min="9475" max="9475" width="5.85546875" style="20" customWidth="1"/>
    <col min="9476" max="9476" width="15.5703125" style="20" customWidth="1"/>
    <col min="9477" max="9477" width="10.140625" style="20" bestFit="1" customWidth="1"/>
    <col min="9478" max="9478" width="8.85546875" style="20" customWidth="1"/>
    <col min="9479" max="9479" width="10.140625" style="20" customWidth="1"/>
    <col min="9480" max="9480" width="8.85546875" style="20"/>
    <col min="9481" max="9481" width="4" style="20" customWidth="1"/>
    <col min="9482" max="9482" width="1.5703125" style="20" customWidth="1"/>
    <col min="9483" max="9485" width="4" style="20" customWidth="1"/>
    <col min="9486" max="9486" width="8.85546875" style="20"/>
    <col min="9487" max="9487" width="14.42578125" style="20" bestFit="1" customWidth="1"/>
    <col min="9488" max="9488" width="8.85546875" style="20"/>
    <col min="9489" max="9489" width="10.85546875" style="20" customWidth="1"/>
    <col min="9490" max="9725" width="8.85546875" style="20"/>
    <col min="9726" max="9726" width="0.85546875" style="20" customWidth="1"/>
    <col min="9727" max="9727" width="4.42578125" style="20" bestFit="1" customWidth="1"/>
    <col min="9728" max="9728" width="32.7109375" style="20" customWidth="1"/>
    <col min="9729" max="9729" width="12.7109375" style="20" customWidth="1"/>
    <col min="9730" max="9730" width="14.85546875" style="20" customWidth="1"/>
    <col min="9731" max="9731" width="5.85546875" style="20" customWidth="1"/>
    <col min="9732" max="9732" width="15.5703125" style="20" customWidth="1"/>
    <col min="9733" max="9733" width="10.140625" style="20" bestFit="1" customWidth="1"/>
    <col min="9734" max="9734" width="8.85546875" style="20" customWidth="1"/>
    <col min="9735" max="9735" width="10.140625" style="20" customWidth="1"/>
    <col min="9736" max="9736" width="8.85546875" style="20"/>
    <col min="9737" max="9737" width="4" style="20" customWidth="1"/>
    <col min="9738" max="9738" width="1.5703125" style="20" customWidth="1"/>
    <col min="9739" max="9741" width="4" style="20" customWidth="1"/>
    <col min="9742" max="9742" width="8.85546875" style="20"/>
    <col min="9743" max="9743" width="14.42578125" style="20" bestFit="1" customWidth="1"/>
    <col min="9744" max="9744" width="8.85546875" style="20"/>
    <col min="9745" max="9745" width="10.85546875" style="20" customWidth="1"/>
    <col min="9746" max="9981" width="8.85546875" style="20"/>
    <col min="9982" max="9982" width="0.85546875" style="20" customWidth="1"/>
    <col min="9983" max="9983" width="4.42578125" style="20" bestFit="1" customWidth="1"/>
    <col min="9984" max="9984" width="32.7109375" style="20" customWidth="1"/>
    <col min="9985" max="9985" width="12.7109375" style="20" customWidth="1"/>
    <col min="9986" max="9986" width="14.85546875" style="20" customWidth="1"/>
    <col min="9987" max="9987" width="5.85546875" style="20" customWidth="1"/>
    <col min="9988" max="9988" width="15.5703125" style="20" customWidth="1"/>
    <col min="9989" max="9989" width="10.140625" style="20" bestFit="1" customWidth="1"/>
    <col min="9990" max="9990" width="8.85546875" style="20" customWidth="1"/>
    <col min="9991" max="9991" width="10.140625" style="20" customWidth="1"/>
    <col min="9992" max="9992" width="8.85546875" style="20"/>
    <col min="9993" max="9993" width="4" style="20" customWidth="1"/>
    <col min="9994" max="9994" width="1.5703125" style="20" customWidth="1"/>
    <col min="9995" max="9997" width="4" style="20" customWidth="1"/>
    <col min="9998" max="9998" width="8.85546875" style="20"/>
    <col min="9999" max="9999" width="14.42578125" style="20" bestFit="1" customWidth="1"/>
    <col min="10000" max="10000" width="8.85546875" style="20"/>
    <col min="10001" max="10001" width="10.85546875" style="20" customWidth="1"/>
    <col min="10002" max="10237" width="8.85546875" style="20"/>
    <col min="10238" max="10238" width="0.85546875" style="20" customWidth="1"/>
    <col min="10239" max="10239" width="4.42578125" style="20" bestFit="1" customWidth="1"/>
    <col min="10240" max="10240" width="32.7109375" style="20" customWidth="1"/>
    <col min="10241" max="10241" width="12.7109375" style="20" customWidth="1"/>
    <col min="10242" max="10242" width="14.85546875" style="20" customWidth="1"/>
    <col min="10243" max="10243" width="5.85546875" style="20" customWidth="1"/>
    <col min="10244" max="10244" width="15.5703125" style="20" customWidth="1"/>
    <col min="10245" max="10245" width="10.140625" style="20" bestFit="1" customWidth="1"/>
    <col min="10246" max="10246" width="8.85546875" style="20" customWidth="1"/>
    <col min="10247" max="10247" width="10.140625" style="20" customWidth="1"/>
    <col min="10248" max="10248" width="8.85546875" style="20"/>
    <col min="10249" max="10249" width="4" style="20" customWidth="1"/>
    <col min="10250" max="10250" width="1.5703125" style="20" customWidth="1"/>
    <col min="10251" max="10253" width="4" style="20" customWidth="1"/>
    <col min="10254" max="10254" width="8.85546875" style="20"/>
    <col min="10255" max="10255" width="14.42578125" style="20" bestFit="1" customWidth="1"/>
    <col min="10256" max="10256" width="8.85546875" style="20"/>
    <col min="10257" max="10257" width="10.85546875" style="20" customWidth="1"/>
    <col min="10258" max="10493" width="8.85546875" style="20"/>
    <col min="10494" max="10494" width="0.85546875" style="20" customWidth="1"/>
    <col min="10495" max="10495" width="4.42578125" style="20" bestFit="1" customWidth="1"/>
    <col min="10496" max="10496" width="32.7109375" style="20" customWidth="1"/>
    <col min="10497" max="10497" width="12.7109375" style="20" customWidth="1"/>
    <col min="10498" max="10498" width="14.85546875" style="20" customWidth="1"/>
    <col min="10499" max="10499" width="5.85546875" style="20" customWidth="1"/>
    <col min="10500" max="10500" width="15.5703125" style="20" customWidth="1"/>
    <col min="10501" max="10501" width="10.140625" style="20" bestFit="1" customWidth="1"/>
    <col min="10502" max="10502" width="8.85546875" style="20" customWidth="1"/>
    <col min="10503" max="10503" width="10.140625" style="20" customWidth="1"/>
    <col min="10504" max="10504" width="8.85546875" style="20"/>
    <col min="10505" max="10505" width="4" style="20" customWidth="1"/>
    <col min="10506" max="10506" width="1.5703125" style="20" customWidth="1"/>
    <col min="10507" max="10509" width="4" style="20" customWidth="1"/>
    <col min="10510" max="10510" width="8.85546875" style="20"/>
    <col min="10511" max="10511" width="14.42578125" style="20" bestFit="1" customWidth="1"/>
    <col min="10512" max="10512" width="8.85546875" style="20"/>
    <col min="10513" max="10513" width="10.85546875" style="20" customWidth="1"/>
    <col min="10514" max="10749" width="8.85546875" style="20"/>
    <col min="10750" max="10750" width="0.85546875" style="20" customWidth="1"/>
    <col min="10751" max="10751" width="4.42578125" style="20" bestFit="1" customWidth="1"/>
    <col min="10752" max="10752" width="32.7109375" style="20" customWidth="1"/>
    <col min="10753" max="10753" width="12.7109375" style="20" customWidth="1"/>
    <col min="10754" max="10754" width="14.85546875" style="20" customWidth="1"/>
    <col min="10755" max="10755" width="5.85546875" style="20" customWidth="1"/>
    <col min="10756" max="10756" width="15.5703125" style="20" customWidth="1"/>
    <col min="10757" max="10757" width="10.140625" style="20" bestFit="1" customWidth="1"/>
    <col min="10758" max="10758" width="8.85546875" style="20" customWidth="1"/>
    <col min="10759" max="10759" width="10.140625" style="20" customWidth="1"/>
    <col min="10760" max="10760" width="8.85546875" style="20"/>
    <col min="10761" max="10761" width="4" style="20" customWidth="1"/>
    <col min="10762" max="10762" width="1.5703125" style="20" customWidth="1"/>
    <col min="10763" max="10765" width="4" style="20" customWidth="1"/>
    <col min="10766" max="10766" width="8.85546875" style="20"/>
    <col min="10767" max="10767" width="14.42578125" style="20" bestFit="1" customWidth="1"/>
    <col min="10768" max="10768" width="8.85546875" style="20"/>
    <col min="10769" max="10769" width="10.85546875" style="20" customWidth="1"/>
    <col min="10770" max="11005" width="8.85546875" style="20"/>
    <col min="11006" max="11006" width="0.85546875" style="20" customWidth="1"/>
    <col min="11007" max="11007" width="4.42578125" style="20" bestFit="1" customWidth="1"/>
    <col min="11008" max="11008" width="32.7109375" style="20" customWidth="1"/>
    <col min="11009" max="11009" width="12.7109375" style="20" customWidth="1"/>
    <col min="11010" max="11010" width="14.85546875" style="20" customWidth="1"/>
    <col min="11011" max="11011" width="5.85546875" style="20" customWidth="1"/>
    <col min="11012" max="11012" width="15.5703125" style="20" customWidth="1"/>
    <col min="11013" max="11013" width="10.140625" style="20" bestFit="1" customWidth="1"/>
    <col min="11014" max="11014" width="8.85546875" style="20" customWidth="1"/>
    <col min="11015" max="11015" width="10.140625" style="20" customWidth="1"/>
    <col min="11016" max="11016" width="8.85546875" style="20"/>
    <col min="11017" max="11017" width="4" style="20" customWidth="1"/>
    <col min="11018" max="11018" width="1.5703125" style="20" customWidth="1"/>
    <col min="11019" max="11021" width="4" style="20" customWidth="1"/>
    <col min="11022" max="11022" width="8.85546875" style="20"/>
    <col min="11023" max="11023" width="14.42578125" style="20" bestFit="1" customWidth="1"/>
    <col min="11024" max="11024" width="8.85546875" style="20"/>
    <col min="11025" max="11025" width="10.85546875" style="20" customWidth="1"/>
    <col min="11026" max="11261" width="8.85546875" style="20"/>
    <col min="11262" max="11262" width="0.85546875" style="20" customWidth="1"/>
    <col min="11263" max="11263" width="4.42578125" style="20" bestFit="1" customWidth="1"/>
    <col min="11264" max="11264" width="32.7109375" style="20" customWidth="1"/>
    <col min="11265" max="11265" width="12.7109375" style="20" customWidth="1"/>
    <col min="11266" max="11266" width="14.85546875" style="20" customWidth="1"/>
    <col min="11267" max="11267" width="5.85546875" style="20" customWidth="1"/>
    <col min="11268" max="11268" width="15.5703125" style="20" customWidth="1"/>
    <col min="11269" max="11269" width="10.140625" style="20" bestFit="1" customWidth="1"/>
    <col min="11270" max="11270" width="8.85546875" style="20" customWidth="1"/>
    <col min="11271" max="11271" width="10.140625" style="20" customWidth="1"/>
    <col min="11272" max="11272" width="8.85546875" style="20"/>
    <col min="11273" max="11273" width="4" style="20" customWidth="1"/>
    <col min="11274" max="11274" width="1.5703125" style="20" customWidth="1"/>
    <col min="11275" max="11277" width="4" style="20" customWidth="1"/>
    <col min="11278" max="11278" width="8.85546875" style="20"/>
    <col min="11279" max="11279" width="14.42578125" style="20" bestFit="1" customWidth="1"/>
    <col min="11280" max="11280" width="8.85546875" style="20"/>
    <col min="11281" max="11281" width="10.85546875" style="20" customWidth="1"/>
    <col min="11282" max="11517" width="8.85546875" style="20"/>
    <col min="11518" max="11518" width="0.85546875" style="20" customWidth="1"/>
    <col min="11519" max="11519" width="4.42578125" style="20" bestFit="1" customWidth="1"/>
    <col min="11520" max="11520" width="32.7109375" style="20" customWidth="1"/>
    <col min="11521" max="11521" width="12.7109375" style="20" customWidth="1"/>
    <col min="11522" max="11522" width="14.85546875" style="20" customWidth="1"/>
    <col min="11523" max="11523" width="5.85546875" style="20" customWidth="1"/>
    <col min="11524" max="11524" width="15.5703125" style="20" customWidth="1"/>
    <col min="11525" max="11525" width="10.140625" style="20" bestFit="1" customWidth="1"/>
    <col min="11526" max="11526" width="8.85546875" style="20" customWidth="1"/>
    <col min="11527" max="11527" width="10.140625" style="20" customWidth="1"/>
    <col min="11528" max="11528" width="8.85546875" style="20"/>
    <col min="11529" max="11529" width="4" style="20" customWidth="1"/>
    <col min="11530" max="11530" width="1.5703125" style="20" customWidth="1"/>
    <col min="11531" max="11533" width="4" style="20" customWidth="1"/>
    <col min="11534" max="11534" width="8.85546875" style="20"/>
    <col min="11535" max="11535" width="14.42578125" style="20" bestFit="1" customWidth="1"/>
    <col min="11536" max="11536" width="8.85546875" style="20"/>
    <col min="11537" max="11537" width="10.85546875" style="20" customWidth="1"/>
    <col min="11538" max="11773" width="8.85546875" style="20"/>
    <col min="11774" max="11774" width="0.85546875" style="20" customWidth="1"/>
    <col min="11775" max="11775" width="4.42578125" style="20" bestFit="1" customWidth="1"/>
    <col min="11776" max="11776" width="32.7109375" style="20" customWidth="1"/>
    <col min="11777" max="11777" width="12.7109375" style="20" customWidth="1"/>
    <col min="11778" max="11778" width="14.85546875" style="20" customWidth="1"/>
    <col min="11779" max="11779" width="5.85546875" style="20" customWidth="1"/>
    <col min="11780" max="11780" width="15.5703125" style="20" customWidth="1"/>
    <col min="11781" max="11781" width="10.140625" style="20" bestFit="1" customWidth="1"/>
    <col min="11782" max="11782" width="8.85546875" style="20" customWidth="1"/>
    <col min="11783" max="11783" width="10.140625" style="20" customWidth="1"/>
    <col min="11784" max="11784" width="8.85546875" style="20"/>
    <col min="11785" max="11785" width="4" style="20" customWidth="1"/>
    <col min="11786" max="11786" width="1.5703125" style="20" customWidth="1"/>
    <col min="11787" max="11789" width="4" style="20" customWidth="1"/>
    <col min="11790" max="11790" width="8.85546875" style="20"/>
    <col min="11791" max="11791" width="14.42578125" style="20" bestFit="1" customWidth="1"/>
    <col min="11792" max="11792" width="8.85546875" style="20"/>
    <col min="11793" max="11793" width="10.85546875" style="20" customWidth="1"/>
    <col min="11794" max="12029" width="8.85546875" style="20"/>
    <col min="12030" max="12030" width="0.85546875" style="20" customWidth="1"/>
    <col min="12031" max="12031" width="4.42578125" style="20" bestFit="1" customWidth="1"/>
    <col min="12032" max="12032" width="32.7109375" style="20" customWidth="1"/>
    <col min="12033" max="12033" width="12.7109375" style="20" customWidth="1"/>
    <col min="12034" max="12034" width="14.85546875" style="20" customWidth="1"/>
    <col min="12035" max="12035" width="5.85546875" style="20" customWidth="1"/>
    <col min="12036" max="12036" width="15.5703125" style="20" customWidth="1"/>
    <col min="12037" max="12037" width="10.140625" style="20" bestFit="1" customWidth="1"/>
    <col min="12038" max="12038" width="8.85546875" style="20" customWidth="1"/>
    <col min="12039" max="12039" width="10.140625" style="20" customWidth="1"/>
    <col min="12040" max="12040" width="8.85546875" style="20"/>
    <col min="12041" max="12041" width="4" style="20" customWidth="1"/>
    <col min="12042" max="12042" width="1.5703125" style="20" customWidth="1"/>
    <col min="12043" max="12045" width="4" style="20" customWidth="1"/>
    <col min="12046" max="12046" width="8.85546875" style="20"/>
    <col min="12047" max="12047" width="14.42578125" style="20" bestFit="1" customWidth="1"/>
    <col min="12048" max="12048" width="8.85546875" style="20"/>
    <col min="12049" max="12049" width="10.85546875" style="20" customWidth="1"/>
    <col min="12050" max="12285" width="8.85546875" style="20"/>
    <col min="12286" max="12286" width="0.85546875" style="20" customWidth="1"/>
    <col min="12287" max="12287" width="4.42578125" style="20" bestFit="1" customWidth="1"/>
    <col min="12288" max="12288" width="32.7109375" style="20" customWidth="1"/>
    <col min="12289" max="12289" width="12.7109375" style="20" customWidth="1"/>
    <col min="12290" max="12290" width="14.85546875" style="20" customWidth="1"/>
    <col min="12291" max="12291" width="5.85546875" style="20" customWidth="1"/>
    <col min="12292" max="12292" width="15.5703125" style="20" customWidth="1"/>
    <col min="12293" max="12293" width="10.140625" style="20" bestFit="1" customWidth="1"/>
    <col min="12294" max="12294" width="8.85546875" style="20" customWidth="1"/>
    <col min="12295" max="12295" width="10.140625" style="20" customWidth="1"/>
    <col min="12296" max="12296" width="8.85546875" style="20"/>
    <col min="12297" max="12297" width="4" style="20" customWidth="1"/>
    <col min="12298" max="12298" width="1.5703125" style="20" customWidth="1"/>
    <col min="12299" max="12301" width="4" style="20" customWidth="1"/>
    <col min="12302" max="12302" width="8.85546875" style="20"/>
    <col min="12303" max="12303" width="14.42578125" style="20" bestFit="1" customWidth="1"/>
    <col min="12304" max="12304" width="8.85546875" style="20"/>
    <col min="12305" max="12305" width="10.85546875" style="20" customWidth="1"/>
    <col min="12306" max="12541" width="8.85546875" style="20"/>
    <col min="12542" max="12542" width="0.85546875" style="20" customWidth="1"/>
    <col min="12543" max="12543" width="4.42578125" style="20" bestFit="1" customWidth="1"/>
    <col min="12544" max="12544" width="32.7109375" style="20" customWidth="1"/>
    <col min="12545" max="12545" width="12.7109375" style="20" customWidth="1"/>
    <col min="12546" max="12546" width="14.85546875" style="20" customWidth="1"/>
    <col min="12547" max="12547" width="5.85546875" style="20" customWidth="1"/>
    <col min="12548" max="12548" width="15.5703125" style="20" customWidth="1"/>
    <col min="12549" max="12549" width="10.140625" style="20" bestFit="1" customWidth="1"/>
    <col min="12550" max="12550" width="8.85546875" style="20" customWidth="1"/>
    <col min="12551" max="12551" width="10.140625" style="20" customWidth="1"/>
    <col min="12552" max="12552" width="8.85546875" style="20"/>
    <col min="12553" max="12553" width="4" style="20" customWidth="1"/>
    <col min="12554" max="12554" width="1.5703125" style="20" customWidth="1"/>
    <col min="12555" max="12557" width="4" style="20" customWidth="1"/>
    <col min="12558" max="12558" width="8.85546875" style="20"/>
    <col min="12559" max="12559" width="14.42578125" style="20" bestFit="1" customWidth="1"/>
    <col min="12560" max="12560" width="8.85546875" style="20"/>
    <col min="12561" max="12561" width="10.85546875" style="20" customWidth="1"/>
    <col min="12562" max="12797" width="8.85546875" style="20"/>
    <col min="12798" max="12798" width="0.85546875" style="20" customWidth="1"/>
    <col min="12799" max="12799" width="4.42578125" style="20" bestFit="1" customWidth="1"/>
    <col min="12800" max="12800" width="32.7109375" style="20" customWidth="1"/>
    <col min="12801" max="12801" width="12.7109375" style="20" customWidth="1"/>
    <col min="12802" max="12802" width="14.85546875" style="20" customWidth="1"/>
    <col min="12803" max="12803" width="5.85546875" style="20" customWidth="1"/>
    <col min="12804" max="12804" width="15.5703125" style="20" customWidth="1"/>
    <col min="12805" max="12805" width="10.140625" style="20" bestFit="1" customWidth="1"/>
    <col min="12806" max="12806" width="8.85546875" style="20" customWidth="1"/>
    <col min="12807" max="12807" width="10.140625" style="20" customWidth="1"/>
    <col min="12808" max="12808" width="8.85546875" style="20"/>
    <col min="12809" max="12809" width="4" style="20" customWidth="1"/>
    <col min="12810" max="12810" width="1.5703125" style="20" customWidth="1"/>
    <col min="12811" max="12813" width="4" style="20" customWidth="1"/>
    <col min="12814" max="12814" width="8.85546875" style="20"/>
    <col min="12815" max="12815" width="14.42578125" style="20" bestFit="1" customWidth="1"/>
    <col min="12816" max="12816" width="8.85546875" style="20"/>
    <col min="12817" max="12817" width="10.85546875" style="20" customWidth="1"/>
    <col min="12818" max="13053" width="8.85546875" style="20"/>
    <col min="13054" max="13054" width="0.85546875" style="20" customWidth="1"/>
    <col min="13055" max="13055" width="4.42578125" style="20" bestFit="1" customWidth="1"/>
    <col min="13056" max="13056" width="32.7109375" style="20" customWidth="1"/>
    <col min="13057" max="13057" width="12.7109375" style="20" customWidth="1"/>
    <col min="13058" max="13058" width="14.85546875" style="20" customWidth="1"/>
    <col min="13059" max="13059" width="5.85546875" style="20" customWidth="1"/>
    <col min="13060" max="13060" width="15.5703125" style="20" customWidth="1"/>
    <col min="13061" max="13061" width="10.140625" style="20" bestFit="1" customWidth="1"/>
    <col min="13062" max="13062" width="8.85546875" style="20" customWidth="1"/>
    <col min="13063" max="13063" width="10.140625" style="20" customWidth="1"/>
    <col min="13064" max="13064" width="8.85546875" style="20"/>
    <col min="13065" max="13065" width="4" style="20" customWidth="1"/>
    <col min="13066" max="13066" width="1.5703125" style="20" customWidth="1"/>
    <col min="13067" max="13069" width="4" style="20" customWidth="1"/>
    <col min="13070" max="13070" width="8.85546875" style="20"/>
    <col min="13071" max="13071" width="14.42578125" style="20" bestFit="1" customWidth="1"/>
    <col min="13072" max="13072" width="8.85546875" style="20"/>
    <col min="13073" max="13073" width="10.85546875" style="20" customWidth="1"/>
    <col min="13074" max="13309" width="8.85546875" style="20"/>
    <col min="13310" max="13310" width="0.85546875" style="20" customWidth="1"/>
    <col min="13311" max="13311" width="4.42578125" style="20" bestFit="1" customWidth="1"/>
    <col min="13312" max="13312" width="32.7109375" style="20" customWidth="1"/>
    <col min="13313" max="13313" width="12.7109375" style="20" customWidth="1"/>
    <col min="13314" max="13314" width="14.85546875" style="20" customWidth="1"/>
    <col min="13315" max="13315" width="5.85546875" style="20" customWidth="1"/>
    <col min="13316" max="13316" width="15.5703125" style="20" customWidth="1"/>
    <col min="13317" max="13317" width="10.140625" style="20" bestFit="1" customWidth="1"/>
    <col min="13318" max="13318" width="8.85546875" style="20" customWidth="1"/>
    <col min="13319" max="13319" width="10.140625" style="20" customWidth="1"/>
    <col min="13320" max="13320" width="8.85546875" style="20"/>
    <col min="13321" max="13321" width="4" style="20" customWidth="1"/>
    <col min="13322" max="13322" width="1.5703125" style="20" customWidth="1"/>
    <col min="13323" max="13325" width="4" style="20" customWidth="1"/>
    <col min="13326" max="13326" width="8.85546875" style="20"/>
    <col min="13327" max="13327" width="14.42578125" style="20" bestFit="1" customWidth="1"/>
    <col min="13328" max="13328" width="8.85546875" style="20"/>
    <col min="13329" max="13329" width="10.85546875" style="20" customWidth="1"/>
    <col min="13330" max="13565" width="8.85546875" style="20"/>
    <col min="13566" max="13566" width="0.85546875" style="20" customWidth="1"/>
    <col min="13567" max="13567" width="4.42578125" style="20" bestFit="1" customWidth="1"/>
    <col min="13568" max="13568" width="32.7109375" style="20" customWidth="1"/>
    <col min="13569" max="13569" width="12.7109375" style="20" customWidth="1"/>
    <col min="13570" max="13570" width="14.85546875" style="20" customWidth="1"/>
    <col min="13571" max="13571" width="5.85546875" style="20" customWidth="1"/>
    <col min="13572" max="13572" width="15.5703125" style="20" customWidth="1"/>
    <col min="13573" max="13573" width="10.140625" style="20" bestFit="1" customWidth="1"/>
    <col min="13574" max="13574" width="8.85546875" style="20" customWidth="1"/>
    <col min="13575" max="13575" width="10.140625" style="20" customWidth="1"/>
    <col min="13576" max="13576" width="8.85546875" style="20"/>
    <col min="13577" max="13577" width="4" style="20" customWidth="1"/>
    <col min="13578" max="13578" width="1.5703125" style="20" customWidth="1"/>
    <col min="13579" max="13581" width="4" style="20" customWidth="1"/>
    <col min="13582" max="13582" width="8.85546875" style="20"/>
    <col min="13583" max="13583" width="14.42578125" style="20" bestFit="1" customWidth="1"/>
    <col min="13584" max="13584" width="8.85546875" style="20"/>
    <col min="13585" max="13585" width="10.85546875" style="20" customWidth="1"/>
    <col min="13586" max="13821" width="8.85546875" style="20"/>
    <col min="13822" max="13822" width="0.85546875" style="20" customWidth="1"/>
    <col min="13823" max="13823" width="4.42578125" style="20" bestFit="1" customWidth="1"/>
    <col min="13824" max="13824" width="32.7109375" style="20" customWidth="1"/>
    <col min="13825" max="13825" width="12.7109375" style="20" customWidth="1"/>
    <col min="13826" max="13826" width="14.85546875" style="20" customWidth="1"/>
    <col min="13827" max="13827" width="5.85546875" style="20" customWidth="1"/>
    <col min="13828" max="13828" width="15.5703125" style="20" customWidth="1"/>
    <col min="13829" max="13829" width="10.140625" style="20" bestFit="1" customWidth="1"/>
    <col min="13830" max="13830" width="8.85546875" style="20" customWidth="1"/>
    <col min="13831" max="13831" width="10.140625" style="20" customWidth="1"/>
    <col min="13832" max="13832" width="8.85546875" style="20"/>
    <col min="13833" max="13833" width="4" style="20" customWidth="1"/>
    <col min="13834" max="13834" width="1.5703125" style="20" customWidth="1"/>
    <col min="13835" max="13837" width="4" style="20" customWidth="1"/>
    <col min="13838" max="13838" width="8.85546875" style="20"/>
    <col min="13839" max="13839" width="14.42578125" style="20" bestFit="1" customWidth="1"/>
    <col min="13840" max="13840" width="8.85546875" style="20"/>
    <col min="13841" max="13841" width="10.85546875" style="20" customWidth="1"/>
    <col min="13842" max="14077" width="8.85546875" style="20"/>
    <col min="14078" max="14078" width="0.85546875" style="20" customWidth="1"/>
    <col min="14079" max="14079" width="4.42578125" style="20" bestFit="1" customWidth="1"/>
    <col min="14080" max="14080" width="32.7109375" style="20" customWidth="1"/>
    <col min="14081" max="14081" width="12.7109375" style="20" customWidth="1"/>
    <col min="14082" max="14082" width="14.85546875" style="20" customWidth="1"/>
    <col min="14083" max="14083" width="5.85546875" style="20" customWidth="1"/>
    <col min="14084" max="14084" width="15.5703125" style="20" customWidth="1"/>
    <col min="14085" max="14085" width="10.140625" style="20" bestFit="1" customWidth="1"/>
    <col min="14086" max="14086" width="8.85546875" style="20" customWidth="1"/>
    <col min="14087" max="14087" width="10.140625" style="20" customWidth="1"/>
    <col min="14088" max="14088" width="8.85546875" style="20"/>
    <col min="14089" max="14089" width="4" style="20" customWidth="1"/>
    <col min="14090" max="14090" width="1.5703125" style="20" customWidth="1"/>
    <col min="14091" max="14093" width="4" style="20" customWidth="1"/>
    <col min="14094" max="14094" width="8.85546875" style="20"/>
    <col min="14095" max="14095" width="14.42578125" style="20" bestFit="1" customWidth="1"/>
    <col min="14096" max="14096" width="8.85546875" style="20"/>
    <col min="14097" max="14097" width="10.85546875" style="20" customWidth="1"/>
    <col min="14098" max="14333" width="8.85546875" style="20"/>
    <col min="14334" max="14334" width="0.85546875" style="20" customWidth="1"/>
    <col min="14335" max="14335" width="4.42578125" style="20" bestFit="1" customWidth="1"/>
    <col min="14336" max="14336" width="32.7109375" style="20" customWidth="1"/>
    <col min="14337" max="14337" width="12.7109375" style="20" customWidth="1"/>
    <col min="14338" max="14338" width="14.85546875" style="20" customWidth="1"/>
    <col min="14339" max="14339" width="5.85546875" style="20" customWidth="1"/>
    <col min="14340" max="14340" width="15.5703125" style="20" customWidth="1"/>
    <col min="14341" max="14341" width="10.140625" style="20" bestFit="1" customWidth="1"/>
    <col min="14342" max="14342" width="8.85546875" style="20" customWidth="1"/>
    <col min="14343" max="14343" width="10.140625" style="20" customWidth="1"/>
    <col min="14344" max="14344" width="8.85546875" style="20"/>
    <col min="14345" max="14345" width="4" style="20" customWidth="1"/>
    <col min="14346" max="14346" width="1.5703125" style="20" customWidth="1"/>
    <col min="14347" max="14349" width="4" style="20" customWidth="1"/>
    <col min="14350" max="14350" width="8.85546875" style="20"/>
    <col min="14351" max="14351" width="14.42578125" style="20" bestFit="1" customWidth="1"/>
    <col min="14352" max="14352" width="8.85546875" style="20"/>
    <col min="14353" max="14353" width="10.85546875" style="20" customWidth="1"/>
    <col min="14354" max="14589" width="8.85546875" style="20"/>
    <col min="14590" max="14590" width="0.85546875" style="20" customWidth="1"/>
    <col min="14591" max="14591" width="4.42578125" style="20" bestFit="1" customWidth="1"/>
    <col min="14592" max="14592" width="32.7109375" style="20" customWidth="1"/>
    <col min="14593" max="14593" width="12.7109375" style="20" customWidth="1"/>
    <col min="14594" max="14594" width="14.85546875" style="20" customWidth="1"/>
    <col min="14595" max="14595" width="5.85546875" style="20" customWidth="1"/>
    <col min="14596" max="14596" width="15.5703125" style="20" customWidth="1"/>
    <col min="14597" max="14597" width="10.140625" style="20" bestFit="1" customWidth="1"/>
    <col min="14598" max="14598" width="8.85546875" style="20" customWidth="1"/>
    <col min="14599" max="14599" width="10.140625" style="20" customWidth="1"/>
    <col min="14600" max="14600" width="8.85546875" style="20"/>
    <col min="14601" max="14601" width="4" style="20" customWidth="1"/>
    <col min="14602" max="14602" width="1.5703125" style="20" customWidth="1"/>
    <col min="14603" max="14605" width="4" style="20" customWidth="1"/>
    <col min="14606" max="14606" width="8.85546875" style="20"/>
    <col min="14607" max="14607" width="14.42578125" style="20" bestFit="1" customWidth="1"/>
    <col min="14608" max="14608" width="8.85546875" style="20"/>
    <col min="14609" max="14609" width="10.85546875" style="20" customWidth="1"/>
    <col min="14610" max="14845" width="8.85546875" style="20"/>
    <col min="14846" max="14846" width="0.85546875" style="20" customWidth="1"/>
    <col min="14847" max="14847" width="4.42578125" style="20" bestFit="1" customWidth="1"/>
    <col min="14848" max="14848" width="32.7109375" style="20" customWidth="1"/>
    <col min="14849" max="14849" width="12.7109375" style="20" customWidth="1"/>
    <col min="14850" max="14850" width="14.85546875" style="20" customWidth="1"/>
    <col min="14851" max="14851" width="5.85546875" style="20" customWidth="1"/>
    <col min="14852" max="14852" width="15.5703125" style="20" customWidth="1"/>
    <col min="14853" max="14853" width="10.140625" style="20" bestFit="1" customWidth="1"/>
    <col min="14854" max="14854" width="8.85546875" style="20" customWidth="1"/>
    <col min="14855" max="14855" width="10.140625" style="20" customWidth="1"/>
    <col min="14856" max="14856" width="8.85546875" style="20"/>
    <col min="14857" max="14857" width="4" style="20" customWidth="1"/>
    <col min="14858" max="14858" width="1.5703125" style="20" customWidth="1"/>
    <col min="14859" max="14861" width="4" style="20" customWidth="1"/>
    <col min="14862" max="14862" width="8.85546875" style="20"/>
    <col min="14863" max="14863" width="14.42578125" style="20" bestFit="1" customWidth="1"/>
    <col min="14864" max="14864" width="8.85546875" style="20"/>
    <col min="14865" max="14865" width="10.85546875" style="20" customWidth="1"/>
    <col min="14866" max="15101" width="8.85546875" style="20"/>
    <col min="15102" max="15102" width="0.85546875" style="20" customWidth="1"/>
    <col min="15103" max="15103" width="4.42578125" style="20" bestFit="1" customWidth="1"/>
    <col min="15104" max="15104" width="32.7109375" style="20" customWidth="1"/>
    <col min="15105" max="15105" width="12.7109375" style="20" customWidth="1"/>
    <col min="15106" max="15106" width="14.85546875" style="20" customWidth="1"/>
    <col min="15107" max="15107" width="5.85546875" style="20" customWidth="1"/>
    <col min="15108" max="15108" width="15.5703125" style="20" customWidth="1"/>
    <col min="15109" max="15109" width="10.140625" style="20" bestFit="1" customWidth="1"/>
    <col min="15110" max="15110" width="8.85546875" style="20" customWidth="1"/>
    <col min="15111" max="15111" width="10.140625" style="20" customWidth="1"/>
    <col min="15112" max="15112" width="8.85546875" style="20"/>
    <col min="15113" max="15113" width="4" style="20" customWidth="1"/>
    <col min="15114" max="15114" width="1.5703125" style="20" customWidth="1"/>
    <col min="15115" max="15117" width="4" style="20" customWidth="1"/>
    <col min="15118" max="15118" width="8.85546875" style="20"/>
    <col min="15119" max="15119" width="14.42578125" style="20" bestFit="1" customWidth="1"/>
    <col min="15120" max="15120" width="8.85546875" style="20"/>
    <col min="15121" max="15121" width="10.85546875" style="20" customWidth="1"/>
    <col min="15122" max="15357" width="8.85546875" style="20"/>
    <col min="15358" max="15358" width="0.85546875" style="20" customWidth="1"/>
    <col min="15359" max="15359" width="4.42578125" style="20" bestFit="1" customWidth="1"/>
    <col min="15360" max="15360" width="32.7109375" style="20" customWidth="1"/>
    <col min="15361" max="15361" width="12.7109375" style="20" customWidth="1"/>
    <col min="15362" max="15362" width="14.85546875" style="20" customWidth="1"/>
    <col min="15363" max="15363" width="5.85546875" style="20" customWidth="1"/>
    <col min="15364" max="15364" width="15.5703125" style="20" customWidth="1"/>
    <col min="15365" max="15365" width="10.140625" style="20" bestFit="1" customWidth="1"/>
    <col min="15366" max="15366" width="8.85546875" style="20" customWidth="1"/>
    <col min="15367" max="15367" width="10.140625" style="20" customWidth="1"/>
    <col min="15368" max="15368" width="8.85546875" style="20"/>
    <col min="15369" max="15369" width="4" style="20" customWidth="1"/>
    <col min="15370" max="15370" width="1.5703125" style="20" customWidth="1"/>
    <col min="15371" max="15373" width="4" style="20" customWidth="1"/>
    <col min="15374" max="15374" width="8.85546875" style="20"/>
    <col min="15375" max="15375" width="14.42578125" style="20" bestFit="1" customWidth="1"/>
    <col min="15376" max="15376" width="8.85546875" style="20"/>
    <col min="15377" max="15377" width="10.85546875" style="20" customWidth="1"/>
    <col min="15378" max="15613" width="8.85546875" style="20"/>
    <col min="15614" max="15614" width="0.85546875" style="20" customWidth="1"/>
    <col min="15615" max="15615" width="4.42578125" style="20" bestFit="1" customWidth="1"/>
    <col min="15616" max="15616" width="32.7109375" style="20" customWidth="1"/>
    <col min="15617" max="15617" width="12.7109375" style="20" customWidth="1"/>
    <col min="15618" max="15618" width="14.85546875" style="20" customWidth="1"/>
    <col min="15619" max="15619" width="5.85546875" style="20" customWidth="1"/>
    <col min="15620" max="15620" width="15.5703125" style="20" customWidth="1"/>
    <col min="15621" max="15621" width="10.140625" style="20" bestFit="1" customWidth="1"/>
    <col min="15622" max="15622" width="8.85546875" style="20" customWidth="1"/>
    <col min="15623" max="15623" width="10.140625" style="20" customWidth="1"/>
    <col min="15624" max="15624" width="8.85546875" style="20"/>
    <col min="15625" max="15625" width="4" style="20" customWidth="1"/>
    <col min="15626" max="15626" width="1.5703125" style="20" customWidth="1"/>
    <col min="15627" max="15629" width="4" style="20" customWidth="1"/>
    <col min="15630" max="15630" width="8.85546875" style="20"/>
    <col min="15631" max="15631" width="14.42578125" style="20" bestFit="1" customWidth="1"/>
    <col min="15632" max="15632" width="8.85546875" style="20"/>
    <col min="15633" max="15633" width="10.85546875" style="20" customWidth="1"/>
    <col min="15634" max="15869" width="8.85546875" style="20"/>
    <col min="15870" max="15870" width="0.85546875" style="20" customWidth="1"/>
    <col min="15871" max="15871" width="4.42578125" style="20" bestFit="1" customWidth="1"/>
    <col min="15872" max="15872" width="32.7109375" style="20" customWidth="1"/>
    <col min="15873" max="15873" width="12.7109375" style="20" customWidth="1"/>
    <col min="15874" max="15874" width="14.85546875" style="20" customWidth="1"/>
    <col min="15875" max="15875" width="5.85546875" style="20" customWidth="1"/>
    <col min="15876" max="15876" width="15.5703125" style="20" customWidth="1"/>
    <col min="15877" max="15877" width="10.140625" style="20" bestFit="1" customWidth="1"/>
    <col min="15878" max="15878" width="8.85546875" style="20" customWidth="1"/>
    <col min="15879" max="15879" width="10.140625" style="20" customWidth="1"/>
    <col min="15880" max="15880" width="8.85546875" style="20"/>
    <col min="15881" max="15881" width="4" style="20" customWidth="1"/>
    <col min="15882" max="15882" width="1.5703125" style="20" customWidth="1"/>
    <col min="15883" max="15885" width="4" style="20" customWidth="1"/>
    <col min="15886" max="15886" width="8.85546875" style="20"/>
    <col min="15887" max="15887" width="14.42578125" style="20" bestFit="1" customWidth="1"/>
    <col min="15888" max="15888" width="8.85546875" style="20"/>
    <col min="15889" max="15889" width="10.85546875" style="20" customWidth="1"/>
    <col min="15890" max="16125" width="8.85546875" style="20"/>
    <col min="16126" max="16126" width="0.85546875" style="20" customWidth="1"/>
    <col min="16127" max="16127" width="4.42578125" style="20" bestFit="1" customWidth="1"/>
    <col min="16128" max="16128" width="32.7109375" style="20" customWidth="1"/>
    <col min="16129" max="16129" width="12.7109375" style="20" customWidth="1"/>
    <col min="16130" max="16130" width="14.85546875" style="20" customWidth="1"/>
    <col min="16131" max="16131" width="5.85546875" style="20" customWidth="1"/>
    <col min="16132" max="16132" width="15.5703125" style="20" customWidth="1"/>
    <col min="16133" max="16133" width="10.140625" style="20" bestFit="1" customWidth="1"/>
    <col min="16134" max="16134" width="8.85546875" style="20" customWidth="1"/>
    <col min="16135" max="16135" width="10.140625" style="20" customWidth="1"/>
    <col min="16136" max="16136" width="8.85546875" style="20"/>
    <col min="16137" max="16137" width="4" style="20" customWidth="1"/>
    <col min="16138" max="16138" width="1.5703125" style="20" customWidth="1"/>
    <col min="16139" max="16141" width="4" style="20" customWidth="1"/>
    <col min="16142" max="16142" width="8.85546875" style="20"/>
    <col min="16143" max="16143" width="14.42578125" style="20" bestFit="1" customWidth="1"/>
    <col min="16144" max="16144" width="8.85546875" style="20"/>
    <col min="16145" max="16145" width="10.85546875" style="20" customWidth="1"/>
    <col min="16146" max="16384" width="8.85546875" style="20"/>
  </cols>
  <sheetData>
    <row r="1" spans="2:16" ht="27" customHeight="1" x14ac:dyDescent="0.25">
      <c r="C1" s="20" t="s">
        <v>71</v>
      </c>
      <c r="D1" s="193"/>
      <c r="E1" s="193"/>
      <c r="F1" s="193"/>
      <c r="G1" s="193"/>
      <c r="H1" s="193"/>
      <c r="J1" s="194" t="s">
        <v>72</v>
      </c>
      <c r="K1" s="194"/>
      <c r="L1" s="194"/>
      <c r="M1" s="194"/>
      <c r="N1" s="194"/>
    </row>
    <row r="2" spans="2:16" ht="19.5" customHeight="1" x14ac:dyDescent="0.25">
      <c r="D2" s="195" t="s">
        <v>73</v>
      </c>
      <c r="E2" s="195"/>
      <c r="F2" s="195"/>
      <c r="G2" s="195"/>
      <c r="H2" s="195"/>
      <c r="J2" s="196" t="s">
        <v>74</v>
      </c>
      <c r="K2" s="197"/>
      <c r="L2" s="197"/>
      <c r="M2" s="197"/>
      <c r="N2" s="198"/>
      <c r="P2" s="22"/>
    </row>
    <row r="3" spans="2:16" ht="19.5" customHeight="1" x14ac:dyDescent="0.25">
      <c r="D3" s="195"/>
      <c r="E3" s="195"/>
      <c r="F3" s="195"/>
      <c r="G3" s="195"/>
      <c r="H3" s="195"/>
      <c r="I3" s="23"/>
      <c r="J3" s="199" t="s">
        <v>75</v>
      </c>
      <c r="K3" s="200"/>
      <c r="L3" s="201">
        <v>40555</v>
      </c>
      <c r="M3" s="202"/>
      <c r="N3" s="203"/>
    </row>
    <row r="4" spans="2:16" ht="45" x14ac:dyDescent="0.25">
      <c r="B4" s="24" t="s">
        <v>76</v>
      </c>
      <c r="C4" s="24" t="s">
        <v>1</v>
      </c>
      <c r="D4" s="180" t="s">
        <v>95</v>
      </c>
      <c r="E4" s="180" t="s">
        <v>86</v>
      </c>
      <c r="F4" s="180" t="s">
        <v>94</v>
      </c>
      <c r="G4" s="180" t="s">
        <v>85</v>
      </c>
      <c r="H4" s="179" t="s">
        <v>77</v>
      </c>
      <c r="J4" s="179" t="s">
        <v>78</v>
      </c>
      <c r="K4" s="191" t="s">
        <v>79</v>
      </c>
      <c r="L4" s="191"/>
      <c r="M4" s="192" t="s">
        <v>80</v>
      </c>
      <c r="N4" s="192"/>
    </row>
    <row r="5" spans="2:16" x14ac:dyDescent="0.25">
      <c r="D5" s="163" t="s">
        <v>82</v>
      </c>
      <c r="E5" s="163" t="s">
        <v>82</v>
      </c>
      <c r="F5" s="163" t="s">
        <v>82</v>
      </c>
      <c r="G5" s="163" t="s">
        <v>82</v>
      </c>
      <c r="H5" s="157" t="s">
        <v>81</v>
      </c>
      <c r="J5" s="157" t="s">
        <v>83</v>
      </c>
      <c r="K5" s="157" t="s">
        <v>81</v>
      </c>
      <c r="L5" s="157" t="s">
        <v>83</v>
      </c>
      <c r="M5" s="157" t="s">
        <v>82</v>
      </c>
      <c r="N5" s="157" t="s">
        <v>83</v>
      </c>
    </row>
    <row r="6" spans="2:16" x14ac:dyDescent="0.25">
      <c r="D6" s="164"/>
      <c r="E6" s="164"/>
      <c r="F6" s="164"/>
      <c r="G6" s="164"/>
      <c r="H6" s="150"/>
      <c r="J6" s="170"/>
      <c r="K6" s="148"/>
      <c r="L6" s="149"/>
      <c r="M6" s="147"/>
      <c r="N6" s="149"/>
    </row>
    <row r="7" spans="2:16" ht="15" x14ac:dyDescent="0.25">
      <c r="B7" s="25">
        <v>1</v>
      </c>
      <c r="C7" s="26" t="s">
        <v>238</v>
      </c>
      <c r="D7" s="164"/>
      <c r="E7" s="164"/>
      <c r="F7" s="164"/>
      <c r="G7" s="164"/>
      <c r="H7" s="150"/>
      <c r="J7" s="170"/>
      <c r="K7" s="148"/>
      <c r="L7" s="149"/>
      <c r="M7" s="147"/>
      <c r="N7" s="149"/>
    </row>
    <row r="8" spans="2:16" ht="15" x14ac:dyDescent="0.25">
      <c r="B8" s="27">
        <f t="shared" ref="B8:B14" si="0">B7+0.1</f>
        <v>1.1000000000000001</v>
      </c>
      <c r="C8" s="28" t="s">
        <v>87</v>
      </c>
      <c r="D8" s="165">
        <v>4</v>
      </c>
      <c r="E8" s="165">
        <v>16</v>
      </c>
      <c r="F8" s="165">
        <v>16</v>
      </c>
      <c r="G8" s="154">
        <f>SUM(D8:F8)</f>
        <v>36</v>
      </c>
      <c r="H8" s="159">
        <f t="shared" ref="H8:H14" si="1">($D$52*D8)+(E8*$D$51)+(F8*$D$53)</f>
        <v>4600</v>
      </c>
      <c r="J8" s="175"/>
      <c r="K8" s="176"/>
      <c r="L8" s="174" t="str">
        <f>IF(ISBLANK($K8),"",$K8/$H8)</f>
        <v/>
      </c>
      <c r="M8" s="155"/>
      <c r="N8" s="174" t="str">
        <f>IF(ISBLANK($M8),"",$M8/$G8)</f>
        <v/>
      </c>
    </row>
    <row r="9" spans="2:16" ht="15" x14ac:dyDescent="0.25">
      <c r="B9" s="27">
        <f t="shared" si="0"/>
        <v>1.2000000000000002</v>
      </c>
      <c r="C9" s="28" t="s">
        <v>88</v>
      </c>
      <c r="D9" s="165">
        <v>6</v>
      </c>
      <c r="E9" s="165">
        <v>16</v>
      </c>
      <c r="F9" s="165">
        <v>16</v>
      </c>
      <c r="G9" s="154">
        <f t="shared" ref="G9:G14" si="2">SUM(D9:F9)</f>
        <v>38</v>
      </c>
      <c r="H9" s="159">
        <f t="shared" si="1"/>
        <v>4900</v>
      </c>
      <c r="J9" s="175"/>
      <c r="K9" s="176"/>
      <c r="L9" s="174" t="str">
        <f>IF(ISBLANK($K9),"",$K9/$H9)</f>
        <v/>
      </c>
      <c r="M9" s="155"/>
      <c r="N9" s="174" t="str">
        <f t="shared" ref="N9:N14" si="3">IF(ISBLANK($M9),"",$M9/$G9)</f>
        <v/>
      </c>
    </row>
    <row r="10" spans="2:16" ht="15" x14ac:dyDescent="0.25">
      <c r="B10" s="27">
        <f t="shared" si="0"/>
        <v>1.3000000000000003</v>
      </c>
      <c r="C10" s="28" t="s">
        <v>90</v>
      </c>
      <c r="D10" s="165">
        <v>0</v>
      </c>
      <c r="E10" s="165">
        <v>0</v>
      </c>
      <c r="F10" s="165">
        <v>0</v>
      </c>
      <c r="G10" s="154">
        <f t="shared" si="2"/>
        <v>0</v>
      </c>
      <c r="H10" s="159">
        <f t="shared" si="1"/>
        <v>0</v>
      </c>
      <c r="J10" s="175"/>
      <c r="K10" s="176"/>
      <c r="L10" s="174" t="str">
        <f>IF(ISBLANK($K10),"",$K10/$H10)</f>
        <v/>
      </c>
      <c r="M10" s="155"/>
      <c r="N10" s="174" t="str">
        <f t="shared" si="3"/>
        <v/>
      </c>
    </row>
    <row r="11" spans="2:16" ht="15" x14ac:dyDescent="0.25">
      <c r="B11" s="27">
        <f t="shared" si="0"/>
        <v>1.4000000000000004</v>
      </c>
      <c r="C11" s="28" t="s">
        <v>93</v>
      </c>
      <c r="D11" s="165">
        <v>2</v>
      </c>
      <c r="E11" s="165">
        <v>8</v>
      </c>
      <c r="F11" s="165">
        <v>4</v>
      </c>
      <c r="G11" s="154">
        <f t="shared" si="2"/>
        <v>14</v>
      </c>
      <c r="H11" s="159">
        <f t="shared" si="1"/>
        <v>1900</v>
      </c>
      <c r="J11" s="175"/>
      <c r="K11" s="176"/>
      <c r="L11" s="174" t="str">
        <f>IF(ISBLANK($K11),"",$K11/$H11)</f>
        <v/>
      </c>
      <c r="M11" s="155"/>
      <c r="N11" s="174" t="str">
        <f t="shared" si="3"/>
        <v/>
      </c>
    </row>
    <row r="12" spans="2:16" ht="15" x14ac:dyDescent="0.25">
      <c r="B12" s="27">
        <f t="shared" si="0"/>
        <v>1.5000000000000004</v>
      </c>
      <c r="C12" s="28" t="s">
        <v>91</v>
      </c>
      <c r="D12" s="165"/>
      <c r="E12" s="165">
        <v>0</v>
      </c>
      <c r="F12" s="165"/>
      <c r="G12" s="154">
        <f t="shared" si="2"/>
        <v>0</v>
      </c>
      <c r="H12" s="159">
        <f t="shared" si="1"/>
        <v>0</v>
      </c>
      <c r="J12" s="175"/>
      <c r="K12" s="176"/>
      <c r="L12" s="174"/>
      <c r="M12" s="155"/>
      <c r="N12" s="174" t="str">
        <f t="shared" si="3"/>
        <v/>
      </c>
    </row>
    <row r="13" spans="2:16" ht="15" x14ac:dyDescent="0.25">
      <c r="B13" s="27">
        <f t="shared" si="0"/>
        <v>1.6000000000000005</v>
      </c>
      <c r="C13" s="28" t="s">
        <v>96</v>
      </c>
      <c r="D13" s="165">
        <v>4</v>
      </c>
      <c r="E13" s="165">
        <v>8</v>
      </c>
      <c r="F13" s="165">
        <v>8</v>
      </c>
      <c r="G13" s="154">
        <f t="shared" si="2"/>
        <v>20</v>
      </c>
      <c r="H13" s="159">
        <f t="shared" si="1"/>
        <v>2600</v>
      </c>
      <c r="J13" s="175"/>
      <c r="K13" s="176"/>
      <c r="L13" s="174"/>
      <c r="M13" s="155"/>
      <c r="N13" s="174" t="str">
        <f t="shared" si="3"/>
        <v/>
      </c>
    </row>
    <row r="14" spans="2:16" ht="15" x14ac:dyDescent="0.25">
      <c r="B14" s="27">
        <f t="shared" si="0"/>
        <v>1.7000000000000006</v>
      </c>
      <c r="C14" s="28" t="s">
        <v>237</v>
      </c>
      <c r="D14" s="165"/>
      <c r="E14" s="165"/>
      <c r="F14" s="165"/>
      <c r="G14" s="154">
        <f t="shared" si="2"/>
        <v>0</v>
      </c>
      <c r="H14" s="159">
        <f t="shared" si="1"/>
        <v>0</v>
      </c>
      <c r="J14" s="175"/>
      <c r="K14" s="176"/>
      <c r="L14" s="174"/>
      <c r="M14" s="155"/>
      <c r="N14" s="174" t="str">
        <f t="shared" si="3"/>
        <v/>
      </c>
    </row>
    <row r="15" spans="2:16" x14ac:dyDescent="0.25">
      <c r="B15" s="27"/>
      <c r="C15" s="30"/>
      <c r="D15" s="166"/>
      <c r="E15" s="166"/>
      <c r="F15" s="166"/>
      <c r="G15" s="166"/>
      <c r="H15" s="151"/>
      <c r="J15" s="170"/>
      <c r="K15" s="148"/>
      <c r="L15" s="149" t="str">
        <f>IF(ISBLANK($K15),"",$K15/$H15)</f>
        <v/>
      </c>
      <c r="M15" s="147"/>
      <c r="N15" s="149" t="str">
        <f>IF(ISBLANK($M15),"",$M15/$D15)</f>
        <v/>
      </c>
    </row>
    <row r="16" spans="2:16" ht="15" x14ac:dyDescent="0.25">
      <c r="B16" s="29"/>
      <c r="C16" s="24" t="s">
        <v>85</v>
      </c>
      <c r="D16" s="167">
        <f>SUM(D6:D15)</f>
        <v>16</v>
      </c>
      <c r="E16" s="167">
        <f>SUM(E6:E15)</f>
        <v>48</v>
      </c>
      <c r="F16" s="167">
        <f>SUM(F6:F15)</f>
        <v>44</v>
      </c>
      <c r="G16" s="167">
        <f>SUM(G6:G15)</f>
        <v>108</v>
      </c>
      <c r="H16" s="153">
        <f>SUM(H6:H15)</f>
        <v>14000</v>
      </c>
      <c r="J16" s="174" t="e">
        <f>AVERAGE(J6:J15)</f>
        <v>#DIV/0!</v>
      </c>
      <c r="K16" s="159">
        <f>SUM(K6:K15)</f>
        <v>0</v>
      </c>
      <c r="L16" s="174">
        <f>K16/H16</f>
        <v>0</v>
      </c>
      <c r="M16" s="152">
        <f>SUM(M6:M15)</f>
        <v>0</v>
      </c>
      <c r="N16" s="174">
        <f>M16/G16</f>
        <v>0</v>
      </c>
    </row>
    <row r="17" spans="2:15" s="28" customFormat="1" ht="15" x14ac:dyDescent="0.25">
      <c r="B17" s="145"/>
      <c r="C17" s="146"/>
      <c r="D17" s="168"/>
      <c r="E17" s="168"/>
      <c r="F17" s="168"/>
      <c r="G17" s="168"/>
      <c r="H17" s="148"/>
      <c r="I17" s="147"/>
      <c r="J17" s="147"/>
      <c r="K17" s="148"/>
      <c r="L17" s="149"/>
      <c r="M17" s="147"/>
      <c r="N17" s="149"/>
      <c r="O17" s="147"/>
    </row>
    <row r="18" spans="2:15" ht="45" x14ac:dyDescent="0.25">
      <c r="B18" s="24" t="s">
        <v>76</v>
      </c>
      <c r="C18" s="24" t="s">
        <v>1</v>
      </c>
      <c r="D18" s="180" t="s">
        <v>98</v>
      </c>
      <c r="E18" s="180" t="s">
        <v>244</v>
      </c>
      <c r="F18" s="180" t="s">
        <v>97</v>
      </c>
      <c r="G18" s="180" t="s">
        <v>245</v>
      </c>
      <c r="H18" s="179" t="s">
        <v>77</v>
      </c>
      <c r="J18" s="179" t="s">
        <v>78</v>
      </c>
      <c r="K18" s="191" t="s">
        <v>79</v>
      </c>
      <c r="L18" s="191"/>
      <c r="M18" s="192" t="s">
        <v>80</v>
      </c>
      <c r="N18" s="192"/>
    </row>
    <row r="19" spans="2:15" x14ac:dyDescent="0.25">
      <c r="B19" s="27"/>
      <c r="C19" s="28"/>
      <c r="D19" s="163" t="s">
        <v>81</v>
      </c>
      <c r="E19" s="163" t="s">
        <v>82</v>
      </c>
      <c r="F19" s="163" t="s">
        <v>81</v>
      </c>
      <c r="G19" s="163" t="s">
        <v>82</v>
      </c>
      <c r="H19" s="160" t="s">
        <v>81</v>
      </c>
      <c r="J19" s="171" t="s">
        <v>83</v>
      </c>
      <c r="K19" s="157" t="s">
        <v>81</v>
      </c>
      <c r="L19" s="157" t="s">
        <v>83</v>
      </c>
      <c r="M19" s="157" t="s">
        <v>82</v>
      </c>
      <c r="N19" s="157" t="s">
        <v>83</v>
      </c>
    </row>
    <row r="20" spans="2:15" ht="15" x14ac:dyDescent="0.25">
      <c r="B20" s="25">
        <v>2</v>
      </c>
      <c r="C20" s="26" t="s">
        <v>87</v>
      </c>
      <c r="D20" s="164"/>
      <c r="E20" s="164"/>
      <c r="F20" s="164"/>
      <c r="G20" s="164"/>
      <c r="H20" s="32"/>
      <c r="J20" s="149"/>
      <c r="K20" s="148"/>
      <c r="L20" s="149" t="str">
        <f t="shared" ref="L20:L33" si="4">IF(ISBLANK($K20),"",$K20/$H20)</f>
        <v/>
      </c>
      <c r="M20" s="147"/>
      <c r="N20" s="149" t="str">
        <f t="shared" ref="N20:N33" si="5">IF(ISBLANK($M20),"",$M20/$D20)</f>
        <v/>
      </c>
    </row>
    <row r="21" spans="2:15" ht="15" x14ac:dyDescent="0.25">
      <c r="B21" s="27">
        <f>B20+0.1</f>
        <v>2.1</v>
      </c>
      <c r="C21" s="28" t="s">
        <v>259</v>
      </c>
      <c r="D21" s="172">
        <f>12*150</f>
        <v>1800</v>
      </c>
      <c r="E21" s="177">
        <v>0</v>
      </c>
      <c r="F21" s="172">
        <v>5000</v>
      </c>
      <c r="G21" s="177">
        <v>8</v>
      </c>
      <c r="H21" s="162">
        <f t="shared" ref="H21:H27" si="6">D21+(E21*$D$54)+F21+(G21*$D$55)</f>
        <v>7280</v>
      </c>
      <c r="J21" s="175"/>
      <c r="K21" s="176"/>
      <c r="L21" s="174" t="str">
        <f t="shared" si="4"/>
        <v/>
      </c>
      <c r="M21" s="155"/>
      <c r="N21" s="174" t="str">
        <f t="shared" si="5"/>
        <v/>
      </c>
    </row>
    <row r="22" spans="2:15" ht="15" x14ac:dyDescent="0.25">
      <c r="B22" s="27">
        <f>B21+0.1</f>
        <v>2.2000000000000002</v>
      </c>
      <c r="C22" s="28" t="s">
        <v>239</v>
      </c>
      <c r="D22" s="173">
        <v>0</v>
      </c>
      <c r="E22" s="177">
        <v>0</v>
      </c>
      <c r="F22" s="173">
        <v>1000</v>
      </c>
      <c r="G22" s="177">
        <v>9</v>
      </c>
      <c r="H22" s="162">
        <f t="shared" si="6"/>
        <v>1540</v>
      </c>
      <c r="J22" s="175"/>
      <c r="K22" s="176"/>
      <c r="L22" s="174"/>
      <c r="M22" s="155"/>
      <c r="N22" s="174"/>
    </row>
    <row r="23" spans="2:15" ht="15" x14ac:dyDescent="0.25">
      <c r="B23" s="27">
        <f t="shared" ref="B23:B27" si="7">B22+0.1</f>
        <v>2.3000000000000003</v>
      </c>
      <c r="C23" s="28" t="s">
        <v>240</v>
      </c>
      <c r="D23" s="173">
        <v>150</v>
      </c>
      <c r="E23" s="177">
        <v>4</v>
      </c>
      <c r="F23" s="173">
        <v>100</v>
      </c>
      <c r="G23" s="177">
        <v>1</v>
      </c>
      <c r="H23" s="162">
        <f t="shared" si="6"/>
        <v>510</v>
      </c>
      <c r="J23" s="175"/>
      <c r="K23" s="176"/>
      <c r="L23" s="174" t="str">
        <f t="shared" si="4"/>
        <v/>
      </c>
      <c r="M23" s="155"/>
      <c r="N23" s="174" t="str">
        <f t="shared" si="5"/>
        <v/>
      </c>
    </row>
    <row r="24" spans="2:15" ht="15" x14ac:dyDescent="0.25">
      <c r="B24" s="27">
        <f t="shared" si="7"/>
        <v>2.4000000000000004</v>
      </c>
      <c r="C24" s="28" t="s">
        <v>241</v>
      </c>
      <c r="D24" s="173">
        <v>1000</v>
      </c>
      <c r="E24" s="177">
        <v>4</v>
      </c>
      <c r="F24" s="173">
        <v>50</v>
      </c>
      <c r="G24" s="177">
        <v>6</v>
      </c>
      <c r="H24" s="162">
        <f t="shared" si="6"/>
        <v>1610</v>
      </c>
      <c r="J24" s="175"/>
      <c r="K24" s="176"/>
      <c r="L24" s="174" t="str">
        <f t="shared" si="4"/>
        <v/>
      </c>
      <c r="M24" s="155"/>
      <c r="N24" s="174" t="str">
        <f t="shared" si="5"/>
        <v/>
      </c>
    </row>
    <row r="25" spans="2:15" ht="15" x14ac:dyDescent="0.25">
      <c r="B25" s="27">
        <f t="shared" si="7"/>
        <v>2.5000000000000004</v>
      </c>
      <c r="C25" s="28" t="s">
        <v>258</v>
      </c>
      <c r="D25" s="173">
        <v>1800</v>
      </c>
      <c r="E25" s="177">
        <v>16</v>
      </c>
      <c r="F25" s="173">
        <v>100</v>
      </c>
      <c r="G25" s="177">
        <v>16</v>
      </c>
      <c r="H25" s="162">
        <f t="shared" si="6"/>
        <v>3660</v>
      </c>
      <c r="J25" s="175"/>
      <c r="K25" s="176"/>
      <c r="L25" s="174" t="str">
        <f t="shared" si="4"/>
        <v/>
      </c>
      <c r="M25" s="155"/>
      <c r="N25" s="174" t="str">
        <f t="shared" si="5"/>
        <v/>
      </c>
    </row>
    <row r="26" spans="2:15" ht="15" x14ac:dyDescent="0.25">
      <c r="B26" s="27">
        <f t="shared" si="7"/>
        <v>2.6000000000000005</v>
      </c>
      <c r="C26" s="28" t="s">
        <v>242</v>
      </c>
      <c r="D26" s="173">
        <v>2500</v>
      </c>
      <c r="E26" s="177">
        <v>3</v>
      </c>
      <c r="F26" s="173">
        <v>0</v>
      </c>
      <c r="G26" s="177">
        <v>0</v>
      </c>
      <c r="H26" s="162">
        <f t="shared" si="6"/>
        <v>2650</v>
      </c>
      <c r="J26" s="175"/>
      <c r="K26" s="176"/>
      <c r="L26" s="174"/>
      <c r="M26" s="155"/>
      <c r="N26" s="174" t="str">
        <f t="shared" si="5"/>
        <v/>
      </c>
    </row>
    <row r="27" spans="2:15" ht="15" x14ac:dyDescent="0.25">
      <c r="B27" s="27">
        <f t="shared" si="7"/>
        <v>2.7000000000000006</v>
      </c>
      <c r="C27" s="28" t="s">
        <v>243</v>
      </c>
      <c r="D27" s="173">
        <v>1500</v>
      </c>
      <c r="E27" s="177">
        <v>16</v>
      </c>
      <c r="F27" s="173">
        <v>0</v>
      </c>
      <c r="G27" s="177">
        <v>8</v>
      </c>
      <c r="H27" s="162">
        <f t="shared" si="6"/>
        <v>2780</v>
      </c>
      <c r="J27" s="175"/>
      <c r="K27" s="176"/>
      <c r="L27" s="174"/>
      <c r="M27" s="155"/>
      <c r="N27" s="174" t="str">
        <f t="shared" si="5"/>
        <v/>
      </c>
    </row>
    <row r="28" spans="2:15" x14ac:dyDescent="0.25">
      <c r="B28" s="27"/>
      <c r="C28" s="28"/>
      <c r="D28" s="164"/>
      <c r="E28" s="178"/>
      <c r="F28" s="164"/>
      <c r="G28" s="178"/>
      <c r="H28" s="32"/>
      <c r="J28" s="149"/>
      <c r="K28" s="148"/>
      <c r="L28" s="149" t="str">
        <f t="shared" si="4"/>
        <v/>
      </c>
      <c r="M28" s="147"/>
      <c r="N28" s="149" t="str">
        <f t="shared" si="5"/>
        <v/>
      </c>
    </row>
    <row r="29" spans="2:15" ht="15" x14ac:dyDescent="0.25">
      <c r="B29" s="25">
        <v>3</v>
      </c>
      <c r="C29" s="26" t="s">
        <v>89</v>
      </c>
      <c r="D29" s="164"/>
      <c r="E29" s="178"/>
      <c r="F29" s="164"/>
      <c r="G29" s="178"/>
      <c r="H29" s="32"/>
      <c r="J29" s="149"/>
      <c r="K29" s="148"/>
      <c r="L29" s="149" t="str">
        <f t="shared" si="4"/>
        <v/>
      </c>
      <c r="M29" s="147"/>
      <c r="N29" s="149" t="str">
        <f t="shared" si="5"/>
        <v/>
      </c>
    </row>
    <row r="30" spans="2:15" ht="15" x14ac:dyDescent="0.25">
      <c r="B30" s="27">
        <f>B29+0.1</f>
        <v>3.1</v>
      </c>
      <c r="C30" s="28" t="s">
        <v>261</v>
      </c>
      <c r="D30" s="172">
        <v>0</v>
      </c>
      <c r="E30" s="177">
        <v>0</v>
      </c>
      <c r="F30" s="172">
        <v>0</v>
      </c>
      <c r="G30" s="177">
        <v>0</v>
      </c>
      <c r="H30" s="162">
        <f>D30+(E30*$D$54)+F30+(G30*$D$55)</f>
        <v>0</v>
      </c>
      <c r="J30" s="175"/>
      <c r="K30" s="176"/>
      <c r="L30" s="174"/>
      <c r="M30" s="155"/>
      <c r="N30" s="174"/>
    </row>
    <row r="31" spans="2:15" ht="15" x14ac:dyDescent="0.25">
      <c r="B31" s="27">
        <f t="shared" ref="B31:B33" si="8">B30+0.1</f>
        <v>3.2</v>
      </c>
      <c r="C31" s="28" t="s">
        <v>249</v>
      </c>
      <c r="D31" s="172">
        <v>0</v>
      </c>
      <c r="E31" s="177">
        <v>0</v>
      </c>
      <c r="F31" s="172">
        <v>0</v>
      </c>
      <c r="G31" s="177">
        <v>0</v>
      </c>
      <c r="H31" s="162">
        <f>D31+(E31*$D$54)+F31+(G31*$D$55)</f>
        <v>0</v>
      </c>
      <c r="J31" s="175"/>
      <c r="K31" s="176"/>
      <c r="L31" s="174" t="str">
        <f t="shared" si="4"/>
        <v/>
      </c>
      <c r="M31" s="155"/>
      <c r="N31" s="174" t="str">
        <f t="shared" si="5"/>
        <v/>
      </c>
    </row>
    <row r="32" spans="2:15" ht="15" x14ac:dyDescent="0.25">
      <c r="B32" s="27">
        <f t="shared" si="8"/>
        <v>3.3000000000000003</v>
      </c>
      <c r="C32" s="28" t="s">
        <v>250</v>
      </c>
      <c r="D32" s="172">
        <v>0</v>
      </c>
      <c r="E32" s="177">
        <v>0</v>
      </c>
      <c r="F32" s="172">
        <v>0</v>
      </c>
      <c r="G32" s="177">
        <v>0</v>
      </c>
      <c r="H32" s="162">
        <f>D32+(E32*$D$54)+F32+(G32*$D$55)</f>
        <v>0</v>
      </c>
      <c r="J32" s="175"/>
      <c r="K32" s="176"/>
      <c r="L32" s="174" t="str">
        <f t="shared" si="4"/>
        <v/>
      </c>
      <c r="M32" s="155"/>
      <c r="N32" s="174" t="str">
        <f t="shared" si="5"/>
        <v/>
      </c>
    </row>
    <row r="33" spans="2:15" ht="15" x14ac:dyDescent="0.25">
      <c r="B33" s="27">
        <f t="shared" si="8"/>
        <v>3.4000000000000004</v>
      </c>
      <c r="C33" s="28" t="s">
        <v>251</v>
      </c>
      <c r="D33" s="172">
        <v>0</v>
      </c>
      <c r="E33" s="177">
        <v>0</v>
      </c>
      <c r="F33" s="172">
        <v>0</v>
      </c>
      <c r="G33" s="177">
        <v>0</v>
      </c>
      <c r="H33" s="162">
        <f>D33+(E33*$D$54)+F33+(G33*$D$55)</f>
        <v>0</v>
      </c>
      <c r="J33" s="175"/>
      <c r="K33" s="176"/>
      <c r="L33" s="174" t="str">
        <f t="shared" si="4"/>
        <v/>
      </c>
      <c r="M33" s="155"/>
      <c r="N33" s="174" t="str">
        <f t="shared" si="5"/>
        <v/>
      </c>
    </row>
    <row r="34" spans="2:15" x14ac:dyDescent="0.25">
      <c r="B34" s="27"/>
      <c r="C34" s="28"/>
      <c r="D34" s="164"/>
      <c r="E34" s="178"/>
      <c r="F34" s="164"/>
      <c r="G34" s="178"/>
      <c r="H34" s="32"/>
      <c r="J34" s="149"/>
      <c r="K34" s="148"/>
      <c r="L34" s="149"/>
      <c r="M34" s="147"/>
      <c r="N34" s="149"/>
    </row>
    <row r="35" spans="2:15" ht="15" x14ac:dyDescent="0.25">
      <c r="B35" s="25">
        <v>4</v>
      </c>
      <c r="C35" s="26" t="s">
        <v>90</v>
      </c>
      <c r="D35" s="164"/>
      <c r="E35" s="178"/>
      <c r="F35" s="164"/>
      <c r="G35" s="178"/>
      <c r="H35" s="32"/>
      <c r="J35" s="149"/>
      <c r="K35" s="148"/>
      <c r="L35" s="149" t="str">
        <f>IF(ISBLANK($K35),"",$K35/$H35)</f>
        <v/>
      </c>
      <c r="M35" s="147"/>
      <c r="N35" s="149" t="str">
        <f>IF(ISBLANK($M35),"",$M35/$D35)</f>
        <v/>
      </c>
    </row>
    <row r="36" spans="2:15" ht="15" x14ac:dyDescent="0.25">
      <c r="B36" s="27">
        <f>B35+0.1</f>
        <v>4.0999999999999996</v>
      </c>
      <c r="C36" s="28" t="s">
        <v>261</v>
      </c>
      <c r="D36" s="161">
        <v>0</v>
      </c>
      <c r="E36" s="177">
        <v>0</v>
      </c>
      <c r="F36" s="161">
        <v>0</v>
      </c>
      <c r="G36" s="177">
        <v>0</v>
      </c>
      <c r="H36" s="162">
        <f>D36+(E36*$D$54)+F36+(G36*$D$55)</f>
        <v>0</v>
      </c>
      <c r="J36" s="175"/>
      <c r="K36" s="176"/>
      <c r="L36" s="174" t="str">
        <f>IF(ISBLANK($K36),"",$K36/$H36)</f>
        <v/>
      </c>
      <c r="M36" s="155"/>
      <c r="N36" s="174" t="str">
        <f>IF(ISBLANK($M36),"",$M36/$D36)</f>
        <v/>
      </c>
    </row>
    <row r="37" spans="2:15" ht="15" x14ac:dyDescent="0.25">
      <c r="B37" s="27">
        <f t="shared" ref="B37:B39" si="9">B36+0.1</f>
        <v>4.1999999999999993</v>
      </c>
      <c r="C37" s="28" t="s">
        <v>254</v>
      </c>
      <c r="D37" s="161">
        <v>0</v>
      </c>
      <c r="E37" s="177"/>
      <c r="F37" s="161"/>
      <c r="G37" s="177"/>
      <c r="H37" s="162">
        <f>D37+(E37*$D$54)+F37+(G37*$D$55)</f>
        <v>0</v>
      </c>
      <c r="J37" s="175"/>
      <c r="K37" s="176"/>
      <c r="L37" s="174" t="str">
        <f>IF(ISBLANK($K37),"",$K37/$H37)</f>
        <v/>
      </c>
      <c r="M37" s="155"/>
      <c r="N37" s="174" t="str">
        <f>IF(ISBLANK($M37),"",$M37/$D37)</f>
        <v/>
      </c>
    </row>
    <row r="38" spans="2:15" ht="15" x14ac:dyDescent="0.25">
      <c r="B38" s="27">
        <f t="shared" si="9"/>
        <v>4.2999999999999989</v>
      </c>
      <c r="C38" s="28" t="s">
        <v>253</v>
      </c>
      <c r="D38" s="161">
        <v>0</v>
      </c>
      <c r="E38" s="177"/>
      <c r="F38" s="161"/>
      <c r="G38" s="177"/>
      <c r="H38" s="162">
        <f>D38+(E38*$D$54)+F38+(G38*$D$55)</f>
        <v>0</v>
      </c>
      <c r="J38" s="175"/>
      <c r="K38" s="176"/>
      <c r="L38" s="174" t="str">
        <f>IF(ISBLANK($K38),"",$K38/$H38)</f>
        <v/>
      </c>
      <c r="M38" s="155"/>
      <c r="N38" s="174" t="str">
        <f>IF(ISBLANK($M38),"",$M38/$D38)</f>
        <v/>
      </c>
    </row>
    <row r="39" spans="2:15" ht="15" x14ac:dyDescent="0.25">
      <c r="B39" s="27">
        <f t="shared" si="9"/>
        <v>4.3999999999999986</v>
      </c>
      <c r="C39" s="28" t="s">
        <v>252</v>
      </c>
      <c r="D39" s="161">
        <v>0</v>
      </c>
      <c r="E39" s="177"/>
      <c r="F39" s="161"/>
      <c r="G39" s="177"/>
      <c r="H39" s="162">
        <f>D39+(E39*$D$54)+F39+(G39*$D$55)</f>
        <v>0</v>
      </c>
      <c r="J39" s="175"/>
      <c r="K39" s="176"/>
      <c r="L39" s="174" t="str">
        <f>IF(ISBLANK($K39),"",$K39/$H39)</f>
        <v/>
      </c>
      <c r="M39" s="155"/>
      <c r="N39" s="174" t="str">
        <f>IF(ISBLANK($M39),"",$M39/$D39)</f>
        <v/>
      </c>
    </row>
    <row r="40" spans="2:15" x14ac:dyDescent="0.25">
      <c r="B40" s="27"/>
      <c r="C40" s="28"/>
      <c r="D40" s="164"/>
      <c r="E40" s="178"/>
      <c r="F40" s="164"/>
      <c r="G40" s="178"/>
      <c r="H40" s="32"/>
      <c r="J40" s="149"/>
      <c r="K40" s="148"/>
      <c r="L40" s="149"/>
      <c r="M40" s="147"/>
      <c r="N40" s="149"/>
    </row>
    <row r="41" spans="2:15" ht="17.25" customHeight="1" x14ac:dyDescent="0.25">
      <c r="B41" s="25">
        <v>5</v>
      </c>
      <c r="C41" s="26" t="s">
        <v>92</v>
      </c>
      <c r="D41" s="164"/>
      <c r="E41" s="178"/>
      <c r="F41" s="164"/>
      <c r="G41" s="178"/>
      <c r="H41" s="32"/>
      <c r="J41" s="149"/>
      <c r="K41" s="148"/>
      <c r="L41" s="149" t="str">
        <f t="shared" ref="L41:L46" si="10">IF(ISBLANK($K41),"",$K41/$H41)</f>
        <v/>
      </c>
      <c r="M41" s="147"/>
      <c r="N41" s="149" t="str">
        <f t="shared" ref="N41:N46" si="11">IF(ISBLANK($M41),"",$M41/$D41)</f>
        <v/>
      </c>
    </row>
    <row r="42" spans="2:15" ht="15" x14ac:dyDescent="0.25">
      <c r="B42" s="27">
        <f t="shared" ref="B42:B46" si="12">B41+0.1</f>
        <v>5.0999999999999996</v>
      </c>
      <c r="C42" s="28" t="s">
        <v>255</v>
      </c>
      <c r="D42" s="172">
        <v>5000</v>
      </c>
      <c r="E42" s="177">
        <v>0</v>
      </c>
      <c r="F42" s="172">
        <v>0</v>
      </c>
      <c r="G42" s="177">
        <v>2</v>
      </c>
      <c r="H42" s="162">
        <f>D42+(E42*$D$54)+F42+(G42*$D$55)</f>
        <v>5120</v>
      </c>
      <c r="J42" s="175"/>
      <c r="K42" s="176"/>
      <c r="L42" s="174" t="str">
        <f t="shared" si="10"/>
        <v/>
      </c>
      <c r="M42" s="155"/>
      <c r="N42" s="174" t="str">
        <f t="shared" si="11"/>
        <v/>
      </c>
    </row>
    <row r="43" spans="2:15" ht="15" x14ac:dyDescent="0.25">
      <c r="B43" s="27">
        <f>B42+0.1</f>
        <v>5.1999999999999993</v>
      </c>
      <c r="C43" s="28" t="s">
        <v>256</v>
      </c>
      <c r="D43" s="172">
        <v>500</v>
      </c>
      <c r="E43" s="177">
        <v>0</v>
      </c>
      <c r="F43" s="172">
        <v>200</v>
      </c>
      <c r="G43" s="177">
        <v>16</v>
      </c>
      <c r="H43" s="162">
        <f>D43+(E43*$D$54)+F43+(G43*$D$55)</f>
        <v>1660</v>
      </c>
      <c r="J43" s="175"/>
      <c r="K43" s="176"/>
      <c r="L43" s="174" t="str">
        <f t="shared" si="10"/>
        <v/>
      </c>
      <c r="M43" s="155"/>
      <c r="N43" s="174" t="str">
        <f t="shared" si="11"/>
        <v/>
      </c>
    </row>
    <row r="44" spans="2:15" ht="15" x14ac:dyDescent="0.25">
      <c r="B44" s="27">
        <f>B42+0.1</f>
        <v>5.1999999999999993</v>
      </c>
      <c r="C44" s="28" t="s">
        <v>260</v>
      </c>
      <c r="D44" s="172">
        <v>0</v>
      </c>
      <c r="E44" s="177">
        <v>0</v>
      </c>
      <c r="F44" s="172">
        <v>200</v>
      </c>
      <c r="G44" s="177">
        <v>8</v>
      </c>
      <c r="H44" s="162">
        <f>D44+(E44*$D$54)+F44+(G44*$D$55)</f>
        <v>680</v>
      </c>
      <c r="J44" s="175"/>
      <c r="K44" s="176"/>
      <c r="L44" s="174" t="str">
        <f t="shared" si="10"/>
        <v/>
      </c>
      <c r="M44" s="155"/>
      <c r="N44" s="174" t="str">
        <f t="shared" si="11"/>
        <v/>
      </c>
    </row>
    <row r="45" spans="2:15" ht="15" x14ac:dyDescent="0.25">
      <c r="B45" s="27">
        <f>B43+0.1</f>
        <v>5.2999999999999989</v>
      </c>
      <c r="C45" s="28" t="s">
        <v>257</v>
      </c>
      <c r="D45" s="172">
        <v>200</v>
      </c>
      <c r="E45" s="177">
        <v>8</v>
      </c>
      <c r="F45" s="172">
        <v>50</v>
      </c>
      <c r="G45" s="177">
        <v>2</v>
      </c>
      <c r="H45" s="162">
        <f>D45+(E45*$D$54)+F45+(G45*$D$55)</f>
        <v>770</v>
      </c>
      <c r="J45" s="175"/>
      <c r="K45" s="176"/>
      <c r="L45" s="174" t="str">
        <f t="shared" si="10"/>
        <v/>
      </c>
      <c r="M45" s="155"/>
      <c r="N45" s="174" t="str">
        <f t="shared" si="11"/>
        <v/>
      </c>
    </row>
    <row r="46" spans="2:15" ht="15" x14ac:dyDescent="0.25">
      <c r="B46" s="27">
        <f t="shared" si="12"/>
        <v>5.3999999999999986</v>
      </c>
      <c r="C46" s="28" t="s">
        <v>249</v>
      </c>
      <c r="D46" s="172">
        <v>1000</v>
      </c>
      <c r="E46" s="177"/>
      <c r="F46" s="172"/>
      <c r="G46" s="177"/>
      <c r="H46" s="162">
        <f>D46+(E46*$D$54)+F46+(G46*$D$55)</f>
        <v>1000</v>
      </c>
      <c r="J46" s="175"/>
      <c r="K46" s="176"/>
      <c r="L46" s="174" t="str">
        <f t="shared" si="10"/>
        <v/>
      </c>
      <c r="M46" s="155"/>
      <c r="N46" s="174" t="str">
        <f t="shared" si="11"/>
        <v/>
      </c>
    </row>
    <row r="47" spans="2:15" x14ac:dyDescent="0.25">
      <c r="B47" s="27"/>
      <c r="C47" s="28"/>
      <c r="D47" s="164"/>
      <c r="E47" s="164"/>
      <c r="F47" s="164"/>
      <c r="G47" s="164"/>
      <c r="H47" s="150"/>
      <c r="J47" s="149"/>
      <c r="K47" s="148"/>
      <c r="L47" s="149"/>
      <c r="M47" s="147"/>
      <c r="N47" s="149"/>
    </row>
    <row r="48" spans="2:15" s="30" customFormat="1" ht="15" x14ac:dyDescent="0.25">
      <c r="B48" s="181"/>
      <c r="C48" s="24" t="s">
        <v>85</v>
      </c>
      <c r="D48" s="182">
        <f>SUM(D21:D47)</f>
        <v>15450</v>
      </c>
      <c r="E48" s="183">
        <f>SUM(E21:E47)</f>
        <v>51</v>
      </c>
      <c r="F48" s="182">
        <f>SUM(F21:F47)</f>
        <v>6700</v>
      </c>
      <c r="G48" s="183">
        <f>SUM(G21:G47)</f>
        <v>76</v>
      </c>
      <c r="H48" s="182">
        <f>SUM(H21:H47)</f>
        <v>29260</v>
      </c>
      <c r="I48" s="31"/>
      <c r="J48" s="184"/>
      <c r="K48" s="185">
        <f>SUM(K6:K47)</f>
        <v>0</v>
      </c>
      <c r="L48" s="186">
        <f>K48/H48</f>
        <v>0</v>
      </c>
      <c r="M48" s="184">
        <f>SUM(M6:M47)</f>
        <v>0</v>
      </c>
      <c r="N48" s="186">
        <f>M48/D48</f>
        <v>0</v>
      </c>
      <c r="O48" s="187"/>
    </row>
    <row r="49" spans="3:7" x14ac:dyDescent="0.25">
      <c r="D49" s="31"/>
      <c r="E49" s="31"/>
      <c r="F49" s="31"/>
      <c r="G49" s="31"/>
    </row>
    <row r="50" spans="3:7" ht="15" x14ac:dyDescent="0.25">
      <c r="C50" s="24" t="s">
        <v>246</v>
      </c>
    </row>
    <row r="51" spans="3:7" ht="15" x14ac:dyDescent="0.25">
      <c r="C51" s="20" t="s">
        <v>86</v>
      </c>
      <c r="D51" s="169">
        <v>150</v>
      </c>
      <c r="E51" s="32"/>
    </row>
    <row r="52" spans="3:7" ht="15" x14ac:dyDescent="0.25">
      <c r="C52" s="20" t="s">
        <v>95</v>
      </c>
      <c r="D52" s="169">
        <v>150</v>
      </c>
      <c r="E52" s="32"/>
    </row>
    <row r="53" spans="3:7" ht="15" x14ac:dyDescent="0.25">
      <c r="C53" s="20" t="s">
        <v>94</v>
      </c>
      <c r="D53" s="169">
        <v>100</v>
      </c>
      <c r="E53" s="32"/>
    </row>
    <row r="54" spans="3:7" ht="15" x14ac:dyDescent="0.25">
      <c r="C54" s="20" t="s">
        <v>248</v>
      </c>
      <c r="D54" s="169">
        <v>50</v>
      </c>
    </row>
    <row r="55" spans="3:7" ht="15" x14ac:dyDescent="0.25">
      <c r="C55" s="20" t="s">
        <v>247</v>
      </c>
      <c r="D55" s="169">
        <v>60</v>
      </c>
    </row>
  </sheetData>
  <mergeCells count="10">
    <mergeCell ref="K4:L4"/>
    <mergeCell ref="M4:N4"/>
    <mergeCell ref="K18:L18"/>
    <mergeCell ref="M18:N18"/>
    <mergeCell ref="D1:H1"/>
    <mergeCell ref="J1:N1"/>
    <mergeCell ref="D2:H3"/>
    <mergeCell ref="J2:N2"/>
    <mergeCell ref="J3:K3"/>
    <mergeCell ref="L3:N3"/>
  </mergeCells>
  <pageMargins left="0.75" right="0.75" top="1" bottom="1" header="0.5" footer="0.5"/>
  <pageSetup paperSize="9"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5"/>
  <sheetViews>
    <sheetView showGridLines="0" view="pageLayout" topLeftCell="A22" zoomScaleNormal="115" workbookViewId="0">
      <selection activeCell="E15" sqref="E15"/>
    </sheetView>
  </sheetViews>
  <sheetFormatPr defaultColWidth="8.85546875" defaultRowHeight="13.5" x14ac:dyDescent="0.25"/>
  <cols>
    <col min="1" max="1" width="0.5703125" style="20" customWidth="1"/>
    <col min="2" max="2" width="6.28515625" style="20" customWidth="1"/>
    <col min="3" max="3" width="32.7109375" style="20" customWidth="1"/>
    <col min="4" max="7" width="12.7109375" style="21" customWidth="1"/>
    <col min="8" max="8" width="14.85546875" style="21" customWidth="1"/>
    <col min="9" max="9" width="5.85546875" style="21" customWidth="1"/>
    <col min="10" max="10" width="15.5703125" style="21" customWidth="1"/>
    <col min="11" max="11" width="10.140625" style="21" bestFit="1" customWidth="1"/>
    <col min="12" max="12" width="8.85546875" style="21" customWidth="1"/>
    <col min="13" max="13" width="10.140625" style="21" customWidth="1"/>
    <col min="14" max="14" width="8.85546875" style="21"/>
    <col min="15" max="15" width="4" style="147" customWidth="1"/>
    <col min="16" max="16" width="8.85546875" style="20"/>
    <col min="17" max="17" width="10.85546875" style="20" customWidth="1"/>
    <col min="18" max="253" width="8.85546875" style="20"/>
    <col min="254" max="254" width="0.85546875" style="20" customWidth="1"/>
    <col min="255" max="255" width="4.42578125" style="20" bestFit="1" customWidth="1"/>
    <col min="256" max="256" width="32.7109375" style="20" customWidth="1"/>
    <col min="257" max="257" width="12.7109375" style="20" customWidth="1"/>
    <col min="258" max="258" width="14.85546875" style="20" customWidth="1"/>
    <col min="259" max="259" width="5.85546875" style="20" customWidth="1"/>
    <col min="260" max="260" width="15.5703125" style="20" customWidth="1"/>
    <col min="261" max="261" width="10.140625" style="20" bestFit="1" customWidth="1"/>
    <col min="262" max="262" width="8.85546875" style="20" customWidth="1"/>
    <col min="263" max="263" width="10.140625" style="20" customWidth="1"/>
    <col min="264" max="264" width="8.85546875" style="20"/>
    <col min="265" max="265" width="4" style="20" customWidth="1"/>
    <col min="266" max="266" width="1.5703125" style="20" customWidth="1"/>
    <col min="267" max="269" width="4" style="20" customWidth="1"/>
    <col min="270" max="270" width="8.85546875" style="20"/>
    <col min="271" max="271" width="14.42578125" style="20" bestFit="1" customWidth="1"/>
    <col min="272" max="272" width="8.85546875" style="20"/>
    <col min="273" max="273" width="10.85546875" style="20" customWidth="1"/>
    <col min="274" max="509" width="8.85546875" style="20"/>
    <col min="510" max="510" width="0.85546875" style="20" customWidth="1"/>
    <col min="511" max="511" width="4.42578125" style="20" bestFit="1" customWidth="1"/>
    <col min="512" max="512" width="32.7109375" style="20" customWidth="1"/>
    <col min="513" max="513" width="12.7109375" style="20" customWidth="1"/>
    <col min="514" max="514" width="14.85546875" style="20" customWidth="1"/>
    <col min="515" max="515" width="5.85546875" style="20" customWidth="1"/>
    <col min="516" max="516" width="15.5703125" style="20" customWidth="1"/>
    <col min="517" max="517" width="10.140625" style="20" bestFit="1" customWidth="1"/>
    <col min="518" max="518" width="8.85546875" style="20" customWidth="1"/>
    <col min="519" max="519" width="10.140625" style="20" customWidth="1"/>
    <col min="520" max="520" width="8.85546875" style="20"/>
    <col min="521" max="521" width="4" style="20" customWidth="1"/>
    <col min="522" max="522" width="1.5703125" style="20" customWidth="1"/>
    <col min="523" max="525" width="4" style="20" customWidth="1"/>
    <col min="526" max="526" width="8.85546875" style="20"/>
    <col min="527" max="527" width="14.42578125" style="20" bestFit="1" customWidth="1"/>
    <col min="528" max="528" width="8.85546875" style="20"/>
    <col min="529" max="529" width="10.85546875" style="20" customWidth="1"/>
    <col min="530" max="765" width="8.85546875" style="20"/>
    <col min="766" max="766" width="0.85546875" style="20" customWidth="1"/>
    <col min="767" max="767" width="4.42578125" style="20" bestFit="1" customWidth="1"/>
    <col min="768" max="768" width="32.7109375" style="20" customWidth="1"/>
    <col min="769" max="769" width="12.7109375" style="20" customWidth="1"/>
    <col min="770" max="770" width="14.85546875" style="20" customWidth="1"/>
    <col min="771" max="771" width="5.85546875" style="20" customWidth="1"/>
    <col min="772" max="772" width="15.5703125" style="20" customWidth="1"/>
    <col min="773" max="773" width="10.140625" style="20" bestFit="1" customWidth="1"/>
    <col min="774" max="774" width="8.85546875" style="20" customWidth="1"/>
    <col min="775" max="775" width="10.140625" style="20" customWidth="1"/>
    <col min="776" max="776" width="8.85546875" style="20"/>
    <col min="777" max="777" width="4" style="20" customWidth="1"/>
    <col min="778" max="778" width="1.5703125" style="20" customWidth="1"/>
    <col min="779" max="781" width="4" style="20" customWidth="1"/>
    <col min="782" max="782" width="8.85546875" style="20"/>
    <col min="783" max="783" width="14.42578125" style="20" bestFit="1" customWidth="1"/>
    <col min="784" max="784" width="8.85546875" style="20"/>
    <col min="785" max="785" width="10.85546875" style="20" customWidth="1"/>
    <col min="786" max="1021" width="8.85546875" style="20"/>
    <col min="1022" max="1022" width="0.85546875" style="20" customWidth="1"/>
    <col min="1023" max="1023" width="4.42578125" style="20" bestFit="1" customWidth="1"/>
    <col min="1024" max="1024" width="32.7109375" style="20" customWidth="1"/>
    <col min="1025" max="1025" width="12.7109375" style="20" customWidth="1"/>
    <col min="1026" max="1026" width="14.85546875" style="20" customWidth="1"/>
    <col min="1027" max="1027" width="5.85546875" style="20" customWidth="1"/>
    <col min="1028" max="1028" width="15.5703125" style="20" customWidth="1"/>
    <col min="1029" max="1029" width="10.140625" style="20" bestFit="1" customWidth="1"/>
    <col min="1030" max="1030" width="8.85546875" style="20" customWidth="1"/>
    <col min="1031" max="1031" width="10.140625" style="20" customWidth="1"/>
    <col min="1032" max="1032" width="8.85546875" style="20"/>
    <col min="1033" max="1033" width="4" style="20" customWidth="1"/>
    <col min="1034" max="1034" width="1.5703125" style="20" customWidth="1"/>
    <col min="1035" max="1037" width="4" style="20" customWidth="1"/>
    <col min="1038" max="1038" width="8.85546875" style="20"/>
    <col min="1039" max="1039" width="14.42578125" style="20" bestFit="1" customWidth="1"/>
    <col min="1040" max="1040" width="8.85546875" style="20"/>
    <col min="1041" max="1041" width="10.85546875" style="20" customWidth="1"/>
    <col min="1042" max="1277" width="8.85546875" style="20"/>
    <col min="1278" max="1278" width="0.85546875" style="20" customWidth="1"/>
    <col min="1279" max="1279" width="4.42578125" style="20" bestFit="1" customWidth="1"/>
    <col min="1280" max="1280" width="32.7109375" style="20" customWidth="1"/>
    <col min="1281" max="1281" width="12.7109375" style="20" customWidth="1"/>
    <col min="1282" max="1282" width="14.85546875" style="20" customWidth="1"/>
    <col min="1283" max="1283" width="5.85546875" style="20" customWidth="1"/>
    <col min="1284" max="1284" width="15.5703125" style="20" customWidth="1"/>
    <col min="1285" max="1285" width="10.140625" style="20" bestFit="1" customWidth="1"/>
    <col min="1286" max="1286" width="8.85546875" style="20" customWidth="1"/>
    <col min="1287" max="1287" width="10.140625" style="20" customWidth="1"/>
    <col min="1288" max="1288" width="8.85546875" style="20"/>
    <col min="1289" max="1289" width="4" style="20" customWidth="1"/>
    <col min="1290" max="1290" width="1.5703125" style="20" customWidth="1"/>
    <col min="1291" max="1293" width="4" style="20" customWidth="1"/>
    <col min="1294" max="1294" width="8.85546875" style="20"/>
    <col min="1295" max="1295" width="14.42578125" style="20" bestFit="1" customWidth="1"/>
    <col min="1296" max="1296" width="8.85546875" style="20"/>
    <col min="1297" max="1297" width="10.85546875" style="20" customWidth="1"/>
    <col min="1298" max="1533" width="8.85546875" style="20"/>
    <col min="1534" max="1534" width="0.85546875" style="20" customWidth="1"/>
    <col min="1535" max="1535" width="4.42578125" style="20" bestFit="1" customWidth="1"/>
    <col min="1536" max="1536" width="32.7109375" style="20" customWidth="1"/>
    <col min="1537" max="1537" width="12.7109375" style="20" customWidth="1"/>
    <col min="1538" max="1538" width="14.85546875" style="20" customWidth="1"/>
    <col min="1539" max="1539" width="5.85546875" style="20" customWidth="1"/>
    <col min="1540" max="1540" width="15.5703125" style="20" customWidth="1"/>
    <col min="1541" max="1541" width="10.140625" style="20" bestFit="1" customWidth="1"/>
    <col min="1542" max="1542" width="8.85546875" style="20" customWidth="1"/>
    <col min="1543" max="1543" width="10.140625" style="20" customWidth="1"/>
    <col min="1544" max="1544" width="8.85546875" style="20"/>
    <col min="1545" max="1545" width="4" style="20" customWidth="1"/>
    <col min="1546" max="1546" width="1.5703125" style="20" customWidth="1"/>
    <col min="1547" max="1549" width="4" style="20" customWidth="1"/>
    <col min="1550" max="1550" width="8.85546875" style="20"/>
    <col min="1551" max="1551" width="14.42578125" style="20" bestFit="1" customWidth="1"/>
    <col min="1552" max="1552" width="8.85546875" style="20"/>
    <col min="1553" max="1553" width="10.85546875" style="20" customWidth="1"/>
    <col min="1554" max="1789" width="8.85546875" style="20"/>
    <col min="1790" max="1790" width="0.85546875" style="20" customWidth="1"/>
    <col min="1791" max="1791" width="4.42578125" style="20" bestFit="1" customWidth="1"/>
    <col min="1792" max="1792" width="32.7109375" style="20" customWidth="1"/>
    <col min="1793" max="1793" width="12.7109375" style="20" customWidth="1"/>
    <col min="1794" max="1794" width="14.85546875" style="20" customWidth="1"/>
    <col min="1795" max="1795" width="5.85546875" style="20" customWidth="1"/>
    <col min="1796" max="1796" width="15.5703125" style="20" customWidth="1"/>
    <col min="1797" max="1797" width="10.140625" style="20" bestFit="1" customWidth="1"/>
    <col min="1798" max="1798" width="8.85546875" style="20" customWidth="1"/>
    <col min="1799" max="1799" width="10.140625" style="20" customWidth="1"/>
    <col min="1800" max="1800" width="8.85546875" style="20"/>
    <col min="1801" max="1801" width="4" style="20" customWidth="1"/>
    <col min="1802" max="1802" width="1.5703125" style="20" customWidth="1"/>
    <col min="1803" max="1805" width="4" style="20" customWidth="1"/>
    <col min="1806" max="1806" width="8.85546875" style="20"/>
    <col min="1807" max="1807" width="14.42578125" style="20" bestFit="1" customWidth="1"/>
    <col min="1808" max="1808" width="8.85546875" style="20"/>
    <col min="1809" max="1809" width="10.85546875" style="20" customWidth="1"/>
    <col min="1810" max="2045" width="8.85546875" style="20"/>
    <col min="2046" max="2046" width="0.85546875" style="20" customWidth="1"/>
    <col min="2047" max="2047" width="4.42578125" style="20" bestFit="1" customWidth="1"/>
    <col min="2048" max="2048" width="32.7109375" style="20" customWidth="1"/>
    <col min="2049" max="2049" width="12.7109375" style="20" customWidth="1"/>
    <col min="2050" max="2050" width="14.85546875" style="20" customWidth="1"/>
    <col min="2051" max="2051" width="5.85546875" style="20" customWidth="1"/>
    <col min="2052" max="2052" width="15.5703125" style="20" customWidth="1"/>
    <col min="2053" max="2053" width="10.140625" style="20" bestFit="1" customWidth="1"/>
    <col min="2054" max="2054" width="8.85546875" style="20" customWidth="1"/>
    <col min="2055" max="2055" width="10.140625" style="20" customWidth="1"/>
    <col min="2056" max="2056" width="8.85546875" style="20"/>
    <col min="2057" max="2057" width="4" style="20" customWidth="1"/>
    <col min="2058" max="2058" width="1.5703125" style="20" customWidth="1"/>
    <col min="2059" max="2061" width="4" style="20" customWidth="1"/>
    <col min="2062" max="2062" width="8.85546875" style="20"/>
    <col min="2063" max="2063" width="14.42578125" style="20" bestFit="1" customWidth="1"/>
    <col min="2064" max="2064" width="8.85546875" style="20"/>
    <col min="2065" max="2065" width="10.85546875" style="20" customWidth="1"/>
    <col min="2066" max="2301" width="8.85546875" style="20"/>
    <col min="2302" max="2302" width="0.85546875" style="20" customWidth="1"/>
    <col min="2303" max="2303" width="4.42578125" style="20" bestFit="1" customWidth="1"/>
    <col min="2304" max="2304" width="32.7109375" style="20" customWidth="1"/>
    <col min="2305" max="2305" width="12.7109375" style="20" customWidth="1"/>
    <col min="2306" max="2306" width="14.85546875" style="20" customWidth="1"/>
    <col min="2307" max="2307" width="5.85546875" style="20" customWidth="1"/>
    <col min="2308" max="2308" width="15.5703125" style="20" customWidth="1"/>
    <col min="2309" max="2309" width="10.140625" style="20" bestFit="1" customWidth="1"/>
    <col min="2310" max="2310" width="8.85546875" style="20" customWidth="1"/>
    <col min="2311" max="2311" width="10.140625" style="20" customWidth="1"/>
    <col min="2312" max="2312" width="8.85546875" style="20"/>
    <col min="2313" max="2313" width="4" style="20" customWidth="1"/>
    <col min="2314" max="2314" width="1.5703125" style="20" customWidth="1"/>
    <col min="2315" max="2317" width="4" style="20" customWidth="1"/>
    <col min="2318" max="2318" width="8.85546875" style="20"/>
    <col min="2319" max="2319" width="14.42578125" style="20" bestFit="1" customWidth="1"/>
    <col min="2320" max="2320" width="8.85546875" style="20"/>
    <col min="2321" max="2321" width="10.85546875" style="20" customWidth="1"/>
    <col min="2322" max="2557" width="8.85546875" style="20"/>
    <col min="2558" max="2558" width="0.85546875" style="20" customWidth="1"/>
    <col min="2559" max="2559" width="4.42578125" style="20" bestFit="1" customWidth="1"/>
    <col min="2560" max="2560" width="32.7109375" style="20" customWidth="1"/>
    <col min="2561" max="2561" width="12.7109375" style="20" customWidth="1"/>
    <col min="2562" max="2562" width="14.85546875" style="20" customWidth="1"/>
    <col min="2563" max="2563" width="5.85546875" style="20" customWidth="1"/>
    <col min="2564" max="2564" width="15.5703125" style="20" customWidth="1"/>
    <col min="2565" max="2565" width="10.140625" style="20" bestFit="1" customWidth="1"/>
    <col min="2566" max="2566" width="8.85546875" style="20" customWidth="1"/>
    <col min="2567" max="2567" width="10.140625" style="20" customWidth="1"/>
    <col min="2568" max="2568" width="8.85546875" style="20"/>
    <col min="2569" max="2569" width="4" style="20" customWidth="1"/>
    <col min="2570" max="2570" width="1.5703125" style="20" customWidth="1"/>
    <col min="2571" max="2573" width="4" style="20" customWidth="1"/>
    <col min="2574" max="2574" width="8.85546875" style="20"/>
    <col min="2575" max="2575" width="14.42578125" style="20" bestFit="1" customWidth="1"/>
    <col min="2576" max="2576" width="8.85546875" style="20"/>
    <col min="2577" max="2577" width="10.85546875" style="20" customWidth="1"/>
    <col min="2578" max="2813" width="8.85546875" style="20"/>
    <col min="2814" max="2814" width="0.85546875" style="20" customWidth="1"/>
    <col min="2815" max="2815" width="4.42578125" style="20" bestFit="1" customWidth="1"/>
    <col min="2816" max="2816" width="32.7109375" style="20" customWidth="1"/>
    <col min="2817" max="2817" width="12.7109375" style="20" customWidth="1"/>
    <col min="2818" max="2818" width="14.85546875" style="20" customWidth="1"/>
    <col min="2819" max="2819" width="5.85546875" style="20" customWidth="1"/>
    <col min="2820" max="2820" width="15.5703125" style="20" customWidth="1"/>
    <col min="2821" max="2821" width="10.140625" style="20" bestFit="1" customWidth="1"/>
    <col min="2822" max="2822" width="8.85546875" style="20" customWidth="1"/>
    <col min="2823" max="2823" width="10.140625" style="20" customWidth="1"/>
    <col min="2824" max="2824" width="8.85546875" style="20"/>
    <col min="2825" max="2825" width="4" style="20" customWidth="1"/>
    <col min="2826" max="2826" width="1.5703125" style="20" customWidth="1"/>
    <col min="2827" max="2829" width="4" style="20" customWidth="1"/>
    <col min="2830" max="2830" width="8.85546875" style="20"/>
    <col min="2831" max="2831" width="14.42578125" style="20" bestFit="1" customWidth="1"/>
    <col min="2832" max="2832" width="8.85546875" style="20"/>
    <col min="2833" max="2833" width="10.85546875" style="20" customWidth="1"/>
    <col min="2834" max="3069" width="8.85546875" style="20"/>
    <col min="3070" max="3070" width="0.85546875" style="20" customWidth="1"/>
    <col min="3071" max="3071" width="4.42578125" style="20" bestFit="1" customWidth="1"/>
    <col min="3072" max="3072" width="32.7109375" style="20" customWidth="1"/>
    <col min="3073" max="3073" width="12.7109375" style="20" customWidth="1"/>
    <col min="3074" max="3074" width="14.85546875" style="20" customWidth="1"/>
    <col min="3075" max="3075" width="5.85546875" style="20" customWidth="1"/>
    <col min="3076" max="3076" width="15.5703125" style="20" customWidth="1"/>
    <col min="3077" max="3077" width="10.140625" style="20" bestFit="1" customWidth="1"/>
    <col min="3078" max="3078" width="8.85546875" style="20" customWidth="1"/>
    <col min="3079" max="3079" width="10.140625" style="20" customWidth="1"/>
    <col min="3080" max="3080" width="8.85546875" style="20"/>
    <col min="3081" max="3081" width="4" style="20" customWidth="1"/>
    <col min="3082" max="3082" width="1.5703125" style="20" customWidth="1"/>
    <col min="3083" max="3085" width="4" style="20" customWidth="1"/>
    <col min="3086" max="3086" width="8.85546875" style="20"/>
    <col min="3087" max="3087" width="14.42578125" style="20" bestFit="1" customWidth="1"/>
    <col min="3088" max="3088" width="8.85546875" style="20"/>
    <col min="3089" max="3089" width="10.85546875" style="20" customWidth="1"/>
    <col min="3090" max="3325" width="8.85546875" style="20"/>
    <col min="3326" max="3326" width="0.85546875" style="20" customWidth="1"/>
    <col min="3327" max="3327" width="4.42578125" style="20" bestFit="1" customWidth="1"/>
    <col min="3328" max="3328" width="32.7109375" style="20" customWidth="1"/>
    <col min="3329" max="3329" width="12.7109375" style="20" customWidth="1"/>
    <col min="3330" max="3330" width="14.85546875" style="20" customWidth="1"/>
    <col min="3331" max="3331" width="5.85546875" style="20" customWidth="1"/>
    <col min="3332" max="3332" width="15.5703125" style="20" customWidth="1"/>
    <col min="3333" max="3333" width="10.140625" style="20" bestFit="1" customWidth="1"/>
    <col min="3334" max="3334" width="8.85546875" style="20" customWidth="1"/>
    <col min="3335" max="3335" width="10.140625" style="20" customWidth="1"/>
    <col min="3336" max="3336" width="8.85546875" style="20"/>
    <col min="3337" max="3337" width="4" style="20" customWidth="1"/>
    <col min="3338" max="3338" width="1.5703125" style="20" customWidth="1"/>
    <col min="3339" max="3341" width="4" style="20" customWidth="1"/>
    <col min="3342" max="3342" width="8.85546875" style="20"/>
    <col min="3343" max="3343" width="14.42578125" style="20" bestFit="1" customWidth="1"/>
    <col min="3344" max="3344" width="8.85546875" style="20"/>
    <col min="3345" max="3345" width="10.85546875" style="20" customWidth="1"/>
    <col min="3346" max="3581" width="8.85546875" style="20"/>
    <col min="3582" max="3582" width="0.85546875" style="20" customWidth="1"/>
    <col min="3583" max="3583" width="4.42578125" style="20" bestFit="1" customWidth="1"/>
    <col min="3584" max="3584" width="32.7109375" style="20" customWidth="1"/>
    <col min="3585" max="3585" width="12.7109375" style="20" customWidth="1"/>
    <col min="3586" max="3586" width="14.85546875" style="20" customWidth="1"/>
    <col min="3587" max="3587" width="5.85546875" style="20" customWidth="1"/>
    <col min="3588" max="3588" width="15.5703125" style="20" customWidth="1"/>
    <col min="3589" max="3589" width="10.140625" style="20" bestFit="1" customWidth="1"/>
    <col min="3590" max="3590" width="8.85546875" style="20" customWidth="1"/>
    <col min="3591" max="3591" width="10.140625" style="20" customWidth="1"/>
    <col min="3592" max="3592" width="8.85546875" style="20"/>
    <col min="3593" max="3593" width="4" style="20" customWidth="1"/>
    <col min="3594" max="3594" width="1.5703125" style="20" customWidth="1"/>
    <col min="3595" max="3597" width="4" style="20" customWidth="1"/>
    <col min="3598" max="3598" width="8.85546875" style="20"/>
    <col min="3599" max="3599" width="14.42578125" style="20" bestFit="1" customWidth="1"/>
    <col min="3600" max="3600" width="8.85546875" style="20"/>
    <col min="3601" max="3601" width="10.85546875" style="20" customWidth="1"/>
    <col min="3602" max="3837" width="8.85546875" style="20"/>
    <col min="3838" max="3838" width="0.85546875" style="20" customWidth="1"/>
    <col min="3839" max="3839" width="4.42578125" style="20" bestFit="1" customWidth="1"/>
    <col min="3840" max="3840" width="32.7109375" style="20" customWidth="1"/>
    <col min="3841" max="3841" width="12.7109375" style="20" customWidth="1"/>
    <col min="3842" max="3842" width="14.85546875" style="20" customWidth="1"/>
    <col min="3843" max="3843" width="5.85546875" style="20" customWidth="1"/>
    <col min="3844" max="3844" width="15.5703125" style="20" customWidth="1"/>
    <col min="3845" max="3845" width="10.140625" style="20" bestFit="1" customWidth="1"/>
    <col min="3846" max="3846" width="8.85546875" style="20" customWidth="1"/>
    <col min="3847" max="3847" width="10.140625" style="20" customWidth="1"/>
    <col min="3848" max="3848" width="8.85546875" style="20"/>
    <col min="3849" max="3849" width="4" style="20" customWidth="1"/>
    <col min="3850" max="3850" width="1.5703125" style="20" customWidth="1"/>
    <col min="3851" max="3853" width="4" style="20" customWidth="1"/>
    <col min="3854" max="3854" width="8.85546875" style="20"/>
    <col min="3855" max="3855" width="14.42578125" style="20" bestFit="1" customWidth="1"/>
    <col min="3856" max="3856" width="8.85546875" style="20"/>
    <col min="3857" max="3857" width="10.85546875" style="20" customWidth="1"/>
    <col min="3858" max="4093" width="8.85546875" style="20"/>
    <col min="4094" max="4094" width="0.85546875" style="20" customWidth="1"/>
    <col min="4095" max="4095" width="4.42578125" style="20" bestFit="1" customWidth="1"/>
    <col min="4096" max="4096" width="32.7109375" style="20" customWidth="1"/>
    <col min="4097" max="4097" width="12.7109375" style="20" customWidth="1"/>
    <col min="4098" max="4098" width="14.85546875" style="20" customWidth="1"/>
    <col min="4099" max="4099" width="5.85546875" style="20" customWidth="1"/>
    <col min="4100" max="4100" width="15.5703125" style="20" customWidth="1"/>
    <col min="4101" max="4101" width="10.140625" style="20" bestFit="1" customWidth="1"/>
    <col min="4102" max="4102" width="8.85546875" style="20" customWidth="1"/>
    <col min="4103" max="4103" width="10.140625" style="20" customWidth="1"/>
    <col min="4104" max="4104" width="8.85546875" style="20"/>
    <col min="4105" max="4105" width="4" style="20" customWidth="1"/>
    <col min="4106" max="4106" width="1.5703125" style="20" customWidth="1"/>
    <col min="4107" max="4109" width="4" style="20" customWidth="1"/>
    <col min="4110" max="4110" width="8.85546875" style="20"/>
    <col min="4111" max="4111" width="14.42578125" style="20" bestFit="1" customWidth="1"/>
    <col min="4112" max="4112" width="8.85546875" style="20"/>
    <col min="4113" max="4113" width="10.85546875" style="20" customWidth="1"/>
    <col min="4114" max="4349" width="8.85546875" style="20"/>
    <col min="4350" max="4350" width="0.85546875" style="20" customWidth="1"/>
    <col min="4351" max="4351" width="4.42578125" style="20" bestFit="1" customWidth="1"/>
    <col min="4352" max="4352" width="32.7109375" style="20" customWidth="1"/>
    <col min="4353" max="4353" width="12.7109375" style="20" customWidth="1"/>
    <col min="4354" max="4354" width="14.85546875" style="20" customWidth="1"/>
    <col min="4355" max="4355" width="5.85546875" style="20" customWidth="1"/>
    <col min="4356" max="4356" width="15.5703125" style="20" customWidth="1"/>
    <col min="4357" max="4357" width="10.140625" style="20" bestFit="1" customWidth="1"/>
    <col min="4358" max="4358" width="8.85546875" style="20" customWidth="1"/>
    <col min="4359" max="4359" width="10.140625" style="20" customWidth="1"/>
    <col min="4360" max="4360" width="8.85546875" style="20"/>
    <col min="4361" max="4361" width="4" style="20" customWidth="1"/>
    <col min="4362" max="4362" width="1.5703125" style="20" customWidth="1"/>
    <col min="4363" max="4365" width="4" style="20" customWidth="1"/>
    <col min="4366" max="4366" width="8.85546875" style="20"/>
    <col min="4367" max="4367" width="14.42578125" style="20" bestFit="1" customWidth="1"/>
    <col min="4368" max="4368" width="8.85546875" style="20"/>
    <col min="4369" max="4369" width="10.85546875" style="20" customWidth="1"/>
    <col min="4370" max="4605" width="8.85546875" style="20"/>
    <col min="4606" max="4606" width="0.85546875" style="20" customWidth="1"/>
    <col min="4607" max="4607" width="4.42578125" style="20" bestFit="1" customWidth="1"/>
    <col min="4608" max="4608" width="32.7109375" style="20" customWidth="1"/>
    <col min="4609" max="4609" width="12.7109375" style="20" customWidth="1"/>
    <col min="4610" max="4610" width="14.85546875" style="20" customWidth="1"/>
    <col min="4611" max="4611" width="5.85546875" style="20" customWidth="1"/>
    <col min="4612" max="4612" width="15.5703125" style="20" customWidth="1"/>
    <col min="4613" max="4613" width="10.140625" style="20" bestFit="1" customWidth="1"/>
    <col min="4614" max="4614" width="8.85546875" style="20" customWidth="1"/>
    <col min="4615" max="4615" width="10.140625" style="20" customWidth="1"/>
    <col min="4616" max="4616" width="8.85546875" style="20"/>
    <col min="4617" max="4617" width="4" style="20" customWidth="1"/>
    <col min="4618" max="4618" width="1.5703125" style="20" customWidth="1"/>
    <col min="4619" max="4621" width="4" style="20" customWidth="1"/>
    <col min="4622" max="4622" width="8.85546875" style="20"/>
    <col min="4623" max="4623" width="14.42578125" style="20" bestFit="1" customWidth="1"/>
    <col min="4624" max="4624" width="8.85546875" style="20"/>
    <col min="4625" max="4625" width="10.85546875" style="20" customWidth="1"/>
    <col min="4626" max="4861" width="8.85546875" style="20"/>
    <col min="4862" max="4862" width="0.85546875" style="20" customWidth="1"/>
    <col min="4863" max="4863" width="4.42578125" style="20" bestFit="1" customWidth="1"/>
    <col min="4864" max="4864" width="32.7109375" style="20" customWidth="1"/>
    <col min="4865" max="4865" width="12.7109375" style="20" customWidth="1"/>
    <col min="4866" max="4866" width="14.85546875" style="20" customWidth="1"/>
    <col min="4867" max="4867" width="5.85546875" style="20" customWidth="1"/>
    <col min="4868" max="4868" width="15.5703125" style="20" customWidth="1"/>
    <col min="4869" max="4869" width="10.140625" style="20" bestFit="1" customWidth="1"/>
    <col min="4870" max="4870" width="8.85546875" style="20" customWidth="1"/>
    <col min="4871" max="4871" width="10.140625" style="20" customWidth="1"/>
    <col min="4872" max="4872" width="8.85546875" style="20"/>
    <col min="4873" max="4873" width="4" style="20" customWidth="1"/>
    <col min="4874" max="4874" width="1.5703125" style="20" customWidth="1"/>
    <col min="4875" max="4877" width="4" style="20" customWidth="1"/>
    <col min="4878" max="4878" width="8.85546875" style="20"/>
    <col min="4879" max="4879" width="14.42578125" style="20" bestFit="1" customWidth="1"/>
    <col min="4880" max="4880" width="8.85546875" style="20"/>
    <col min="4881" max="4881" width="10.85546875" style="20" customWidth="1"/>
    <col min="4882" max="5117" width="8.85546875" style="20"/>
    <col min="5118" max="5118" width="0.85546875" style="20" customWidth="1"/>
    <col min="5119" max="5119" width="4.42578125" style="20" bestFit="1" customWidth="1"/>
    <col min="5120" max="5120" width="32.7109375" style="20" customWidth="1"/>
    <col min="5121" max="5121" width="12.7109375" style="20" customWidth="1"/>
    <col min="5122" max="5122" width="14.85546875" style="20" customWidth="1"/>
    <col min="5123" max="5123" width="5.85546875" style="20" customWidth="1"/>
    <col min="5124" max="5124" width="15.5703125" style="20" customWidth="1"/>
    <col min="5125" max="5125" width="10.140625" style="20" bestFit="1" customWidth="1"/>
    <col min="5126" max="5126" width="8.85546875" style="20" customWidth="1"/>
    <col min="5127" max="5127" width="10.140625" style="20" customWidth="1"/>
    <col min="5128" max="5128" width="8.85546875" style="20"/>
    <col min="5129" max="5129" width="4" style="20" customWidth="1"/>
    <col min="5130" max="5130" width="1.5703125" style="20" customWidth="1"/>
    <col min="5131" max="5133" width="4" style="20" customWidth="1"/>
    <col min="5134" max="5134" width="8.85546875" style="20"/>
    <col min="5135" max="5135" width="14.42578125" style="20" bestFit="1" customWidth="1"/>
    <col min="5136" max="5136" width="8.85546875" style="20"/>
    <col min="5137" max="5137" width="10.85546875" style="20" customWidth="1"/>
    <col min="5138" max="5373" width="8.85546875" style="20"/>
    <col min="5374" max="5374" width="0.85546875" style="20" customWidth="1"/>
    <col min="5375" max="5375" width="4.42578125" style="20" bestFit="1" customWidth="1"/>
    <col min="5376" max="5376" width="32.7109375" style="20" customWidth="1"/>
    <col min="5377" max="5377" width="12.7109375" style="20" customWidth="1"/>
    <col min="5378" max="5378" width="14.85546875" style="20" customWidth="1"/>
    <col min="5379" max="5379" width="5.85546875" style="20" customWidth="1"/>
    <col min="5380" max="5380" width="15.5703125" style="20" customWidth="1"/>
    <col min="5381" max="5381" width="10.140625" style="20" bestFit="1" customWidth="1"/>
    <col min="5382" max="5382" width="8.85546875" style="20" customWidth="1"/>
    <col min="5383" max="5383" width="10.140625" style="20" customWidth="1"/>
    <col min="5384" max="5384" width="8.85546875" style="20"/>
    <col min="5385" max="5385" width="4" style="20" customWidth="1"/>
    <col min="5386" max="5386" width="1.5703125" style="20" customWidth="1"/>
    <col min="5387" max="5389" width="4" style="20" customWidth="1"/>
    <col min="5390" max="5390" width="8.85546875" style="20"/>
    <col min="5391" max="5391" width="14.42578125" style="20" bestFit="1" customWidth="1"/>
    <col min="5392" max="5392" width="8.85546875" style="20"/>
    <col min="5393" max="5393" width="10.85546875" style="20" customWidth="1"/>
    <col min="5394" max="5629" width="8.85546875" style="20"/>
    <col min="5630" max="5630" width="0.85546875" style="20" customWidth="1"/>
    <col min="5631" max="5631" width="4.42578125" style="20" bestFit="1" customWidth="1"/>
    <col min="5632" max="5632" width="32.7109375" style="20" customWidth="1"/>
    <col min="5633" max="5633" width="12.7109375" style="20" customWidth="1"/>
    <col min="5634" max="5634" width="14.85546875" style="20" customWidth="1"/>
    <col min="5635" max="5635" width="5.85546875" style="20" customWidth="1"/>
    <col min="5636" max="5636" width="15.5703125" style="20" customWidth="1"/>
    <col min="5637" max="5637" width="10.140625" style="20" bestFit="1" customWidth="1"/>
    <col min="5638" max="5638" width="8.85546875" style="20" customWidth="1"/>
    <col min="5639" max="5639" width="10.140625" style="20" customWidth="1"/>
    <col min="5640" max="5640" width="8.85546875" style="20"/>
    <col min="5641" max="5641" width="4" style="20" customWidth="1"/>
    <col min="5642" max="5642" width="1.5703125" style="20" customWidth="1"/>
    <col min="5643" max="5645" width="4" style="20" customWidth="1"/>
    <col min="5646" max="5646" width="8.85546875" style="20"/>
    <col min="5647" max="5647" width="14.42578125" style="20" bestFit="1" customWidth="1"/>
    <col min="5648" max="5648" width="8.85546875" style="20"/>
    <col min="5649" max="5649" width="10.85546875" style="20" customWidth="1"/>
    <col min="5650" max="5885" width="8.85546875" style="20"/>
    <col min="5886" max="5886" width="0.85546875" style="20" customWidth="1"/>
    <col min="5887" max="5887" width="4.42578125" style="20" bestFit="1" customWidth="1"/>
    <col min="5888" max="5888" width="32.7109375" style="20" customWidth="1"/>
    <col min="5889" max="5889" width="12.7109375" style="20" customWidth="1"/>
    <col min="5890" max="5890" width="14.85546875" style="20" customWidth="1"/>
    <col min="5891" max="5891" width="5.85546875" style="20" customWidth="1"/>
    <col min="5892" max="5892" width="15.5703125" style="20" customWidth="1"/>
    <col min="5893" max="5893" width="10.140625" style="20" bestFit="1" customWidth="1"/>
    <col min="5894" max="5894" width="8.85546875" style="20" customWidth="1"/>
    <col min="5895" max="5895" width="10.140625" style="20" customWidth="1"/>
    <col min="5896" max="5896" width="8.85546875" style="20"/>
    <col min="5897" max="5897" width="4" style="20" customWidth="1"/>
    <col min="5898" max="5898" width="1.5703125" style="20" customWidth="1"/>
    <col min="5899" max="5901" width="4" style="20" customWidth="1"/>
    <col min="5902" max="5902" width="8.85546875" style="20"/>
    <col min="5903" max="5903" width="14.42578125" style="20" bestFit="1" customWidth="1"/>
    <col min="5904" max="5904" width="8.85546875" style="20"/>
    <col min="5905" max="5905" width="10.85546875" style="20" customWidth="1"/>
    <col min="5906" max="6141" width="8.85546875" style="20"/>
    <col min="6142" max="6142" width="0.85546875" style="20" customWidth="1"/>
    <col min="6143" max="6143" width="4.42578125" style="20" bestFit="1" customWidth="1"/>
    <col min="6144" max="6144" width="32.7109375" style="20" customWidth="1"/>
    <col min="6145" max="6145" width="12.7109375" style="20" customWidth="1"/>
    <col min="6146" max="6146" width="14.85546875" style="20" customWidth="1"/>
    <col min="6147" max="6147" width="5.85546875" style="20" customWidth="1"/>
    <col min="6148" max="6148" width="15.5703125" style="20" customWidth="1"/>
    <col min="6149" max="6149" width="10.140625" style="20" bestFit="1" customWidth="1"/>
    <col min="6150" max="6150" width="8.85546875" style="20" customWidth="1"/>
    <col min="6151" max="6151" width="10.140625" style="20" customWidth="1"/>
    <col min="6152" max="6152" width="8.85546875" style="20"/>
    <col min="6153" max="6153" width="4" style="20" customWidth="1"/>
    <col min="6154" max="6154" width="1.5703125" style="20" customWidth="1"/>
    <col min="6155" max="6157" width="4" style="20" customWidth="1"/>
    <col min="6158" max="6158" width="8.85546875" style="20"/>
    <col min="6159" max="6159" width="14.42578125" style="20" bestFit="1" customWidth="1"/>
    <col min="6160" max="6160" width="8.85546875" style="20"/>
    <col min="6161" max="6161" width="10.85546875" style="20" customWidth="1"/>
    <col min="6162" max="6397" width="8.85546875" style="20"/>
    <col min="6398" max="6398" width="0.85546875" style="20" customWidth="1"/>
    <col min="6399" max="6399" width="4.42578125" style="20" bestFit="1" customWidth="1"/>
    <col min="6400" max="6400" width="32.7109375" style="20" customWidth="1"/>
    <col min="6401" max="6401" width="12.7109375" style="20" customWidth="1"/>
    <col min="6402" max="6402" width="14.85546875" style="20" customWidth="1"/>
    <col min="6403" max="6403" width="5.85546875" style="20" customWidth="1"/>
    <col min="6404" max="6404" width="15.5703125" style="20" customWidth="1"/>
    <col min="6405" max="6405" width="10.140625" style="20" bestFit="1" customWidth="1"/>
    <col min="6406" max="6406" width="8.85546875" style="20" customWidth="1"/>
    <col min="6407" max="6407" width="10.140625" style="20" customWidth="1"/>
    <col min="6408" max="6408" width="8.85546875" style="20"/>
    <col min="6409" max="6409" width="4" style="20" customWidth="1"/>
    <col min="6410" max="6410" width="1.5703125" style="20" customWidth="1"/>
    <col min="6411" max="6413" width="4" style="20" customWidth="1"/>
    <col min="6414" max="6414" width="8.85546875" style="20"/>
    <col min="6415" max="6415" width="14.42578125" style="20" bestFit="1" customWidth="1"/>
    <col min="6416" max="6416" width="8.85546875" style="20"/>
    <col min="6417" max="6417" width="10.85546875" style="20" customWidth="1"/>
    <col min="6418" max="6653" width="8.85546875" style="20"/>
    <col min="6654" max="6654" width="0.85546875" style="20" customWidth="1"/>
    <col min="6655" max="6655" width="4.42578125" style="20" bestFit="1" customWidth="1"/>
    <col min="6656" max="6656" width="32.7109375" style="20" customWidth="1"/>
    <col min="6657" max="6657" width="12.7109375" style="20" customWidth="1"/>
    <col min="6658" max="6658" width="14.85546875" style="20" customWidth="1"/>
    <col min="6659" max="6659" width="5.85546875" style="20" customWidth="1"/>
    <col min="6660" max="6660" width="15.5703125" style="20" customWidth="1"/>
    <col min="6661" max="6661" width="10.140625" style="20" bestFit="1" customWidth="1"/>
    <col min="6662" max="6662" width="8.85546875" style="20" customWidth="1"/>
    <col min="6663" max="6663" width="10.140625" style="20" customWidth="1"/>
    <col min="6664" max="6664" width="8.85546875" style="20"/>
    <col min="6665" max="6665" width="4" style="20" customWidth="1"/>
    <col min="6666" max="6666" width="1.5703125" style="20" customWidth="1"/>
    <col min="6667" max="6669" width="4" style="20" customWidth="1"/>
    <col min="6670" max="6670" width="8.85546875" style="20"/>
    <col min="6671" max="6671" width="14.42578125" style="20" bestFit="1" customWidth="1"/>
    <col min="6672" max="6672" width="8.85546875" style="20"/>
    <col min="6673" max="6673" width="10.85546875" style="20" customWidth="1"/>
    <col min="6674" max="6909" width="8.85546875" style="20"/>
    <col min="6910" max="6910" width="0.85546875" style="20" customWidth="1"/>
    <col min="6911" max="6911" width="4.42578125" style="20" bestFit="1" customWidth="1"/>
    <col min="6912" max="6912" width="32.7109375" style="20" customWidth="1"/>
    <col min="6913" max="6913" width="12.7109375" style="20" customWidth="1"/>
    <col min="6914" max="6914" width="14.85546875" style="20" customWidth="1"/>
    <col min="6915" max="6915" width="5.85546875" style="20" customWidth="1"/>
    <col min="6916" max="6916" width="15.5703125" style="20" customWidth="1"/>
    <col min="6917" max="6917" width="10.140625" style="20" bestFit="1" customWidth="1"/>
    <col min="6918" max="6918" width="8.85546875" style="20" customWidth="1"/>
    <col min="6919" max="6919" width="10.140625" style="20" customWidth="1"/>
    <col min="6920" max="6920" width="8.85546875" style="20"/>
    <col min="6921" max="6921" width="4" style="20" customWidth="1"/>
    <col min="6922" max="6922" width="1.5703125" style="20" customWidth="1"/>
    <col min="6923" max="6925" width="4" style="20" customWidth="1"/>
    <col min="6926" max="6926" width="8.85546875" style="20"/>
    <col min="6927" max="6927" width="14.42578125" style="20" bestFit="1" customWidth="1"/>
    <col min="6928" max="6928" width="8.85546875" style="20"/>
    <col min="6929" max="6929" width="10.85546875" style="20" customWidth="1"/>
    <col min="6930" max="7165" width="8.85546875" style="20"/>
    <col min="7166" max="7166" width="0.85546875" style="20" customWidth="1"/>
    <col min="7167" max="7167" width="4.42578125" style="20" bestFit="1" customWidth="1"/>
    <col min="7168" max="7168" width="32.7109375" style="20" customWidth="1"/>
    <col min="7169" max="7169" width="12.7109375" style="20" customWidth="1"/>
    <col min="7170" max="7170" width="14.85546875" style="20" customWidth="1"/>
    <col min="7171" max="7171" width="5.85546875" style="20" customWidth="1"/>
    <col min="7172" max="7172" width="15.5703125" style="20" customWidth="1"/>
    <col min="7173" max="7173" width="10.140625" style="20" bestFit="1" customWidth="1"/>
    <col min="7174" max="7174" width="8.85546875" style="20" customWidth="1"/>
    <col min="7175" max="7175" width="10.140625" style="20" customWidth="1"/>
    <col min="7176" max="7176" width="8.85546875" style="20"/>
    <col min="7177" max="7177" width="4" style="20" customWidth="1"/>
    <col min="7178" max="7178" width="1.5703125" style="20" customWidth="1"/>
    <col min="7179" max="7181" width="4" style="20" customWidth="1"/>
    <col min="7182" max="7182" width="8.85546875" style="20"/>
    <col min="7183" max="7183" width="14.42578125" style="20" bestFit="1" customWidth="1"/>
    <col min="7184" max="7184" width="8.85546875" style="20"/>
    <col min="7185" max="7185" width="10.85546875" style="20" customWidth="1"/>
    <col min="7186" max="7421" width="8.85546875" style="20"/>
    <col min="7422" max="7422" width="0.85546875" style="20" customWidth="1"/>
    <col min="7423" max="7423" width="4.42578125" style="20" bestFit="1" customWidth="1"/>
    <col min="7424" max="7424" width="32.7109375" style="20" customWidth="1"/>
    <col min="7425" max="7425" width="12.7109375" style="20" customWidth="1"/>
    <col min="7426" max="7426" width="14.85546875" style="20" customWidth="1"/>
    <col min="7427" max="7427" width="5.85546875" style="20" customWidth="1"/>
    <col min="7428" max="7428" width="15.5703125" style="20" customWidth="1"/>
    <col min="7429" max="7429" width="10.140625" style="20" bestFit="1" customWidth="1"/>
    <col min="7430" max="7430" width="8.85546875" style="20" customWidth="1"/>
    <col min="7431" max="7431" width="10.140625" style="20" customWidth="1"/>
    <col min="7432" max="7432" width="8.85546875" style="20"/>
    <col min="7433" max="7433" width="4" style="20" customWidth="1"/>
    <col min="7434" max="7434" width="1.5703125" style="20" customWidth="1"/>
    <col min="7435" max="7437" width="4" style="20" customWidth="1"/>
    <col min="7438" max="7438" width="8.85546875" style="20"/>
    <col min="7439" max="7439" width="14.42578125" style="20" bestFit="1" customWidth="1"/>
    <col min="7440" max="7440" width="8.85546875" style="20"/>
    <col min="7441" max="7441" width="10.85546875" style="20" customWidth="1"/>
    <col min="7442" max="7677" width="8.85546875" style="20"/>
    <col min="7678" max="7678" width="0.85546875" style="20" customWidth="1"/>
    <col min="7679" max="7679" width="4.42578125" style="20" bestFit="1" customWidth="1"/>
    <col min="7680" max="7680" width="32.7109375" style="20" customWidth="1"/>
    <col min="7681" max="7681" width="12.7109375" style="20" customWidth="1"/>
    <col min="7682" max="7682" width="14.85546875" style="20" customWidth="1"/>
    <col min="7683" max="7683" width="5.85546875" style="20" customWidth="1"/>
    <col min="7684" max="7684" width="15.5703125" style="20" customWidth="1"/>
    <col min="7685" max="7685" width="10.140625" style="20" bestFit="1" customWidth="1"/>
    <col min="7686" max="7686" width="8.85546875" style="20" customWidth="1"/>
    <col min="7687" max="7687" width="10.140625" style="20" customWidth="1"/>
    <col min="7688" max="7688" width="8.85546875" style="20"/>
    <col min="7689" max="7689" width="4" style="20" customWidth="1"/>
    <col min="7690" max="7690" width="1.5703125" style="20" customWidth="1"/>
    <col min="7691" max="7693" width="4" style="20" customWidth="1"/>
    <col min="7694" max="7694" width="8.85546875" style="20"/>
    <col min="7695" max="7695" width="14.42578125" style="20" bestFit="1" customWidth="1"/>
    <col min="7696" max="7696" width="8.85546875" style="20"/>
    <col min="7697" max="7697" width="10.85546875" style="20" customWidth="1"/>
    <col min="7698" max="7933" width="8.85546875" style="20"/>
    <col min="7934" max="7934" width="0.85546875" style="20" customWidth="1"/>
    <col min="7935" max="7935" width="4.42578125" style="20" bestFit="1" customWidth="1"/>
    <col min="7936" max="7936" width="32.7109375" style="20" customWidth="1"/>
    <col min="7937" max="7937" width="12.7109375" style="20" customWidth="1"/>
    <col min="7938" max="7938" width="14.85546875" style="20" customWidth="1"/>
    <col min="7939" max="7939" width="5.85546875" style="20" customWidth="1"/>
    <col min="7940" max="7940" width="15.5703125" style="20" customWidth="1"/>
    <col min="7941" max="7941" width="10.140625" style="20" bestFit="1" customWidth="1"/>
    <col min="7942" max="7942" width="8.85546875" style="20" customWidth="1"/>
    <col min="7943" max="7943" width="10.140625" style="20" customWidth="1"/>
    <col min="7944" max="7944" width="8.85546875" style="20"/>
    <col min="7945" max="7945" width="4" style="20" customWidth="1"/>
    <col min="7946" max="7946" width="1.5703125" style="20" customWidth="1"/>
    <col min="7947" max="7949" width="4" style="20" customWidth="1"/>
    <col min="7950" max="7950" width="8.85546875" style="20"/>
    <col min="7951" max="7951" width="14.42578125" style="20" bestFit="1" customWidth="1"/>
    <col min="7952" max="7952" width="8.85546875" style="20"/>
    <col min="7953" max="7953" width="10.85546875" style="20" customWidth="1"/>
    <col min="7954" max="8189" width="8.85546875" style="20"/>
    <col min="8190" max="8190" width="0.85546875" style="20" customWidth="1"/>
    <col min="8191" max="8191" width="4.42578125" style="20" bestFit="1" customWidth="1"/>
    <col min="8192" max="8192" width="32.7109375" style="20" customWidth="1"/>
    <col min="8193" max="8193" width="12.7109375" style="20" customWidth="1"/>
    <col min="8194" max="8194" width="14.85546875" style="20" customWidth="1"/>
    <col min="8195" max="8195" width="5.85546875" style="20" customWidth="1"/>
    <col min="8196" max="8196" width="15.5703125" style="20" customWidth="1"/>
    <col min="8197" max="8197" width="10.140625" style="20" bestFit="1" customWidth="1"/>
    <col min="8198" max="8198" width="8.85546875" style="20" customWidth="1"/>
    <col min="8199" max="8199" width="10.140625" style="20" customWidth="1"/>
    <col min="8200" max="8200" width="8.85546875" style="20"/>
    <col min="8201" max="8201" width="4" style="20" customWidth="1"/>
    <col min="8202" max="8202" width="1.5703125" style="20" customWidth="1"/>
    <col min="8203" max="8205" width="4" style="20" customWidth="1"/>
    <col min="8206" max="8206" width="8.85546875" style="20"/>
    <col min="8207" max="8207" width="14.42578125" style="20" bestFit="1" customWidth="1"/>
    <col min="8208" max="8208" width="8.85546875" style="20"/>
    <col min="8209" max="8209" width="10.85546875" style="20" customWidth="1"/>
    <col min="8210" max="8445" width="8.85546875" style="20"/>
    <col min="8446" max="8446" width="0.85546875" style="20" customWidth="1"/>
    <col min="8447" max="8447" width="4.42578125" style="20" bestFit="1" customWidth="1"/>
    <col min="8448" max="8448" width="32.7109375" style="20" customWidth="1"/>
    <col min="8449" max="8449" width="12.7109375" style="20" customWidth="1"/>
    <col min="8450" max="8450" width="14.85546875" style="20" customWidth="1"/>
    <col min="8451" max="8451" width="5.85546875" style="20" customWidth="1"/>
    <col min="8452" max="8452" width="15.5703125" style="20" customWidth="1"/>
    <col min="8453" max="8453" width="10.140625" style="20" bestFit="1" customWidth="1"/>
    <col min="8454" max="8454" width="8.85546875" style="20" customWidth="1"/>
    <col min="8455" max="8455" width="10.140625" style="20" customWidth="1"/>
    <col min="8456" max="8456" width="8.85546875" style="20"/>
    <col min="8457" max="8457" width="4" style="20" customWidth="1"/>
    <col min="8458" max="8458" width="1.5703125" style="20" customWidth="1"/>
    <col min="8459" max="8461" width="4" style="20" customWidth="1"/>
    <col min="8462" max="8462" width="8.85546875" style="20"/>
    <col min="8463" max="8463" width="14.42578125" style="20" bestFit="1" customWidth="1"/>
    <col min="8464" max="8464" width="8.85546875" style="20"/>
    <col min="8465" max="8465" width="10.85546875" style="20" customWidth="1"/>
    <col min="8466" max="8701" width="8.85546875" style="20"/>
    <col min="8702" max="8702" width="0.85546875" style="20" customWidth="1"/>
    <col min="8703" max="8703" width="4.42578125" style="20" bestFit="1" customWidth="1"/>
    <col min="8704" max="8704" width="32.7109375" style="20" customWidth="1"/>
    <col min="8705" max="8705" width="12.7109375" style="20" customWidth="1"/>
    <col min="8706" max="8706" width="14.85546875" style="20" customWidth="1"/>
    <col min="8707" max="8707" width="5.85546875" style="20" customWidth="1"/>
    <col min="8708" max="8708" width="15.5703125" style="20" customWidth="1"/>
    <col min="8709" max="8709" width="10.140625" style="20" bestFit="1" customWidth="1"/>
    <col min="8710" max="8710" width="8.85546875" style="20" customWidth="1"/>
    <col min="8711" max="8711" width="10.140625" style="20" customWidth="1"/>
    <col min="8712" max="8712" width="8.85546875" style="20"/>
    <col min="8713" max="8713" width="4" style="20" customWidth="1"/>
    <col min="8714" max="8714" width="1.5703125" style="20" customWidth="1"/>
    <col min="8715" max="8717" width="4" style="20" customWidth="1"/>
    <col min="8718" max="8718" width="8.85546875" style="20"/>
    <col min="8719" max="8719" width="14.42578125" style="20" bestFit="1" customWidth="1"/>
    <col min="8720" max="8720" width="8.85546875" style="20"/>
    <col min="8721" max="8721" width="10.85546875" style="20" customWidth="1"/>
    <col min="8722" max="8957" width="8.85546875" style="20"/>
    <col min="8958" max="8958" width="0.85546875" style="20" customWidth="1"/>
    <col min="8959" max="8959" width="4.42578125" style="20" bestFit="1" customWidth="1"/>
    <col min="8960" max="8960" width="32.7109375" style="20" customWidth="1"/>
    <col min="8961" max="8961" width="12.7109375" style="20" customWidth="1"/>
    <col min="8962" max="8962" width="14.85546875" style="20" customWidth="1"/>
    <col min="8963" max="8963" width="5.85546875" style="20" customWidth="1"/>
    <col min="8964" max="8964" width="15.5703125" style="20" customWidth="1"/>
    <col min="8965" max="8965" width="10.140625" style="20" bestFit="1" customWidth="1"/>
    <col min="8966" max="8966" width="8.85546875" style="20" customWidth="1"/>
    <col min="8967" max="8967" width="10.140625" style="20" customWidth="1"/>
    <col min="8968" max="8968" width="8.85546875" style="20"/>
    <col min="8969" max="8969" width="4" style="20" customWidth="1"/>
    <col min="8970" max="8970" width="1.5703125" style="20" customWidth="1"/>
    <col min="8971" max="8973" width="4" style="20" customWidth="1"/>
    <col min="8974" max="8974" width="8.85546875" style="20"/>
    <col min="8975" max="8975" width="14.42578125" style="20" bestFit="1" customWidth="1"/>
    <col min="8976" max="8976" width="8.85546875" style="20"/>
    <col min="8977" max="8977" width="10.85546875" style="20" customWidth="1"/>
    <col min="8978" max="9213" width="8.85546875" style="20"/>
    <col min="9214" max="9214" width="0.85546875" style="20" customWidth="1"/>
    <col min="9215" max="9215" width="4.42578125" style="20" bestFit="1" customWidth="1"/>
    <col min="9216" max="9216" width="32.7109375" style="20" customWidth="1"/>
    <col min="9217" max="9217" width="12.7109375" style="20" customWidth="1"/>
    <col min="9218" max="9218" width="14.85546875" style="20" customWidth="1"/>
    <col min="9219" max="9219" width="5.85546875" style="20" customWidth="1"/>
    <col min="9220" max="9220" width="15.5703125" style="20" customWidth="1"/>
    <col min="9221" max="9221" width="10.140625" style="20" bestFit="1" customWidth="1"/>
    <col min="9222" max="9222" width="8.85546875" style="20" customWidth="1"/>
    <col min="9223" max="9223" width="10.140625" style="20" customWidth="1"/>
    <col min="9224" max="9224" width="8.85546875" style="20"/>
    <col min="9225" max="9225" width="4" style="20" customWidth="1"/>
    <col min="9226" max="9226" width="1.5703125" style="20" customWidth="1"/>
    <col min="9227" max="9229" width="4" style="20" customWidth="1"/>
    <col min="9230" max="9230" width="8.85546875" style="20"/>
    <col min="9231" max="9231" width="14.42578125" style="20" bestFit="1" customWidth="1"/>
    <col min="9232" max="9232" width="8.85546875" style="20"/>
    <col min="9233" max="9233" width="10.85546875" style="20" customWidth="1"/>
    <col min="9234" max="9469" width="8.85546875" style="20"/>
    <col min="9470" max="9470" width="0.85546875" style="20" customWidth="1"/>
    <col min="9471" max="9471" width="4.42578125" style="20" bestFit="1" customWidth="1"/>
    <col min="9472" max="9472" width="32.7109375" style="20" customWidth="1"/>
    <col min="9473" max="9473" width="12.7109375" style="20" customWidth="1"/>
    <col min="9474" max="9474" width="14.85546875" style="20" customWidth="1"/>
    <col min="9475" max="9475" width="5.85546875" style="20" customWidth="1"/>
    <col min="9476" max="9476" width="15.5703125" style="20" customWidth="1"/>
    <col min="9477" max="9477" width="10.140625" style="20" bestFit="1" customWidth="1"/>
    <col min="9478" max="9478" width="8.85546875" style="20" customWidth="1"/>
    <col min="9479" max="9479" width="10.140625" style="20" customWidth="1"/>
    <col min="9480" max="9480" width="8.85546875" style="20"/>
    <col min="9481" max="9481" width="4" style="20" customWidth="1"/>
    <col min="9482" max="9482" width="1.5703125" style="20" customWidth="1"/>
    <col min="9483" max="9485" width="4" style="20" customWidth="1"/>
    <col min="9486" max="9486" width="8.85546875" style="20"/>
    <col min="9487" max="9487" width="14.42578125" style="20" bestFit="1" customWidth="1"/>
    <col min="9488" max="9488" width="8.85546875" style="20"/>
    <col min="9489" max="9489" width="10.85546875" style="20" customWidth="1"/>
    <col min="9490" max="9725" width="8.85546875" style="20"/>
    <col min="9726" max="9726" width="0.85546875" style="20" customWidth="1"/>
    <col min="9727" max="9727" width="4.42578125" style="20" bestFit="1" customWidth="1"/>
    <col min="9728" max="9728" width="32.7109375" style="20" customWidth="1"/>
    <col min="9729" max="9729" width="12.7109375" style="20" customWidth="1"/>
    <col min="9730" max="9730" width="14.85546875" style="20" customWidth="1"/>
    <col min="9731" max="9731" width="5.85546875" style="20" customWidth="1"/>
    <col min="9732" max="9732" width="15.5703125" style="20" customWidth="1"/>
    <col min="9733" max="9733" width="10.140625" style="20" bestFit="1" customWidth="1"/>
    <col min="9734" max="9734" width="8.85546875" style="20" customWidth="1"/>
    <col min="9735" max="9735" width="10.140625" style="20" customWidth="1"/>
    <col min="9736" max="9736" width="8.85546875" style="20"/>
    <col min="9737" max="9737" width="4" style="20" customWidth="1"/>
    <col min="9738" max="9738" width="1.5703125" style="20" customWidth="1"/>
    <col min="9739" max="9741" width="4" style="20" customWidth="1"/>
    <col min="9742" max="9742" width="8.85546875" style="20"/>
    <col min="9743" max="9743" width="14.42578125" style="20" bestFit="1" customWidth="1"/>
    <col min="9744" max="9744" width="8.85546875" style="20"/>
    <col min="9745" max="9745" width="10.85546875" style="20" customWidth="1"/>
    <col min="9746" max="9981" width="8.85546875" style="20"/>
    <col min="9982" max="9982" width="0.85546875" style="20" customWidth="1"/>
    <col min="9983" max="9983" width="4.42578125" style="20" bestFit="1" customWidth="1"/>
    <col min="9984" max="9984" width="32.7109375" style="20" customWidth="1"/>
    <col min="9985" max="9985" width="12.7109375" style="20" customWidth="1"/>
    <col min="9986" max="9986" width="14.85546875" style="20" customWidth="1"/>
    <col min="9987" max="9987" width="5.85546875" style="20" customWidth="1"/>
    <col min="9988" max="9988" width="15.5703125" style="20" customWidth="1"/>
    <col min="9989" max="9989" width="10.140625" style="20" bestFit="1" customWidth="1"/>
    <col min="9990" max="9990" width="8.85546875" style="20" customWidth="1"/>
    <col min="9991" max="9991" width="10.140625" style="20" customWidth="1"/>
    <col min="9992" max="9992" width="8.85546875" style="20"/>
    <col min="9993" max="9993" width="4" style="20" customWidth="1"/>
    <col min="9994" max="9994" width="1.5703125" style="20" customWidth="1"/>
    <col min="9995" max="9997" width="4" style="20" customWidth="1"/>
    <col min="9998" max="9998" width="8.85546875" style="20"/>
    <col min="9999" max="9999" width="14.42578125" style="20" bestFit="1" customWidth="1"/>
    <col min="10000" max="10000" width="8.85546875" style="20"/>
    <col min="10001" max="10001" width="10.85546875" style="20" customWidth="1"/>
    <col min="10002" max="10237" width="8.85546875" style="20"/>
    <col min="10238" max="10238" width="0.85546875" style="20" customWidth="1"/>
    <col min="10239" max="10239" width="4.42578125" style="20" bestFit="1" customWidth="1"/>
    <col min="10240" max="10240" width="32.7109375" style="20" customWidth="1"/>
    <col min="10241" max="10241" width="12.7109375" style="20" customWidth="1"/>
    <col min="10242" max="10242" width="14.85546875" style="20" customWidth="1"/>
    <col min="10243" max="10243" width="5.85546875" style="20" customWidth="1"/>
    <col min="10244" max="10244" width="15.5703125" style="20" customWidth="1"/>
    <col min="10245" max="10245" width="10.140625" style="20" bestFit="1" customWidth="1"/>
    <col min="10246" max="10246" width="8.85546875" style="20" customWidth="1"/>
    <col min="10247" max="10247" width="10.140625" style="20" customWidth="1"/>
    <col min="10248" max="10248" width="8.85546875" style="20"/>
    <col min="10249" max="10249" width="4" style="20" customWidth="1"/>
    <col min="10250" max="10250" width="1.5703125" style="20" customWidth="1"/>
    <col min="10251" max="10253" width="4" style="20" customWidth="1"/>
    <col min="10254" max="10254" width="8.85546875" style="20"/>
    <col min="10255" max="10255" width="14.42578125" style="20" bestFit="1" customWidth="1"/>
    <col min="10256" max="10256" width="8.85546875" style="20"/>
    <col min="10257" max="10257" width="10.85546875" style="20" customWidth="1"/>
    <col min="10258" max="10493" width="8.85546875" style="20"/>
    <col min="10494" max="10494" width="0.85546875" style="20" customWidth="1"/>
    <col min="10495" max="10495" width="4.42578125" style="20" bestFit="1" customWidth="1"/>
    <col min="10496" max="10496" width="32.7109375" style="20" customWidth="1"/>
    <col min="10497" max="10497" width="12.7109375" style="20" customWidth="1"/>
    <col min="10498" max="10498" width="14.85546875" style="20" customWidth="1"/>
    <col min="10499" max="10499" width="5.85546875" style="20" customWidth="1"/>
    <col min="10500" max="10500" width="15.5703125" style="20" customWidth="1"/>
    <col min="10501" max="10501" width="10.140625" style="20" bestFit="1" customWidth="1"/>
    <col min="10502" max="10502" width="8.85546875" style="20" customWidth="1"/>
    <col min="10503" max="10503" width="10.140625" style="20" customWidth="1"/>
    <col min="10504" max="10504" width="8.85546875" style="20"/>
    <col min="10505" max="10505" width="4" style="20" customWidth="1"/>
    <col min="10506" max="10506" width="1.5703125" style="20" customWidth="1"/>
    <col min="10507" max="10509" width="4" style="20" customWidth="1"/>
    <col min="10510" max="10510" width="8.85546875" style="20"/>
    <col min="10511" max="10511" width="14.42578125" style="20" bestFit="1" customWidth="1"/>
    <col min="10512" max="10512" width="8.85546875" style="20"/>
    <col min="10513" max="10513" width="10.85546875" style="20" customWidth="1"/>
    <col min="10514" max="10749" width="8.85546875" style="20"/>
    <col min="10750" max="10750" width="0.85546875" style="20" customWidth="1"/>
    <col min="10751" max="10751" width="4.42578125" style="20" bestFit="1" customWidth="1"/>
    <col min="10752" max="10752" width="32.7109375" style="20" customWidth="1"/>
    <col min="10753" max="10753" width="12.7109375" style="20" customWidth="1"/>
    <col min="10754" max="10754" width="14.85546875" style="20" customWidth="1"/>
    <col min="10755" max="10755" width="5.85546875" style="20" customWidth="1"/>
    <col min="10756" max="10756" width="15.5703125" style="20" customWidth="1"/>
    <col min="10757" max="10757" width="10.140625" style="20" bestFit="1" customWidth="1"/>
    <col min="10758" max="10758" width="8.85546875" style="20" customWidth="1"/>
    <col min="10759" max="10759" width="10.140625" style="20" customWidth="1"/>
    <col min="10760" max="10760" width="8.85546875" style="20"/>
    <col min="10761" max="10761" width="4" style="20" customWidth="1"/>
    <col min="10762" max="10762" width="1.5703125" style="20" customWidth="1"/>
    <col min="10763" max="10765" width="4" style="20" customWidth="1"/>
    <col min="10766" max="10766" width="8.85546875" style="20"/>
    <col min="10767" max="10767" width="14.42578125" style="20" bestFit="1" customWidth="1"/>
    <col min="10768" max="10768" width="8.85546875" style="20"/>
    <col min="10769" max="10769" width="10.85546875" style="20" customWidth="1"/>
    <col min="10770" max="11005" width="8.85546875" style="20"/>
    <col min="11006" max="11006" width="0.85546875" style="20" customWidth="1"/>
    <col min="11007" max="11007" width="4.42578125" style="20" bestFit="1" customWidth="1"/>
    <col min="11008" max="11008" width="32.7109375" style="20" customWidth="1"/>
    <col min="11009" max="11009" width="12.7109375" style="20" customWidth="1"/>
    <col min="11010" max="11010" width="14.85546875" style="20" customWidth="1"/>
    <col min="11011" max="11011" width="5.85546875" style="20" customWidth="1"/>
    <col min="11012" max="11012" width="15.5703125" style="20" customWidth="1"/>
    <col min="11013" max="11013" width="10.140625" style="20" bestFit="1" customWidth="1"/>
    <col min="11014" max="11014" width="8.85546875" style="20" customWidth="1"/>
    <col min="11015" max="11015" width="10.140625" style="20" customWidth="1"/>
    <col min="11016" max="11016" width="8.85546875" style="20"/>
    <col min="11017" max="11017" width="4" style="20" customWidth="1"/>
    <col min="11018" max="11018" width="1.5703125" style="20" customWidth="1"/>
    <col min="11019" max="11021" width="4" style="20" customWidth="1"/>
    <col min="11022" max="11022" width="8.85546875" style="20"/>
    <col min="11023" max="11023" width="14.42578125" style="20" bestFit="1" customWidth="1"/>
    <col min="11024" max="11024" width="8.85546875" style="20"/>
    <col min="11025" max="11025" width="10.85546875" style="20" customWidth="1"/>
    <col min="11026" max="11261" width="8.85546875" style="20"/>
    <col min="11262" max="11262" width="0.85546875" style="20" customWidth="1"/>
    <col min="11263" max="11263" width="4.42578125" style="20" bestFit="1" customWidth="1"/>
    <col min="11264" max="11264" width="32.7109375" style="20" customWidth="1"/>
    <col min="11265" max="11265" width="12.7109375" style="20" customWidth="1"/>
    <col min="11266" max="11266" width="14.85546875" style="20" customWidth="1"/>
    <col min="11267" max="11267" width="5.85546875" style="20" customWidth="1"/>
    <col min="11268" max="11268" width="15.5703125" style="20" customWidth="1"/>
    <col min="11269" max="11269" width="10.140625" style="20" bestFit="1" customWidth="1"/>
    <col min="11270" max="11270" width="8.85546875" style="20" customWidth="1"/>
    <col min="11271" max="11271" width="10.140625" style="20" customWidth="1"/>
    <col min="11272" max="11272" width="8.85546875" style="20"/>
    <col min="11273" max="11273" width="4" style="20" customWidth="1"/>
    <col min="11274" max="11274" width="1.5703125" style="20" customWidth="1"/>
    <col min="11275" max="11277" width="4" style="20" customWidth="1"/>
    <col min="11278" max="11278" width="8.85546875" style="20"/>
    <col min="11279" max="11279" width="14.42578125" style="20" bestFit="1" customWidth="1"/>
    <col min="11280" max="11280" width="8.85546875" style="20"/>
    <col min="11281" max="11281" width="10.85546875" style="20" customWidth="1"/>
    <col min="11282" max="11517" width="8.85546875" style="20"/>
    <col min="11518" max="11518" width="0.85546875" style="20" customWidth="1"/>
    <col min="11519" max="11519" width="4.42578125" style="20" bestFit="1" customWidth="1"/>
    <col min="11520" max="11520" width="32.7109375" style="20" customWidth="1"/>
    <col min="11521" max="11521" width="12.7109375" style="20" customWidth="1"/>
    <col min="11522" max="11522" width="14.85546875" style="20" customWidth="1"/>
    <col min="11523" max="11523" width="5.85546875" style="20" customWidth="1"/>
    <col min="11524" max="11524" width="15.5703125" style="20" customWidth="1"/>
    <col min="11525" max="11525" width="10.140625" style="20" bestFit="1" customWidth="1"/>
    <col min="11526" max="11526" width="8.85546875" style="20" customWidth="1"/>
    <col min="11527" max="11527" width="10.140625" style="20" customWidth="1"/>
    <col min="11528" max="11528" width="8.85546875" style="20"/>
    <col min="11529" max="11529" width="4" style="20" customWidth="1"/>
    <col min="11530" max="11530" width="1.5703125" style="20" customWidth="1"/>
    <col min="11531" max="11533" width="4" style="20" customWidth="1"/>
    <col min="11534" max="11534" width="8.85546875" style="20"/>
    <col min="11535" max="11535" width="14.42578125" style="20" bestFit="1" customWidth="1"/>
    <col min="11536" max="11536" width="8.85546875" style="20"/>
    <col min="11537" max="11537" width="10.85546875" style="20" customWidth="1"/>
    <col min="11538" max="11773" width="8.85546875" style="20"/>
    <col min="11774" max="11774" width="0.85546875" style="20" customWidth="1"/>
    <col min="11775" max="11775" width="4.42578125" style="20" bestFit="1" customWidth="1"/>
    <col min="11776" max="11776" width="32.7109375" style="20" customWidth="1"/>
    <col min="11777" max="11777" width="12.7109375" style="20" customWidth="1"/>
    <col min="11778" max="11778" width="14.85546875" style="20" customWidth="1"/>
    <col min="11779" max="11779" width="5.85546875" style="20" customWidth="1"/>
    <col min="11780" max="11780" width="15.5703125" style="20" customWidth="1"/>
    <col min="11781" max="11781" width="10.140625" style="20" bestFit="1" customWidth="1"/>
    <col min="11782" max="11782" width="8.85546875" style="20" customWidth="1"/>
    <col min="11783" max="11783" width="10.140625" style="20" customWidth="1"/>
    <col min="11784" max="11784" width="8.85546875" style="20"/>
    <col min="11785" max="11785" width="4" style="20" customWidth="1"/>
    <col min="11786" max="11786" width="1.5703125" style="20" customWidth="1"/>
    <col min="11787" max="11789" width="4" style="20" customWidth="1"/>
    <col min="11790" max="11790" width="8.85546875" style="20"/>
    <col min="11791" max="11791" width="14.42578125" style="20" bestFit="1" customWidth="1"/>
    <col min="11792" max="11792" width="8.85546875" style="20"/>
    <col min="11793" max="11793" width="10.85546875" style="20" customWidth="1"/>
    <col min="11794" max="12029" width="8.85546875" style="20"/>
    <col min="12030" max="12030" width="0.85546875" style="20" customWidth="1"/>
    <col min="12031" max="12031" width="4.42578125" style="20" bestFit="1" customWidth="1"/>
    <col min="12032" max="12032" width="32.7109375" style="20" customWidth="1"/>
    <col min="12033" max="12033" width="12.7109375" style="20" customWidth="1"/>
    <col min="12034" max="12034" width="14.85546875" style="20" customWidth="1"/>
    <col min="12035" max="12035" width="5.85546875" style="20" customWidth="1"/>
    <col min="12036" max="12036" width="15.5703125" style="20" customWidth="1"/>
    <col min="12037" max="12037" width="10.140625" style="20" bestFit="1" customWidth="1"/>
    <col min="12038" max="12038" width="8.85546875" style="20" customWidth="1"/>
    <col min="12039" max="12039" width="10.140625" style="20" customWidth="1"/>
    <col min="12040" max="12040" width="8.85546875" style="20"/>
    <col min="12041" max="12041" width="4" style="20" customWidth="1"/>
    <col min="12042" max="12042" width="1.5703125" style="20" customWidth="1"/>
    <col min="12043" max="12045" width="4" style="20" customWidth="1"/>
    <col min="12046" max="12046" width="8.85546875" style="20"/>
    <col min="12047" max="12047" width="14.42578125" style="20" bestFit="1" customWidth="1"/>
    <col min="12048" max="12048" width="8.85546875" style="20"/>
    <col min="12049" max="12049" width="10.85546875" style="20" customWidth="1"/>
    <col min="12050" max="12285" width="8.85546875" style="20"/>
    <col min="12286" max="12286" width="0.85546875" style="20" customWidth="1"/>
    <col min="12287" max="12287" width="4.42578125" style="20" bestFit="1" customWidth="1"/>
    <col min="12288" max="12288" width="32.7109375" style="20" customWidth="1"/>
    <col min="12289" max="12289" width="12.7109375" style="20" customWidth="1"/>
    <col min="12290" max="12290" width="14.85546875" style="20" customWidth="1"/>
    <col min="12291" max="12291" width="5.85546875" style="20" customWidth="1"/>
    <col min="12292" max="12292" width="15.5703125" style="20" customWidth="1"/>
    <col min="12293" max="12293" width="10.140625" style="20" bestFit="1" customWidth="1"/>
    <col min="12294" max="12294" width="8.85546875" style="20" customWidth="1"/>
    <col min="12295" max="12295" width="10.140625" style="20" customWidth="1"/>
    <col min="12296" max="12296" width="8.85546875" style="20"/>
    <col min="12297" max="12297" width="4" style="20" customWidth="1"/>
    <col min="12298" max="12298" width="1.5703125" style="20" customWidth="1"/>
    <col min="12299" max="12301" width="4" style="20" customWidth="1"/>
    <col min="12302" max="12302" width="8.85546875" style="20"/>
    <col min="12303" max="12303" width="14.42578125" style="20" bestFit="1" customWidth="1"/>
    <col min="12304" max="12304" width="8.85546875" style="20"/>
    <col min="12305" max="12305" width="10.85546875" style="20" customWidth="1"/>
    <col min="12306" max="12541" width="8.85546875" style="20"/>
    <col min="12542" max="12542" width="0.85546875" style="20" customWidth="1"/>
    <col min="12543" max="12543" width="4.42578125" style="20" bestFit="1" customWidth="1"/>
    <col min="12544" max="12544" width="32.7109375" style="20" customWidth="1"/>
    <col min="12545" max="12545" width="12.7109375" style="20" customWidth="1"/>
    <col min="12546" max="12546" width="14.85546875" style="20" customWidth="1"/>
    <col min="12547" max="12547" width="5.85546875" style="20" customWidth="1"/>
    <col min="12548" max="12548" width="15.5703125" style="20" customWidth="1"/>
    <col min="12549" max="12549" width="10.140625" style="20" bestFit="1" customWidth="1"/>
    <col min="12550" max="12550" width="8.85546875" style="20" customWidth="1"/>
    <col min="12551" max="12551" width="10.140625" style="20" customWidth="1"/>
    <col min="12552" max="12552" width="8.85546875" style="20"/>
    <col min="12553" max="12553" width="4" style="20" customWidth="1"/>
    <col min="12554" max="12554" width="1.5703125" style="20" customWidth="1"/>
    <col min="12555" max="12557" width="4" style="20" customWidth="1"/>
    <col min="12558" max="12558" width="8.85546875" style="20"/>
    <col min="12559" max="12559" width="14.42578125" style="20" bestFit="1" customWidth="1"/>
    <col min="12560" max="12560" width="8.85546875" style="20"/>
    <col min="12561" max="12561" width="10.85546875" style="20" customWidth="1"/>
    <col min="12562" max="12797" width="8.85546875" style="20"/>
    <col min="12798" max="12798" width="0.85546875" style="20" customWidth="1"/>
    <col min="12799" max="12799" width="4.42578125" style="20" bestFit="1" customWidth="1"/>
    <col min="12800" max="12800" width="32.7109375" style="20" customWidth="1"/>
    <col min="12801" max="12801" width="12.7109375" style="20" customWidth="1"/>
    <col min="12802" max="12802" width="14.85546875" style="20" customWidth="1"/>
    <col min="12803" max="12803" width="5.85546875" style="20" customWidth="1"/>
    <col min="12804" max="12804" width="15.5703125" style="20" customWidth="1"/>
    <col min="12805" max="12805" width="10.140625" style="20" bestFit="1" customWidth="1"/>
    <col min="12806" max="12806" width="8.85546875" style="20" customWidth="1"/>
    <col min="12807" max="12807" width="10.140625" style="20" customWidth="1"/>
    <col min="12808" max="12808" width="8.85546875" style="20"/>
    <col min="12809" max="12809" width="4" style="20" customWidth="1"/>
    <col min="12810" max="12810" width="1.5703125" style="20" customWidth="1"/>
    <col min="12811" max="12813" width="4" style="20" customWidth="1"/>
    <col min="12814" max="12814" width="8.85546875" style="20"/>
    <col min="12815" max="12815" width="14.42578125" style="20" bestFit="1" customWidth="1"/>
    <col min="12816" max="12816" width="8.85546875" style="20"/>
    <col min="12817" max="12817" width="10.85546875" style="20" customWidth="1"/>
    <col min="12818" max="13053" width="8.85546875" style="20"/>
    <col min="13054" max="13054" width="0.85546875" style="20" customWidth="1"/>
    <col min="13055" max="13055" width="4.42578125" style="20" bestFit="1" customWidth="1"/>
    <col min="13056" max="13056" width="32.7109375" style="20" customWidth="1"/>
    <col min="13057" max="13057" width="12.7109375" style="20" customWidth="1"/>
    <col min="13058" max="13058" width="14.85546875" style="20" customWidth="1"/>
    <col min="13059" max="13059" width="5.85546875" style="20" customWidth="1"/>
    <col min="13060" max="13060" width="15.5703125" style="20" customWidth="1"/>
    <col min="13061" max="13061" width="10.140625" style="20" bestFit="1" customWidth="1"/>
    <col min="13062" max="13062" width="8.85546875" style="20" customWidth="1"/>
    <col min="13063" max="13063" width="10.140625" style="20" customWidth="1"/>
    <col min="13064" max="13064" width="8.85546875" style="20"/>
    <col min="13065" max="13065" width="4" style="20" customWidth="1"/>
    <col min="13066" max="13066" width="1.5703125" style="20" customWidth="1"/>
    <col min="13067" max="13069" width="4" style="20" customWidth="1"/>
    <col min="13070" max="13070" width="8.85546875" style="20"/>
    <col min="13071" max="13071" width="14.42578125" style="20" bestFit="1" customWidth="1"/>
    <col min="13072" max="13072" width="8.85546875" style="20"/>
    <col min="13073" max="13073" width="10.85546875" style="20" customWidth="1"/>
    <col min="13074" max="13309" width="8.85546875" style="20"/>
    <col min="13310" max="13310" width="0.85546875" style="20" customWidth="1"/>
    <col min="13311" max="13311" width="4.42578125" style="20" bestFit="1" customWidth="1"/>
    <col min="13312" max="13312" width="32.7109375" style="20" customWidth="1"/>
    <col min="13313" max="13313" width="12.7109375" style="20" customWidth="1"/>
    <col min="13314" max="13314" width="14.85546875" style="20" customWidth="1"/>
    <col min="13315" max="13315" width="5.85546875" style="20" customWidth="1"/>
    <col min="13316" max="13316" width="15.5703125" style="20" customWidth="1"/>
    <col min="13317" max="13317" width="10.140625" style="20" bestFit="1" customWidth="1"/>
    <col min="13318" max="13318" width="8.85546875" style="20" customWidth="1"/>
    <col min="13319" max="13319" width="10.140625" style="20" customWidth="1"/>
    <col min="13320" max="13320" width="8.85546875" style="20"/>
    <col min="13321" max="13321" width="4" style="20" customWidth="1"/>
    <col min="13322" max="13322" width="1.5703125" style="20" customWidth="1"/>
    <col min="13323" max="13325" width="4" style="20" customWidth="1"/>
    <col min="13326" max="13326" width="8.85546875" style="20"/>
    <col min="13327" max="13327" width="14.42578125" style="20" bestFit="1" customWidth="1"/>
    <col min="13328" max="13328" width="8.85546875" style="20"/>
    <col min="13329" max="13329" width="10.85546875" style="20" customWidth="1"/>
    <col min="13330" max="13565" width="8.85546875" style="20"/>
    <col min="13566" max="13566" width="0.85546875" style="20" customWidth="1"/>
    <col min="13567" max="13567" width="4.42578125" style="20" bestFit="1" customWidth="1"/>
    <col min="13568" max="13568" width="32.7109375" style="20" customWidth="1"/>
    <col min="13569" max="13569" width="12.7109375" style="20" customWidth="1"/>
    <col min="13570" max="13570" width="14.85546875" style="20" customWidth="1"/>
    <col min="13571" max="13571" width="5.85546875" style="20" customWidth="1"/>
    <col min="13572" max="13572" width="15.5703125" style="20" customWidth="1"/>
    <col min="13573" max="13573" width="10.140625" style="20" bestFit="1" customWidth="1"/>
    <col min="13574" max="13574" width="8.85546875" style="20" customWidth="1"/>
    <col min="13575" max="13575" width="10.140625" style="20" customWidth="1"/>
    <col min="13576" max="13576" width="8.85546875" style="20"/>
    <col min="13577" max="13577" width="4" style="20" customWidth="1"/>
    <col min="13578" max="13578" width="1.5703125" style="20" customWidth="1"/>
    <col min="13579" max="13581" width="4" style="20" customWidth="1"/>
    <col min="13582" max="13582" width="8.85546875" style="20"/>
    <col min="13583" max="13583" width="14.42578125" style="20" bestFit="1" customWidth="1"/>
    <col min="13584" max="13584" width="8.85546875" style="20"/>
    <col min="13585" max="13585" width="10.85546875" style="20" customWidth="1"/>
    <col min="13586" max="13821" width="8.85546875" style="20"/>
    <col min="13822" max="13822" width="0.85546875" style="20" customWidth="1"/>
    <col min="13823" max="13823" width="4.42578125" style="20" bestFit="1" customWidth="1"/>
    <col min="13824" max="13824" width="32.7109375" style="20" customWidth="1"/>
    <col min="13825" max="13825" width="12.7109375" style="20" customWidth="1"/>
    <col min="13826" max="13826" width="14.85546875" style="20" customWidth="1"/>
    <col min="13827" max="13827" width="5.85546875" style="20" customWidth="1"/>
    <col min="13828" max="13828" width="15.5703125" style="20" customWidth="1"/>
    <col min="13829" max="13829" width="10.140625" style="20" bestFit="1" customWidth="1"/>
    <col min="13830" max="13830" width="8.85546875" style="20" customWidth="1"/>
    <col min="13831" max="13831" width="10.140625" style="20" customWidth="1"/>
    <col min="13832" max="13832" width="8.85546875" style="20"/>
    <col min="13833" max="13833" width="4" style="20" customWidth="1"/>
    <col min="13834" max="13834" width="1.5703125" style="20" customWidth="1"/>
    <col min="13835" max="13837" width="4" style="20" customWidth="1"/>
    <col min="13838" max="13838" width="8.85546875" style="20"/>
    <col min="13839" max="13839" width="14.42578125" style="20" bestFit="1" customWidth="1"/>
    <col min="13840" max="13840" width="8.85546875" style="20"/>
    <col min="13841" max="13841" width="10.85546875" style="20" customWidth="1"/>
    <col min="13842" max="14077" width="8.85546875" style="20"/>
    <col min="14078" max="14078" width="0.85546875" style="20" customWidth="1"/>
    <col min="14079" max="14079" width="4.42578125" style="20" bestFit="1" customWidth="1"/>
    <col min="14080" max="14080" width="32.7109375" style="20" customWidth="1"/>
    <col min="14081" max="14081" width="12.7109375" style="20" customWidth="1"/>
    <col min="14082" max="14082" width="14.85546875" style="20" customWidth="1"/>
    <col min="14083" max="14083" width="5.85546875" style="20" customWidth="1"/>
    <col min="14084" max="14084" width="15.5703125" style="20" customWidth="1"/>
    <col min="14085" max="14085" width="10.140625" style="20" bestFit="1" customWidth="1"/>
    <col min="14086" max="14086" width="8.85546875" style="20" customWidth="1"/>
    <col min="14087" max="14087" width="10.140625" style="20" customWidth="1"/>
    <col min="14088" max="14088" width="8.85546875" style="20"/>
    <col min="14089" max="14089" width="4" style="20" customWidth="1"/>
    <col min="14090" max="14090" width="1.5703125" style="20" customWidth="1"/>
    <col min="14091" max="14093" width="4" style="20" customWidth="1"/>
    <col min="14094" max="14094" width="8.85546875" style="20"/>
    <col min="14095" max="14095" width="14.42578125" style="20" bestFit="1" customWidth="1"/>
    <col min="14096" max="14096" width="8.85546875" style="20"/>
    <col min="14097" max="14097" width="10.85546875" style="20" customWidth="1"/>
    <col min="14098" max="14333" width="8.85546875" style="20"/>
    <col min="14334" max="14334" width="0.85546875" style="20" customWidth="1"/>
    <col min="14335" max="14335" width="4.42578125" style="20" bestFit="1" customWidth="1"/>
    <col min="14336" max="14336" width="32.7109375" style="20" customWidth="1"/>
    <col min="14337" max="14337" width="12.7109375" style="20" customWidth="1"/>
    <col min="14338" max="14338" width="14.85546875" style="20" customWidth="1"/>
    <col min="14339" max="14339" width="5.85546875" style="20" customWidth="1"/>
    <col min="14340" max="14340" width="15.5703125" style="20" customWidth="1"/>
    <col min="14341" max="14341" width="10.140625" style="20" bestFit="1" customWidth="1"/>
    <col min="14342" max="14342" width="8.85546875" style="20" customWidth="1"/>
    <col min="14343" max="14343" width="10.140625" style="20" customWidth="1"/>
    <col min="14344" max="14344" width="8.85546875" style="20"/>
    <col min="14345" max="14345" width="4" style="20" customWidth="1"/>
    <col min="14346" max="14346" width="1.5703125" style="20" customWidth="1"/>
    <col min="14347" max="14349" width="4" style="20" customWidth="1"/>
    <col min="14350" max="14350" width="8.85546875" style="20"/>
    <col min="14351" max="14351" width="14.42578125" style="20" bestFit="1" customWidth="1"/>
    <col min="14352" max="14352" width="8.85546875" style="20"/>
    <col min="14353" max="14353" width="10.85546875" style="20" customWidth="1"/>
    <col min="14354" max="14589" width="8.85546875" style="20"/>
    <col min="14590" max="14590" width="0.85546875" style="20" customWidth="1"/>
    <col min="14591" max="14591" width="4.42578125" style="20" bestFit="1" customWidth="1"/>
    <col min="14592" max="14592" width="32.7109375" style="20" customWidth="1"/>
    <col min="14593" max="14593" width="12.7109375" style="20" customWidth="1"/>
    <col min="14594" max="14594" width="14.85546875" style="20" customWidth="1"/>
    <col min="14595" max="14595" width="5.85546875" style="20" customWidth="1"/>
    <col min="14596" max="14596" width="15.5703125" style="20" customWidth="1"/>
    <col min="14597" max="14597" width="10.140625" style="20" bestFit="1" customWidth="1"/>
    <col min="14598" max="14598" width="8.85546875" style="20" customWidth="1"/>
    <col min="14599" max="14599" width="10.140625" style="20" customWidth="1"/>
    <col min="14600" max="14600" width="8.85546875" style="20"/>
    <col min="14601" max="14601" width="4" style="20" customWidth="1"/>
    <col min="14602" max="14602" width="1.5703125" style="20" customWidth="1"/>
    <col min="14603" max="14605" width="4" style="20" customWidth="1"/>
    <col min="14606" max="14606" width="8.85546875" style="20"/>
    <col min="14607" max="14607" width="14.42578125" style="20" bestFit="1" customWidth="1"/>
    <col min="14608" max="14608" width="8.85546875" style="20"/>
    <col min="14609" max="14609" width="10.85546875" style="20" customWidth="1"/>
    <col min="14610" max="14845" width="8.85546875" style="20"/>
    <col min="14846" max="14846" width="0.85546875" style="20" customWidth="1"/>
    <col min="14847" max="14847" width="4.42578125" style="20" bestFit="1" customWidth="1"/>
    <col min="14848" max="14848" width="32.7109375" style="20" customWidth="1"/>
    <col min="14849" max="14849" width="12.7109375" style="20" customWidth="1"/>
    <col min="14850" max="14850" width="14.85546875" style="20" customWidth="1"/>
    <col min="14851" max="14851" width="5.85546875" style="20" customWidth="1"/>
    <col min="14852" max="14852" width="15.5703125" style="20" customWidth="1"/>
    <col min="14853" max="14853" width="10.140625" style="20" bestFit="1" customWidth="1"/>
    <col min="14854" max="14854" width="8.85546875" style="20" customWidth="1"/>
    <col min="14855" max="14855" width="10.140625" style="20" customWidth="1"/>
    <col min="14856" max="14856" width="8.85546875" style="20"/>
    <col min="14857" max="14857" width="4" style="20" customWidth="1"/>
    <col min="14858" max="14858" width="1.5703125" style="20" customWidth="1"/>
    <col min="14859" max="14861" width="4" style="20" customWidth="1"/>
    <col min="14862" max="14862" width="8.85546875" style="20"/>
    <col min="14863" max="14863" width="14.42578125" style="20" bestFit="1" customWidth="1"/>
    <col min="14864" max="14864" width="8.85546875" style="20"/>
    <col min="14865" max="14865" width="10.85546875" style="20" customWidth="1"/>
    <col min="14866" max="15101" width="8.85546875" style="20"/>
    <col min="15102" max="15102" width="0.85546875" style="20" customWidth="1"/>
    <col min="15103" max="15103" width="4.42578125" style="20" bestFit="1" customWidth="1"/>
    <col min="15104" max="15104" width="32.7109375" style="20" customWidth="1"/>
    <col min="15105" max="15105" width="12.7109375" style="20" customWidth="1"/>
    <col min="15106" max="15106" width="14.85546875" style="20" customWidth="1"/>
    <col min="15107" max="15107" width="5.85546875" style="20" customWidth="1"/>
    <col min="15108" max="15108" width="15.5703125" style="20" customWidth="1"/>
    <col min="15109" max="15109" width="10.140625" style="20" bestFit="1" customWidth="1"/>
    <col min="15110" max="15110" width="8.85546875" style="20" customWidth="1"/>
    <col min="15111" max="15111" width="10.140625" style="20" customWidth="1"/>
    <col min="15112" max="15112" width="8.85546875" style="20"/>
    <col min="15113" max="15113" width="4" style="20" customWidth="1"/>
    <col min="15114" max="15114" width="1.5703125" style="20" customWidth="1"/>
    <col min="15115" max="15117" width="4" style="20" customWidth="1"/>
    <col min="15118" max="15118" width="8.85546875" style="20"/>
    <col min="15119" max="15119" width="14.42578125" style="20" bestFit="1" customWidth="1"/>
    <col min="15120" max="15120" width="8.85546875" style="20"/>
    <col min="15121" max="15121" width="10.85546875" style="20" customWidth="1"/>
    <col min="15122" max="15357" width="8.85546875" style="20"/>
    <col min="15358" max="15358" width="0.85546875" style="20" customWidth="1"/>
    <col min="15359" max="15359" width="4.42578125" style="20" bestFit="1" customWidth="1"/>
    <col min="15360" max="15360" width="32.7109375" style="20" customWidth="1"/>
    <col min="15361" max="15361" width="12.7109375" style="20" customWidth="1"/>
    <col min="15362" max="15362" width="14.85546875" style="20" customWidth="1"/>
    <col min="15363" max="15363" width="5.85546875" style="20" customWidth="1"/>
    <col min="15364" max="15364" width="15.5703125" style="20" customWidth="1"/>
    <col min="15365" max="15365" width="10.140625" style="20" bestFit="1" customWidth="1"/>
    <col min="15366" max="15366" width="8.85546875" style="20" customWidth="1"/>
    <col min="15367" max="15367" width="10.140625" style="20" customWidth="1"/>
    <col min="15368" max="15368" width="8.85546875" style="20"/>
    <col min="15369" max="15369" width="4" style="20" customWidth="1"/>
    <col min="15370" max="15370" width="1.5703125" style="20" customWidth="1"/>
    <col min="15371" max="15373" width="4" style="20" customWidth="1"/>
    <col min="15374" max="15374" width="8.85546875" style="20"/>
    <col min="15375" max="15375" width="14.42578125" style="20" bestFit="1" customWidth="1"/>
    <col min="15376" max="15376" width="8.85546875" style="20"/>
    <col min="15377" max="15377" width="10.85546875" style="20" customWidth="1"/>
    <col min="15378" max="15613" width="8.85546875" style="20"/>
    <col min="15614" max="15614" width="0.85546875" style="20" customWidth="1"/>
    <col min="15615" max="15615" width="4.42578125" style="20" bestFit="1" customWidth="1"/>
    <col min="15616" max="15616" width="32.7109375" style="20" customWidth="1"/>
    <col min="15617" max="15617" width="12.7109375" style="20" customWidth="1"/>
    <col min="15618" max="15618" width="14.85546875" style="20" customWidth="1"/>
    <col min="15619" max="15619" width="5.85546875" style="20" customWidth="1"/>
    <col min="15620" max="15620" width="15.5703125" style="20" customWidth="1"/>
    <col min="15621" max="15621" width="10.140625" style="20" bestFit="1" customWidth="1"/>
    <col min="15622" max="15622" width="8.85546875" style="20" customWidth="1"/>
    <col min="15623" max="15623" width="10.140625" style="20" customWidth="1"/>
    <col min="15624" max="15624" width="8.85546875" style="20"/>
    <col min="15625" max="15625" width="4" style="20" customWidth="1"/>
    <col min="15626" max="15626" width="1.5703125" style="20" customWidth="1"/>
    <col min="15627" max="15629" width="4" style="20" customWidth="1"/>
    <col min="15630" max="15630" width="8.85546875" style="20"/>
    <col min="15631" max="15631" width="14.42578125" style="20" bestFit="1" customWidth="1"/>
    <col min="15632" max="15632" width="8.85546875" style="20"/>
    <col min="15633" max="15633" width="10.85546875" style="20" customWidth="1"/>
    <col min="15634" max="15869" width="8.85546875" style="20"/>
    <col min="15870" max="15870" width="0.85546875" style="20" customWidth="1"/>
    <col min="15871" max="15871" width="4.42578125" style="20" bestFit="1" customWidth="1"/>
    <col min="15872" max="15872" width="32.7109375" style="20" customWidth="1"/>
    <col min="15873" max="15873" width="12.7109375" style="20" customWidth="1"/>
    <col min="15874" max="15874" width="14.85546875" style="20" customWidth="1"/>
    <col min="15875" max="15875" width="5.85546875" style="20" customWidth="1"/>
    <col min="15876" max="15876" width="15.5703125" style="20" customWidth="1"/>
    <col min="15877" max="15877" width="10.140625" style="20" bestFit="1" customWidth="1"/>
    <col min="15878" max="15878" width="8.85546875" style="20" customWidth="1"/>
    <col min="15879" max="15879" width="10.140625" style="20" customWidth="1"/>
    <col min="15880" max="15880" width="8.85546875" style="20"/>
    <col min="15881" max="15881" width="4" style="20" customWidth="1"/>
    <col min="15882" max="15882" width="1.5703125" style="20" customWidth="1"/>
    <col min="15883" max="15885" width="4" style="20" customWidth="1"/>
    <col min="15886" max="15886" width="8.85546875" style="20"/>
    <col min="15887" max="15887" width="14.42578125" style="20" bestFit="1" customWidth="1"/>
    <col min="15888" max="15888" width="8.85546875" style="20"/>
    <col min="15889" max="15889" width="10.85546875" style="20" customWidth="1"/>
    <col min="15890" max="16125" width="8.85546875" style="20"/>
    <col min="16126" max="16126" width="0.85546875" style="20" customWidth="1"/>
    <col min="16127" max="16127" width="4.42578125" style="20" bestFit="1" customWidth="1"/>
    <col min="16128" max="16128" width="32.7109375" style="20" customWidth="1"/>
    <col min="16129" max="16129" width="12.7109375" style="20" customWidth="1"/>
    <col min="16130" max="16130" width="14.85546875" style="20" customWidth="1"/>
    <col min="16131" max="16131" width="5.85546875" style="20" customWidth="1"/>
    <col min="16132" max="16132" width="15.5703125" style="20" customWidth="1"/>
    <col min="16133" max="16133" width="10.140625" style="20" bestFit="1" customWidth="1"/>
    <col min="16134" max="16134" width="8.85546875" style="20" customWidth="1"/>
    <col min="16135" max="16135" width="10.140625" style="20" customWidth="1"/>
    <col min="16136" max="16136" width="8.85546875" style="20"/>
    <col min="16137" max="16137" width="4" style="20" customWidth="1"/>
    <col min="16138" max="16138" width="1.5703125" style="20" customWidth="1"/>
    <col min="16139" max="16141" width="4" style="20" customWidth="1"/>
    <col min="16142" max="16142" width="8.85546875" style="20"/>
    <col min="16143" max="16143" width="14.42578125" style="20" bestFit="1" customWidth="1"/>
    <col min="16144" max="16144" width="8.85546875" style="20"/>
    <col min="16145" max="16145" width="10.85546875" style="20" customWidth="1"/>
    <col min="16146" max="16384" width="8.85546875" style="20"/>
  </cols>
  <sheetData>
    <row r="1" spans="2:16" ht="27" customHeight="1" x14ac:dyDescent="0.25">
      <c r="C1" s="20" t="s">
        <v>71</v>
      </c>
      <c r="D1" s="193"/>
      <c r="E1" s="193"/>
      <c r="F1" s="193"/>
      <c r="G1" s="193"/>
      <c r="H1" s="193"/>
      <c r="J1" s="194" t="s">
        <v>72</v>
      </c>
      <c r="K1" s="194"/>
      <c r="L1" s="194"/>
      <c r="M1" s="194"/>
      <c r="N1" s="194"/>
    </row>
    <row r="2" spans="2:16" ht="19.5" customHeight="1" x14ac:dyDescent="0.25">
      <c r="D2" s="195" t="s">
        <v>73</v>
      </c>
      <c r="E2" s="195"/>
      <c r="F2" s="195"/>
      <c r="G2" s="195"/>
      <c r="H2" s="195"/>
      <c r="J2" s="196" t="s">
        <v>74</v>
      </c>
      <c r="K2" s="197"/>
      <c r="L2" s="197"/>
      <c r="M2" s="197"/>
      <c r="N2" s="198"/>
      <c r="P2" s="22"/>
    </row>
    <row r="3" spans="2:16" ht="19.5" customHeight="1" x14ac:dyDescent="0.25">
      <c r="D3" s="195"/>
      <c r="E3" s="195"/>
      <c r="F3" s="195"/>
      <c r="G3" s="195"/>
      <c r="H3" s="195"/>
      <c r="I3" s="23"/>
      <c r="J3" s="199" t="s">
        <v>75</v>
      </c>
      <c r="K3" s="200"/>
      <c r="L3" s="201">
        <v>40555</v>
      </c>
      <c r="M3" s="202"/>
      <c r="N3" s="203"/>
    </row>
    <row r="4" spans="2:16" ht="45" x14ac:dyDescent="0.25">
      <c r="B4" s="24" t="s">
        <v>76</v>
      </c>
      <c r="C4" s="24" t="s">
        <v>1</v>
      </c>
      <c r="D4" s="189" t="s">
        <v>95</v>
      </c>
      <c r="E4" s="189" t="s">
        <v>86</v>
      </c>
      <c r="F4" s="189" t="s">
        <v>94</v>
      </c>
      <c r="G4" s="189" t="s">
        <v>85</v>
      </c>
      <c r="H4" s="188" t="s">
        <v>77</v>
      </c>
      <c r="J4" s="188" t="s">
        <v>78</v>
      </c>
      <c r="K4" s="191" t="s">
        <v>79</v>
      </c>
      <c r="L4" s="191"/>
      <c r="M4" s="192" t="s">
        <v>80</v>
      </c>
      <c r="N4" s="192"/>
    </row>
    <row r="5" spans="2:16" x14ac:dyDescent="0.25">
      <c r="D5" s="163" t="s">
        <v>82</v>
      </c>
      <c r="E5" s="163" t="s">
        <v>82</v>
      </c>
      <c r="F5" s="163" t="s">
        <v>82</v>
      </c>
      <c r="G5" s="163" t="s">
        <v>82</v>
      </c>
      <c r="H5" s="157" t="s">
        <v>81</v>
      </c>
      <c r="J5" s="157" t="s">
        <v>83</v>
      </c>
      <c r="K5" s="157" t="s">
        <v>81</v>
      </c>
      <c r="L5" s="157" t="s">
        <v>83</v>
      </c>
      <c r="M5" s="157" t="s">
        <v>82</v>
      </c>
      <c r="N5" s="157" t="s">
        <v>83</v>
      </c>
    </row>
    <row r="6" spans="2:16" x14ac:dyDescent="0.25">
      <c r="D6" s="164"/>
      <c r="E6" s="164"/>
      <c r="F6" s="164"/>
      <c r="G6" s="164"/>
      <c r="H6" s="150"/>
      <c r="J6" s="170"/>
      <c r="K6" s="148"/>
      <c r="L6" s="149"/>
      <c r="M6" s="147"/>
      <c r="N6" s="149"/>
    </row>
    <row r="7" spans="2:16" ht="15" x14ac:dyDescent="0.25">
      <c r="B7" s="25">
        <v>1</v>
      </c>
      <c r="C7" s="26" t="s">
        <v>238</v>
      </c>
      <c r="D7" s="164"/>
      <c r="E7" s="164"/>
      <c r="F7" s="164"/>
      <c r="G7" s="164"/>
      <c r="H7" s="150"/>
      <c r="J7" s="170"/>
      <c r="K7" s="148"/>
      <c r="L7" s="149"/>
      <c r="M7" s="147"/>
      <c r="N7" s="149"/>
    </row>
    <row r="8" spans="2:16" ht="15" x14ac:dyDescent="0.25">
      <c r="B8" s="27">
        <f t="shared" ref="B8:B14" si="0">B7+0.1</f>
        <v>1.1000000000000001</v>
      </c>
      <c r="C8" s="28" t="s">
        <v>87</v>
      </c>
      <c r="D8" s="165">
        <v>4</v>
      </c>
      <c r="E8" s="165">
        <v>16</v>
      </c>
      <c r="F8" s="165">
        <v>16</v>
      </c>
      <c r="G8" s="154">
        <f>SUM(D8:F8)</f>
        <v>36</v>
      </c>
      <c r="H8" s="159">
        <f t="shared" ref="H8:H14" si="1">($D$52*D8)+(E8*$D$51)+(F8*$D$53)</f>
        <v>4600</v>
      </c>
      <c r="J8" s="175"/>
      <c r="K8" s="176"/>
      <c r="L8" s="174" t="str">
        <f>IF(ISBLANK($K8),"",$K8/$H8)</f>
        <v/>
      </c>
      <c r="M8" s="155"/>
      <c r="N8" s="174" t="str">
        <f>IF(ISBLANK($M8),"",$M8/$G8)</f>
        <v/>
      </c>
    </row>
    <row r="9" spans="2:16" ht="15" x14ac:dyDescent="0.25">
      <c r="B9" s="27">
        <f t="shared" si="0"/>
        <v>1.2000000000000002</v>
      </c>
      <c r="C9" s="28" t="s">
        <v>88</v>
      </c>
      <c r="D9" s="165">
        <v>6</v>
      </c>
      <c r="E9" s="165">
        <v>16</v>
      </c>
      <c r="F9" s="165">
        <v>16</v>
      </c>
      <c r="G9" s="154">
        <f t="shared" ref="G9:G14" si="2">SUM(D9:F9)</f>
        <v>38</v>
      </c>
      <c r="H9" s="159">
        <f t="shared" si="1"/>
        <v>4900</v>
      </c>
      <c r="J9" s="175"/>
      <c r="K9" s="176"/>
      <c r="L9" s="174" t="str">
        <f>IF(ISBLANK($K9),"",$K9/$H9)</f>
        <v/>
      </c>
      <c r="M9" s="155"/>
      <c r="N9" s="174" t="str">
        <f t="shared" ref="N9:N14" si="3">IF(ISBLANK($M9),"",$M9/$G9)</f>
        <v/>
      </c>
    </row>
    <row r="10" spans="2:16" ht="15" x14ac:dyDescent="0.25">
      <c r="B10" s="27">
        <f t="shared" si="0"/>
        <v>1.3000000000000003</v>
      </c>
      <c r="C10" s="28" t="s">
        <v>90</v>
      </c>
      <c r="D10" s="165">
        <v>0</v>
      </c>
      <c r="E10" s="165">
        <v>0</v>
      </c>
      <c r="F10" s="165">
        <v>0</v>
      </c>
      <c r="G10" s="154">
        <f t="shared" si="2"/>
        <v>0</v>
      </c>
      <c r="H10" s="159">
        <f t="shared" si="1"/>
        <v>0</v>
      </c>
      <c r="J10" s="175"/>
      <c r="K10" s="176"/>
      <c r="L10" s="174" t="str">
        <f>IF(ISBLANK($K10),"",$K10/$H10)</f>
        <v/>
      </c>
      <c r="M10" s="155"/>
      <c r="N10" s="174" t="str">
        <f t="shared" si="3"/>
        <v/>
      </c>
    </row>
    <row r="11" spans="2:16" ht="15" x14ac:dyDescent="0.25">
      <c r="B11" s="27">
        <f t="shared" si="0"/>
        <v>1.4000000000000004</v>
      </c>
      <c r="C11" s="28" t="s">
        <v>93</v>
      </c>
      <c r="D11" s="165">
        <v>2</v>
      </c>
      <c r="E11" s="165">
        <v>8</v>
      </c>
      <c r="F11" s="165">
        <v>4</v>
      </c>
      <c r="G11" s="154">
        <f t="shared" si="2"/>
        <v>14</v>
      </c>
      <c r="H11" s="159">
        <f t="shared" si="1"/>
        <v>1900</v>
      </c>
      <c r="J11" s="175"/>
      <c r="K11" s="176"/>
      <c r="L11" s="174" t="str">
        <f>IF(ISBLANK($K11),"",$K11/$H11)</f>
        <v/>
      </c>
      <c r="M11" s="155"/>
      <c r="N11" s="174" t="str">
        <f t="shared" si="3"/>
        <v/>
      </c>
    </row>
    <row r="12" spans="2:16" ht="15" x14ac:dyDescent="0.25">
      <c r="B12" s="27">
        <f t="shared" si="0"/>
        <v>1.5000000000000004</v>
      </c>
      <c r="C12" s="28" t="s">
        <v>91</v>
      </c>
      <c r="D12" s="165"/>
      <c r="E12" s="165">
        <v>16</v>
      </c>
      <c r="F12" s="165"/>
      <c r="G12" s="154">
        <f t="shared" si="2"/>
        <v>16</v>
      </c>
      <c r="H12" s="159">
        <f t="shared" si="1"/>
        <v>2400</v>
      </c>
      <c r="J12" s="175"/>
      <c r="K12" s="176"/>
      <c r="L12" s="174"/>
      <c r="M12" s="155"/>
      <c r="N12" s="174" t="str">
        <f t="shared" si="3"/>
        <v/>
      </c>
    </row>
    <row r="13" spans="2:16" ht="15" x14ac:dyDescent="0.25">
      <c r="B13" s="27">
        <f t="shared" si="0"/>
        <v>1.6000000000000005</v>
      </c>
      <c r="C13" s="28" t="s">
        <v>96</v>
      </c>
      <c r="D13" s="165">
        <v>4</v>
      </c>
      <c r="E13" s="165">
        <v>8</v>
      </c>
      <c r="F13" s="165">
        <v>8</v>
      </c>
      <c r="G13" s="154">
        <f t="shared" si="2"/>
        <v>20</v>
      </c>
      <c r="H13" s="159">
        <f t="shared" si="1"/>
        <v>2600</v>
      </c>
      <c r="J13" s="175"/>
      <c r="K13" s="176"/>
      <c r="L13" s="174"/>
      <c r="M13" s="155"/>
      <c r="N13" s="174" t="str">
        <f t="shared" si="3"/>
        <v/>
      </c>
    </row>
    <row r="14" spans="2:16" ht="15" x14ac:dyDescent="0.25">
      <c r="B14" s="27">
        <f t="shared" si="0"/>
        <v>1.7000000000000006</v>
      </c>
      <c r="C14" s="28" t="s">
        <v>237</v>
      </c>
      <c r="D14" s="165">
        <v>8</v>
      </c>
      <c r="E14" s="165">
        <v>8</v>
      </c>
      <c r="F14" s="165"/>
      <c r="G14" s="154">
        <f t="shared" si="2"/>
        <v>16</v>
      </c>
      <c r="H14" s="159">
        <f t="shared" si="1"/>
        <v>2400</v>
      </c>
      <c r="J14" s="175"/>
      <c r="K14" s="176"/>
      <c r="L14" s="174"/>
      <c r="M14" s="155"/>
      <c r="N14" s="174" t="str">
        <f t="shared" si="3"/>
        <v/>
      </c>
    </row>
    <row r="15" spans="2:16" x14ac:dyDescent="0.25">
      <c r="B15" s="27"/>
      <c r="C15" s="30"/>
      <c r="D15" s="166"/>
      <c r="E15" s="166"/>
      <c r="F15" s="166"/>
      <c r="G15" s="166"/>
      <c r="H15" s="151"/>
      <c r="J15" s="170"/>
      <c r="K15" s="148"/>
      <c r="L15" s="149" t="str">
        <f>IF(ISBLANK($K15),"",$K15/$H15)</f>
        <v/>
      </c>
      <c r="M15" s="147"/>
      <c r="N15" s="149" t="str">
        <f>IF(ISBLANK($M15),"",$M15/$D15)</f>
        <v/>
      </c>
    </row>
    <row r="16" spans="2:16" ht="15" x14ac:dyDescent="0.25">
      <c r="B16" s="29"/>
      <c r="C16" s="24" t="s">
        <v>85</v>
      </c>
      <c r="D16" s="167">
        <f>SUM(D6:D15)</f>
        <v>24</v>
      </c>
      <c r="E16" s="167">
        <f>SUM(E6:E15)</f>
        <v>72</v>
      </c>
      <c r="F16" s="167">
        <f>SUM(F6:F15)</f>
        <v>44</v>
      </c>
      <c r="G16" s="167">
        <f>SUM(G6:G15)</f>
        <v>140</v>
      </c>
      <c r="H16" s="153">
        <f>SUM(H6:H15)</f>
        <v>18800</v>
      </c>
      <c r="J16" s="174" t="e">
        <f>AVERAGE(J6:J15)</f>
        <v>#DIV/0!</v>
      </c>
      <c r="K16" s="159">
        <f>SUM(K6:K15)</f>
        <v>0</v>
      </c>
      <c r="L16" s="174">
        <f>K16/H16</f>
        <v>0</v>
      </c>
      <c r="M16" s="152">
        <f>SUM(M6:M15)</f>
        <v>0</v>
      </c>
      <c r="N16" s="174">
        <f>M16/G16</f>
        <v>0</v>
      </c>
    </row>
    <row r="17" spans="2:15" s="28" customFormat="1" ht="15" x14ac:dyDescent="0.25">
      <c r="B17" s="145"/>
      <c r="C17" s="146"/>
      <c r="D17" s="168"/>
      <c r="E17" s="168"/>
      <c r="F17" s="168"/>
      <c r="G17" s="168"/>
      <c r="H17" s="148"/>
      <c r="I17" s="147"/>
      <c r="J17" s="147"/>
      <c r="K17" s="148"/>
      <c r="L17" s="149"/>
      <c r="M17" s="147"/>
      <c r="N17" s="149"/>
      <c r="O17" s="147"/>
    </row>
    <row r="18" spans="2:15" ht="45" x14ac:dyDescent="0.25">
      <c r="B18" s="24" t="s">
        <v>76</v>
      </c>
      <c r="C18" s="24" t="s">
        <v>1</v>
      </c>
      <c r="D18" s="189" t="s">
        <v>98</v>
      </c>
      <c r="E18" s="189" t="s">
        <v>244</v>
      </c>
      <c r="F18" s="189" t="s">
        <v>97</v>
      </c>
      <c r="G18" s="189" t="s">
        <v>245</v>
      </c>
      <c r="H18" s="188" t="s">
        <v>77</v>
      </c>
      <c r="J18" s="188" t="s">
        <v>78</v>
      </c>
      <c r="K18" s="191" t="s">
        <v>79</v>
      </c>
      <c r="L18" s="191"/>
      <c r="M18" s="192" t="s">
        <v>80</v>
      </c>
      <c r="N18" s="192"/>
    </row>
    <row r="19" spans="2:15" x14ac:dyDescent="0.25">
      <c r="B19" s="27"/>
      <c r="C19" s="28"/>
      <c r="D19" s="163" t="s">
        <v>81</v>
      </c>
      <c r="E19" s="163" t="s">
        <v>82</v>
      </c>
      <c r="F19" s="163" t="s">
        <v>81</v>
      </c>
      <c r="G19" s="163" t="s">
        <v>82</v>
      </c>
      <c r="H19" s="160" t="s">
        <v>81</v>
      </c>
      <c r="J19" s="171" t="s">
        <v>83</v>
      </c>
      <c r="K19" s="157" t="s">
        <v>81</v>
      </c>
      <c r="L19" s="157" t="s">
        <v>83</v>
      </c>
      <c r="M19" s="157" t="s">
        <v>82</v>
      </c>
      <c r="N19" s="157" t="s">
        <v>83</v>
      </c>
    </row>
    <row r="20" spans="2:15" ht="15" x14ac:dyDescent="0.25">
      <c r="B20" s="25">
        <v>2</v>
      </c>
      <c r="C20" s="26" t="s">
        <v>87</v>
      </c>
      <c r="D20" s="164"/>
      <c r="E20" s="164"/>
      <c r="F20" s="164"/>
      <c r="G20" s="164"/>
      <c r="H20" s="32"/>
      <c r="J20" s="149"/>
      <c r="K20" s="148"/>
      <c r="L20" s="149" t="str">
        <f t="shared" ref="L20:L33" si="4">IF(ISBLANK($K20),"",$K20/$H20)</f>
        <v/>
      </c>
      <c r="M20" s="147"/>
      <c r="N20" s="149" t="str">
        <f t="shared" ref="N20:N33" si="5">IF(ISBLANK($M20),"",$M20/$D20)</f>
        <v/>
      </c>
    </row>
    <row r="21" spans="2:15" ht="15" x14ac:dyDescent="0.25">
      <c r="B21" s="27">
        <f>B20+0.1</f>
        <v>2.1</v>
      </c>
      <c r="C21" s="28" t="s">
        <v>259</v>
      </c>
      <c r="D21" s="172">
        <f>12*150</f>
        <v>1800</v>
      </c>
      <c r="E21" s="177">
        <v>0</v>
      </c>
      <c r="F21" s="172">
        <v>5000</v>
      </c>
      <c r="G21" s="177">
        <v>8</v>
      </c>
      <c r="H21" s="162">
        <f t="shared" ref="H21:H27" si="6">D21+(E21*$D$54)+F21+(G21*$D$55)</f>
        <v>7280</v>
      </c>
      <c r="J21" s="175"/>
      <c r="K21" s="176"/>
      <c r="L21" s="174" t="str">
        <f t="shared" si="4"/>
        <v/>
      </c>
      <c r="M21" s="155"/>
      <c r="N21" s="174" t="str">
        <f t="shared" si="5"/>
        <v/>
      </c>
    </row>
    <row r="22" spans="2:15" ht="15" x14ac:dyDescent="0.25">
      <c r="B22" s="27">
        <f>B21+0.1</f>
        <v>2.2000000000000002</v>
      </c>
      <c r="C22" s="28" t="s">
        <v>239</v>
      </c>
      <c r="D22" s="173">
        <v>0</v>
      </c>
      <c r="E22" s="177">
        <v>0</v>
      </c>
      <c r="F22" s="173">
        <v>1000</v>
      </c>
      <c r="G22" s="177">
        <v>9</v>
      </c>
      <c r="H22" s="162">
        <f t="shared" si="6"/>
        <v>1540</v>
      </c>
      <c r="J22" s="175"/>
      <c r="K22" s="176"/>
      <c r="L22" s="174"/>
      <c r="M22" s="155"/>
      <c r="N22" s="174"/>
    </row>
    <row r="23" spans="2:15" ht="15" x14ac:dyDescent="0.25">
      <c r="B23" s="27">
        <f t="shared" ref="B23:B27" si="7">B22+0.1</f>
        <v>2.3000000000000003</v>
      </c>
      <c r="C23" s="28" t="s">
        <v>240</v>
      </c>
      <c r="D23" s="173">
        <v>150</v>
      </c>
      <c r="E23" s="177">
        <v>4</v>
      </c>
      <c r="F23" s="173">
        <v>100</v>
      </c>
      <c r="G23" s="177">
        <v>1</v>
      </c>
      <c r="H23" s="162">
        <f t="shared" si="6"/>
        <v>510</v>
      </c>
      <c r="J23" s="175"/>
      <c r="K23" s="176"/>
      <c r="L23" s="174" t="str">
        <f t="shared" si="4"/>
        <v/>
      </c>
      <c r="M23" s="155"/>
      <c r="N23" s="174" t="str">
        <f t="shared" si="5"/>
        <v/>
      </c>
    </row>
    <row r="24" spans="2:15" ht="15" x14ac:dyDescent="0.25">
      <c r="B24" s="27">
        <f t="shared" si="7"/>
        <v>2.4000000000000004</v>
      </c>
      <c r="C24" s="28" t="s">
        <v>241</v>
      </c>
      <c r="D24" s="173">
        <v>1000</v>
      </c>
      <c r="E24" s="177">
        <v>4</v>
      </c>
      <c r="F24" s="173">
        <v>50</v>
      </c>
      <c r="G24" s="177">
        <v>6</v>
      </c>
      <c r="H24" s="162">
        <f t="shared" si="6"/>
        <v>1610</v>
      </c>
      <c r="J24" s="175"/>
      <c r="K24" s="176"/>
      <c r="L24" s="174" t="str">
        <f t="shared" si="4"/>
        <v/>
      </c>
      <c r="M24" s="155"/>
      <c r="N24" s="174" t="str">
        <f t="shared" si="5"/>
        <v/>
      </c>
    </row>
    <row r="25" spans="2:15" ht="15" x14ac:dyDescent="0.25">
      <c r="B25" s="27">
        <f t="shared" si="7"/>
        <v>2.5000000000000004</v>
      </c>
      <c r="C25" s="28" t="s">
        <v>258</v>
      </c>
      <c r="D25" s="173">
        <v>1800</v>
      </c>
      <c r="E25" s="177">
        <v>16</v>
      </c>
      <c r="F25" s="173">
        <v>100</v>
      </c>
      <c r="G25" s="177">
        <v>16</v>
      </c>
      <c r="H25" s="162">
        <f t="shared" si="6"/>
        <v>3660</v>
      </c>
      <c r="J25" s="175"/>
      <c r="K25" s="176"/>
      <c r="L25" s="174" t="str">
        <f t="shared" si="4"/>
        <v/>
      </c>
      <c r="M25" s="155"/>
      <c r="N25" s="174" t="str">
        <f t="shared" si="5"/>
        <v/>
      </c>
    </row>
    <row r="26" spans="2:15" ht="15" x14ac:dyDescent="0.25">
      <c r="B26" s="27">
        <f t="shared" si="7"/>
        <v>2.6000000000000005</v>
      </c>
      <c r="C26" s="28" t="s">
        <v>242</v>
      </c>
      <c r="D26" s="173">
        <v>2500</v>
      </c>
      <c r="E26" s="177">
        <v>3</v>
      </c>
      <c r="F26" s="173">
        <v>0</v>
      </c>
      <c r="G26" s="177">
        <v>0</v>
      </c>
      <c r="H26" s="162">
        <f t="shared" si="6"/>
        <v>2650</v>
      </c>
      <c r="J26" s="175"/>
      <c r="K26" s="176"/>
      <c r="L26" s="174"/>
      <c r="M26" s="155"/>
      <c r="N26" s="174" t="str">
        <f t="shared" si="5"/>
        <v/>
      </c>
    </row>
    <row r="27" spans="2:15" ht="15" x14ac:dyDescent="0.25">
      <c r="B27" s="27">
        <f t="shared" si="7"/>
        <v>2.7000000000000006</v>
      </c>
      <c r="C27" s="28" t="s">
        <v>243</v>
      </c>
      <c r="D27" s="173">
        <v>1500</v>
      </c>
      <c r="E27" s="177">
        <v>16</v>
      </c>
      <c r="F27" s="173">
        <v>0</v>
      </c>
      <c r="G27" s="177">
        <v>8</v>
      </c>
      <c r="H27" s="162">
        <f t="shared" si="6"/>
        <v>2780</v>
      </c>
      <c r="J27" s="175"/>
      <c r="K27" s="176"/>
      <c r="L27" s="174"/>
      <c r="M27" s="155"/>
      <c r="N27" s="174" t="str">
        <f t="shared" si="5"/>
        <v/>
      </c>
    </row>
    <row r="28" spans="2:15" x14ac:dyDescent="0.25">
      <c r="B28" s="27"/>
      <c r="C28" s="28"/>
      <c r="D28" s="164"/>
      <c r="E28" s="178"/>
      <c r="F28" s="164"/>
      <c r="G28" s="178"/>
      <c r="H28" s="32"/>
      <c r="J28" s="149"/>
      <c r="K28" s="148"/>
      <c r="L28" s="149" t="str">
        <f t="shared" si="4"/>
        <v/>
      </c>
      <c r="M28" s="147"/>
      <c r="N28" s="149" t="str">
        <f t="shared" si="5"/>
        <v/>
      </c>
    </row>
    <row r="29" spans="2:15" ht="15" x14ac:dyDescent="0.25">
      <c r="B29" s="25">
        <v>3</v>
      </c>
      <c r="C29" s="26" t="s">
        <v>89</v>
      </c>
      <c r="D29" s="164"/>
      <c r="E29" s="178"/>
      <c r="F29" s="164"/>
      <c r="G29" s="178"/>
      <c r="H29" s="32"/>
      <c r="J29" s="149"/>
      <c r="K29" s="148"/>
      <c r="L29" s="149" t="str">
        <f t="shared" si="4"/>
        <v/>
      </c>
      <c r="M29" s="147"/>
      <c r="N29" s="149" t="str">
        <f t="shared" si="5"/>
        <v/>
      </c>
    </row>
    <row r="30" spans="2:15" ht="15" x14ac:dyDescent="0.25">
      <c r="B30" s="27">
        <f>B29+0.1</f>
        <v>3.1</v>
      </c>
      <c r="C30" s="28" t="s">
        <v>261</v>
      </c>
      <c r="D30" s="172">
        <v>2000</v>
      </c>
      <c r="E30" s="177">
        <v>0</v>
      </c>
      <c r="F30" s="172">
        <v>0</v>
      </c>
      <c r="G30" s="177">
        <v>0</v>
      </c>
      <c r="H30" s="162">
        <f>D30+(E30*$D$54)+F30+(G30*$D$55)</f>
        <v>2000</v>
      </c>
      <c r="J30" s="175"/>
      <c r="K30" s="176"/>
      <c r="L30" s="174"/>
      <c r="M30" s="155"/>
      <c r="N30" s="174"/>
    </row>
    <row r="31" spans="2:15" ht="15" x14ac:dyDescent="0.25">
      <c r="B31" s="27">
        <f t="shared" ref="B31:B33" si="8">B30+0.1</f>
        <v>3.2</v>
      </c>
      <c r="C31" s="28" t="s">
        <v>249</v>
      </c>
      <c r="D31" s="172">
        <v>0</v>
      </c>
      <c r="E31" s="177">
        <v>4</v>
      </c>
      <c r="F31" s="172">
        <v>50</v>
      </c>
      <c r="G31" s="177">
        <v>8</v>
      </c>
      <c r="H31" s="162">
        <f>D31+(E31*$D$54)+F31+(G31*$D$55)</f>
        <v>730</v>
      </c>
      <c r="J31" s="175"/>
      <c r="K31" s="176"/>
      <c r="L31" s="174" t="str">
        <f t="shared" si="4"/>
        <v/>
      </c>
      <c r="M31" s="155"/>
      <c r="N31" s="174" t="str">
        <f t="shared" si="5"/>
        <v/>
      </c>
    </row>
    <row r="32" spans="2:15" ht="15" x14ac:dyDescent="0.25">
      <c r="B32" s="27">
        <f t="shared" si="8"/>
        <v>3.3000000000000003</v>
      </c>
      <c r="C32" s="28" t="s">
        <v>250</v>
      </c>
      <c r="D32" s="172">
        <v>0</v>
      </c>
      <c r="E32" s="177">
        <v>0</v>
      </c>
      <c r="F32" s="172">
        <v>50</v>
      </c>
      <c r="G32" s="177">
        <v>12</v>
      </c>
      <c r="H32" s="162">
        <f>D32+(E32*$D$54)+F32+(G32*$D$55)</f>
        <v>770</v>
      </c>
      <c r="J32" s="175"/>
      <c r="K32" s="176"/>
      <c r="L32" s="174" t="str">
        <f t="shared" si="4"/>
        <v/>
      </c>
      <c r="M32" s="155"/>
      <c r="N32" s="174" t="str">
        <f t="shared" si="5"/>
        <v/>
      </c>
    </row>
    <row r="33" spans="2:15" ht="15" x14ac:dyDescent="0.25">
      <c r="B33" s="27">
        <f t="shared" si="8"/>
        <v>3.4000000000000004</v>
      </c>
      <c r="C33" s="28" t="s">
        <v>251</v>
      </c>
      <c r="D33" s="172">
        <v>1000</v>
      </c>
      <c r="E33" s="177">
        <v>4</v>
      </c>
      <c r="F33" s="172">
        <v>50</v>
      </c>
      <c r="G33" s="177">
        <v>25</v>
      </c>
      <c r="H33" s="162">
        <f>D33+(E33*$D$54)+F33+(G33*$D$55)</f>
        <v>2750</v>
      </c>
      <c r="J33" s="175"/>
      <c r="K33" s="176"/>
      <c r="L33" s="174" t="str">
        <f t="shared" si="4"/>
        <v/>
      </c>
      <c r="M33" s="155"/>
      <c r="N33" s="174" t="str">
        <f t="shared" si="5"/>
        <v/>
      </c>
    </row>
    <row r="34" spans="2:15" x14ac:dyDescent="0.25">
      <c r="B34" s="27"/>
      <c r="C34" s="28"/>
      <c r="D34" s="164"/>
      <c r="E34" s="178"/>
      <c r="F34" s="164"/>
      <c r="G34" s="178"/>
      <c r="H34" s="32"/>
      <c r="J34" s="149"/>
      <c r="K34" s="148"/>
      <c r="L34" s="149"/>
      <c r="M34" s="147"/>
      <c r="N34" s="149"/>
    </row>
    <row r="35" spans="2:15" ht="15" x14ac:dyDescent="0.25">
      <c r="B35" s="25">
        <v>4</v>
      </c>
      <c r="C35" s="26" t="s">
        <v>90</v>
      </c>
      <c r="D35" s="164"/>
      <c r="E35" s="178"/>
      <c r="F35" s="164"/>
      <c r="G35" s="178"/>
      <c r="H35" s="32"/>
      <c r="J35" s="149"/>
      <c r="K35" s="148"/>
      <c r="L35" s="149" t="str">
        <f>IF(ISBLANK($K35),"",$K35/$H35)</f>
        <v/>
      </c>
      <c r="M35" s="147"/>
      <c r="N35" s="149" t="str">
        <f>IF(ISBLANK($M35),"",$M35/$D35)</f>
        <v/>
      </c>
    </row>
    <row r="36" spans="2:15" ht="15" x14ac:dyDescent="0.25">
      <c r="B36" s="27">
        <f>B35+0.1</f>
        <v>4.0999999999999996</v>
      </c>
      <c r="C36" s="28" t="s">
        <v>261</v>
      </c>
      <c r="D36" s="161">
        <v>0</v>
      </c>
      <c r="E36" s="177">
        <v>0</v>
      </c>
      <c r="F36" s="161">
        <v>0</v>
      </c>
      <c r="G36" s="177">
        <v>0</v>
      </c>
      <c r="H36" s="162">
        <f>D36+(E36*$D$54)+F36+(G36*$D$55)</f>
        <v>0</v>
      </c>
      <c r="J36" s="175"/>
      <c r="K36" s="176"/>
      <c r="L36" s="174" t="str">
        <f>IF(ISBLANK($K36),"",$K36/$H36)</f>
        <v/>
      </c>
      <c r="M36" s="155"/>
      <c r="N36" s="174" t="str">
        <f>IF(ISBLANK($M36),"",$M36/$D36)</f>
        <v/>
      </c>
    </row>
    <row r="37" spans="2:15" ht="15" x14ac:dyDescent="0.25">
      <c r="B37" s="27">
        <f t="shared" ref="B37:B39" si="9">B36+0.1</f>
        <v>4.1999999999999993</v>
      </c>
      <c r="C37" s="28" t="s">
        <v>254</v>
      </c>
      <c r="D37" s="161">
        <v>0</v>
      </c>
      <c r="E37" s="177"/>
      <c r="F37" s="161"/>
      <c r="G37" s="177"/>
      <c r="H37" s="162">
        <f>D37+(E37*$D$54)+F37+(G37*$D$55)</f>
        <v>0</v>
      </c>
      <c r="J37" s="175"/>
      <c r="K37" s="176"/>
      <c r="L37" s="174" t="str">
        <f>IF(ISBLANK($K37),"",$K37/$H37)</f>
        <v/>
      </c>
      <c r="M37" s="155"/>
      <c r="N37" s="174" t="str">
        <f>IF(ISBLANK($M37),"",$M37/$D37)</f>
        <v/>
      </c>
    </row>
    <row r="38" spans="2:15" ht="15" x14ac:dyDescent="0.25">
      <c r="B38" s="27">
        <f t="shared" si="9"/>
        <v>4.2999999999999989</v>
      </c>
      <c r="C38" s="28" t="s">
        <v>253</v>
      </c>
      <c r="D38" s="161">
        <v>0</v>
      </c>
      <c r="E38" s="177"/>
      <c r="F38" s="161"/>
      <c r="G38" s="177"/>
      <c r="H38" s="162">
        <f>D38+(E38*$D$54)+F38+(G38*$D$55)</f>
        <v>0</v>
      </c>
      <c r="J38" s="175"/>
      <c r="K38" s="176"/>
      <c r="L38" s="174" t="str">
        <f>IF(ISBLANK($K38),"",$K38/$H38)</f>
        <v/>
      </c>
      <c r="M38" s="155"/>
      <c r="N38" s="174" t="str">
        <f>IF(ISBLANK($M38),"",$M38/$D38)</f>
        <v/>
      </c>
    </row>
    <row r="39" spans="2:15" ht="15" x14ac:dyDescent="0.25">
      <c r="B39" s="27">
        <f t="shared" si="9"/>
        <v>4.3999999999999986</v>
      </c>
      <c r="C39" s="28" t="s">
        <v>252</v>
      </c>
      <c r="D39" s="161">
        <v>0</v>
      </c>
      <c r="E39" s="177"/>
      <c r="F39" s="161"/>
      <c r="G39" s="177"/>
      <c r="H39" s="162">
        <f>D39+(E39*$D$54)+F39+(G39*$D$55)</f>
        <v>0</v>
      </c>
      <c r="J39" s="175"/>
      <c r="K39" s="176"/>
      <c r="L39" s="174" t="str">
        <f>IF(ISBLANK($K39),"",$K39/$H39)</f>
        <v/>
      </c>
      <c r="M39" s="155"/>
      <c r="N39" s="174" t="str">
        <f>IF(ISBLANK($M39),"",$M39/$D39)</f>
        <v/>
      </c>
    </row>
    <row r="40" spans="2:15" x14ac:dyDescent="0.25">
      <c r="B40" s="27"/>
      <c r="C40" s="28"/>
      <c r="D40" s="164"/>
      <c r="E40" s="178"/>
      <c r="F40" s="164"/>
      <c r="G40" s="178"/>
      <c r="H40" s="32"/>
      <c r="J40" s="149"/>
      <c r="K40" s="148"/>
      <c r="L40" s="149"/>
      <c r="M40" s="147"/>
      <c r="N40" s="149"/>
    </row>
    <row r="41" spans="2:15" ht="17.25" customHeight="1" x14ac:dyDescent="0.25">
      <c r="B41" s="25">
        <v>5</v>
      </c>
      <c r="C41" s="26" t="s">
        <v>92</v>
      </c>
      <c r="D41" s="164"/>
      <c r="E41" s="178"/>
      <c r="F41" s="164"/>
      <c r="G41" s="178"/>
      <c r="H41" s="32"/>
      <c r="J41" s="149"/>
      <c r="K41" s="148"/>
      <c r="L41" s="149" t="str">
        <f t="shared" ref="L41:L46" si="10">IF(ISBLANK($K41),"",$K41/$H41)</f>
        <v/>
      </c>
      <c r="M41" s="147"/>
      <c r="N41" s="149" t="str">
        <f t="shared" ref="N41:N46" si="11">IF(ISBLANK($M41),"",$M41/$D41)</f>
        <v/>
      </c>
    </row>
    <row r="42" spans="2:15" ht="15" x14ac:dyDescent="0.25">
      <c r="B42" s="27">
        <f t="shared" ref="B42:B46" si="12">B41+0.1</f>
        <v>5.0999999999999996</v>
      </c>
      <c r="C42" s="28" t="s">
        <v>255</v>
      </c>
      <c r="D42" s="172">
        <v>5000</v>
      </c>
      <c r="E42" s="177">
        <v>0</v>
      </c>
      <c r="F42" s="172">
        <v>0</v>
      </c>
      <c r="G42" s="177">
        <v>2</v>
      </c>
      <c r="H42" s="162">
        <f>D42+(E42*$D$54)+F42+(G42*$D$55)</f>
        <v>5120</v>
      </c>
      <c r="J42" s="175"/>
      <c r="K42" s="176"/>
      <c r="L42" s="174" t="str">
        <f t="shared" si="10"/>
        <v/>
      </c>
      <c r="M42" s="155"/>
      <c r="N42" s="174" t="str">
        <f t="shared" si="11"/>
        <v/>
      </c>
    </row>
    <row r="43" spans="2:15" ht="15" x14ac:dyDescent="0.25">
      <c r="B43" s="27">
        <f>B42+0.1</f>
        <v>5.1999999999999993</v>
      </c>
      <c r="C43" s="28" t="s">
        <v>256</v>
      </c>
      <c r="D43" s="172">
        <v>500</v>
      </c>
      <c r="E43" s="177">
        <v>0</v>
      </c>
      <c r="F43" s="172">
        <v>200</v>
      </c>
      <c r="G43" s="177">
        <v>16</v>
      </c>
      <c r="H43" s="162">
        <f>D43+(E43*$D$54)+F43+(G43*$D$55)</f>
        <v>1660</v>
      </c>
      <c r="J43" s="175"/>
      <c r="K43" s="176"/>
      <c r="L43" s="174" t="str">
        <f t="shared" si="10"/>
        <v/>
      </c>
      <c r="M43" s="155"/>
      <c r="N43" s="174" t="str">
        <f t="shared" si="11"/>
        <v/>
      </c>
    </row>
    <row r="44" spans="2:15" ht="15" x14ac:dyDescent="0.25">
      <c r="B44" s="27">
        <f>B42+0.1</f>
        <v>5.1999999999999993</v>
      </c>
      <c r="C44" s="28" t="s">
        <v>260</v>
      </c>
      <c r="D44" s="172">
        <v>0</v>
      </c>
      <c r="E44" s="177">
        <v>0</v>
      </c>
      <c r="F44" s="172">
        <v>200</v>
      </c>
      <c r="G44" s="177">
        <v>8</v>
      </c>
      <c r="H44" s="162">
        <f>D44+(E44*$D$54)+F44+(G44*$D$55)</f>
        <v>680</v>
      </c>
      <c r="J44" s="175"/>
      <c r="K44" s="176"/>
      <c r="L44" s="174" t="str">
        <f t="shared" si="10"/>
        <v/>
      </c>
      <c r="M44" s="155"/>
      <c r="N44" s="174" t="str">
        <f t="shared" si="11"/>
        <v/>
      </c>
    </row>
    <row r="45" spans="2:15" ht="15" x14ac:dyDescent="0.25">
      <c r="B45" s="27">
        <f>B43+0.1</f>
        <v>5.2999999999999989</v>
      </c>
      <c r="C45" s="28" t="s">
        <v>257</v>
      </c>
      <c r="D45" s="172">
        <v>200</v>
      </c>
      <c r="E45" s="177">
        <v>8</v>
      </c>
      <c r="F45" s="172">
        <v>50</v>
      </c>
      <c r="G45" s="177">
        <v>2</v>
      </c>
      <c r="H45" s="162">
        <f>D45+(E45*$D$54)+F45+(G45*$D$55)</f>
        <v>770</v>
      </c>
      <c r="J45" s="175"/>
      <c r="K45" s="176"/>
      <c r="L45" s="174" t="str">
        <f t="shared" si="10"/>
        <v/>
      </c>
      <c r="M45" s="155"/>
      <c r="N45" s="174" t="str">
        <f t="shared" si="11"/>
        <v/>
      </c>
    </row>
    <row r="46" spans="2:15" ht="15" x14ac:dyDescent="0.25">
      <c r="B46" s="27">
        <f t="shared" si="12"/>
        <v>5.3999999999999986</v>
      </c>
      <c r="C46" s="28" t="s">
        <v>249</v>
      </c>
      <c r="D46" s="172">
        <v>1000</v>
      </c>
      <c r="E46" s="177"/>
      <c r="F46" s="172"/>
      <c r="G46" s="177"/>
      <c r="H46" s="162">
        <f>D46+(E46*$D$54)+F46+(G46*$D$55)</f>
        <v>1000</v>
      </c>
      <c r="J46" s="175"/>
      <c r="K46" s="176"/>
      <c r="L46" s="174" t="str">
        <f t="shared" si="10"/>
        <v/>
      </c>
      <c r="M46" s="155"/>
      <c r="N46" s="174" t="str">
        <f t="shared" si="11"/>
        <v/>
      </c>
    </row>
    <row r="47" spans="2:15" x14ac:dyDescent="0.25">
      <c r="B47" s="27"/>
      <c r="C47" s="28"/>
      <c r="D47" s="164"/>
      <c r="E47" s="164"/>
      <c r="F47" s="164"/>
      <c r="G47" s="164"/>
      <c r="H47" s="150"/>
      <c r="J47" s="149"/>
      <c r="K47" s="148"/>
      <c r="L47" s="149"/>
      <c r="M47" s="147"/>
      <c r="N47" s="149"/>
    </row>
    <row r="48" spans="2:15" s="30" customFormat="1" ht="15" x14ac:dyDescent="0.25">
      <c r="B48" s="181"/>
      <c r="C48" s="24" t="s">
        <v>85</v>
      </c>
      <c r="D48" s="182">
        <f>SUM(D21:D47)</f>
        <v>18450</v>
      </c>
      <c r="E48" s="183">
        <f>SUM(E21:E47)</f>
        <v>59</v>
      </c>
      <c r="F48" s="182">
        <f>SUM(F21:F47)</f>
        <v>6850</v>
      </c>
      <c r="G48" s="183">
        <f>SUM(G21:G47)</f>
        <v>121</v>
      </c>
      <c r="H48" s="182">
        <f>SUM(H21:H47)</f>
        <v>35510</v>
      </c>
      <c r="I48" s="31"/>
      <c r="J48" s="184"/>
      <c r="K48" s="185">
        <f>SUM(K6:K47)</f>
        <v>0</v>
      </c>
      <c r="L48" s="186">
        <f>K48/H48</f>
        <v>0</v>
      </c>
      <c r="M48" s="184">
        <f>SUM(M6:M47)</f>
        <v>0</v>
      </c>
      <c r="N48" s="186">
        <f>M48/D48</f>
        <v>0</v>
      </c>
      <c r="O48" s="187"/>
    </row>
    <row r="49" spans="3:7" x14ac:dyDescent="0.25">
      <c r="D49" s="31"/>
      <c r="E49" s="31"/>
      <c r="F49" s="31"/>
      <c r="G49" s="31"/>
    </row>
    <row r="50" spans="3:7" ht="15" x14ac:dyDescent="0.25">
      <c r="C50" s="24" t="s">
        <v>246</v>
      </c>
    </row>
    <row r="51" spans="3:7" ht="15" x14ac:dyDescent="0.25">
      <c r="C51" s="20" t="s">
        <v>86</v>
      </c>
      <c r="D51" s="169">
        <v>150</v>
      </c>
      <c r="E51" s="32"/>
    </row>
    <row r="52" spans="3:7" ht="15" x14ac:dyDescent="0.25">
      <c r="C52" s="20" t="s">
        <v>95</v>
      </c>
      <c r="D52" s="169">
        <v>150</v>
      </c>
      <c r="E52" s="32"/>
    </row>
    <row r="53" spans="3:7" ht="15" x14ac:dyDescent="0.25">
      <c r="C53" s="20" t="s">
        <v>94</v>
      </c>
      <c r="D53" s="169">
        <v>100</v>
      </c>
      <c r="E53" s="32"/>
    </row>
    <row r="54" spans="3:7" ht="15" x14ac:dyDescent="0.25">
      <c r="C54" s="20" t="s">
        <v>248</v>
      </c>
      <c r="D54" s="169">
        <v>50</v>
      </c>
    </row>
    <row r="55" spans="3:7" ht="15" x14ac:dyDescent="0.25">
      <c r="C55" s="20" t="s">
        <v>247</v>
      </c>
      <c r="D55" s="169">
        <v>60</v>
      </c>
    </row>
  </sheetData>
  <mergeCells count="10">
    <mergeCell ref="K4:L4"/>
    <mergeCell ref="M4:N4"/>
    <mergeCell ref="K18:L18"/>
    <mergeCell ref="M18:N18"/>
    <mergeCell ref="D1:H1"/>
    <mergeCell ref="J1:N1"/>
    <mergeCell ref="D2:H3"/>
    <mergeCell ref="J2:N2"/>
    <mergeCell ref="J3:K3"/>
    <mergeCell ref="L3:N3"/>
  </mergeCells>
  <pageMargins left="0.75" right="0.75" top="1" bottom="1" header="0.5" footer="0.5"/>
  <pageSetup paperSize="9" scale="7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2"/>
  <sheetViews>
    <sheetView topLeftCell="A54" workbookViewId="0">
      <selection activeCell="A55" sqref="A55"/>
    </sheetView>
  </sheetViews>
  <sheetFormatPr defaultRowHeight="12.75" x14ac:dyDescent="0.2"/>
  <cols>
    <col min="1" max="1" width="40.28515625" style="38" bestFit="1" customWidth="1"/>
    <col min="2" max="2" width="8" style="38" customWidth="1"/>
    <col min="3" max="3" width="7.5703125" style="38" customWidth="1"/>
    <col min="4" max="4" width="4.85546875" style="38" bestFit="1" customWidth="1"/>
    <col min="5" max="5" width="4" style="38" bestFit="1" customWidth="1"/>
    <col min="6" max="6" width="5.5703125" style="38" bestFit="1" customWidth="1"/>
    <col min="7" max="7" width="8.42578125" style="38" bestFit="1" customWidth="1"/>
    <col min="8" max="8" width="2.5703125" style="38" bestFit="1" customWidth="1"/>
    <col min="9" max="9" width="10.28515625" style="38" bestFit="1" customWidth="1"/>
    <col min="10" max="12" width="12.28515625" style="38" bestFit="1" customWidth="1"/>
    <col min="13" max="13" width="16.7109375" style="38" bestFit="1" customWidth="1"/>
    <col min="14" max="256" width="9.140625" style="38"/>
    <col min="257" max="257" width="40.28515625" style="38" bestFit="1" customWidth="1"/>
    <col min="258" max="258" width="8" style="38" customWidth="1"/>
    <col min="259" max="259" width="7.5703125" style="38" customWidth="1"/>
    <col min="260" max="260" width="4.85546875" style="38" bestFit="1" customWidth="1"/>
    <col min="261" max="261" width="4" style="38" bestFit="1" customWidth="1"/>
    <col min="262" max="262" width="5.5703125" style="38" bestFit="1" customWidth="1"/>
    <col min="263" max="263" width="8.42578125" style="38" bestFit="1" customWidth="1"/>
    <col min="264" max="264" width="2.5703125" style="38" bestFit="1" customWidth="1"/>
    <col min="265" max="265" width="10.28515625" style="38" bestFit="1" customWidth="1"/>
    <col min="266" max="268" width="12.28515625" style="38" bestFit="1" customWidth="1"/>
    <col min="269" max="269" width="16.7109375" style="38" bestFit="1" customWidth="1"/>
    <col min="270" max="512" width="9.140625" style="38"/>
    <col min="513" max="513" width="40.28515625" style="38" bestFit="1" customWidth="1"/>
    <col min="514" max="514" width="8" style="38" customWidth="1"/>
    <col min="515" max="515" width="7.5703125" style="38" customWidth="1"/>
    <col min="516" max="516" width="4.85546875" style="38" bestFit="1" customWidth="1"/>
    <col min="517" max="517" width="4" style="38" bestFit="1" customWidth="1"/>
    <col min="518" max="518" width="5.5703125" style="38" bestFit="1" customWidth="1"/>
    <col min="519" max="519" width="8.42578125" style="38" bestFit="1" customWidth="1"/>
    <col min="520" max="520" width="2.5703125" style="38" bestFit="1" customWidth="1"/>
    <col min="521" max="521" width="10.28515625" style="38" bestFit="1" customWidth="1"/>
    <col min="522" max="524" width="12.28515625" style="38" bestFit="1" customWidth="1"/>
    <col min="525" max="525" width="16.7109375" style="38" bestFit="1" customWidth="1"/>
    <col min="526" max="768" width="9.140625" style="38"/>
    <col min="769" max="769" width="40.28515625" style="38" bestFit="1" customWidth="1"/>
    <col min="770" max="770" width="8" style="38" customWidth="1"/>
    <col min="771" max="771" width="7.5703125" style="38" customWidth="1"/>
    <col min="772" max="772" width="4.85546875" style="38" bestFit="1" customWidth="1"/>
    <col min="773" max="773" width="4" style="38" bestFit="1" customWidth="1"/>
    <col min="774" max="774" width="5.5703125" style="38" bestFit="1" customWidth="1"/>
    <col min="775" max="775" width="8.42578125" style="38" bestFit="1" customWidth="1"/>
    <col min="776" max="776" width="2.5703125" style="38" bestFit="1" customWidth="1"/>
    <col min="777" max="777" width="10.28515625" style="38" bestFit="1" customWidth="1"/>
    <col min="778" max="780" width="12.28515625" style="38" bestFit="1" customWidth="1"/>
    <col min="781" max="781" width="16.7109375" style="38" bestFit="1" customWidth="1"/>
    <col min="782" max="1024" width="9.140625" style="38"/>
    <col min="1025" max="1025" width="40.28515625" style="38" bestFit="1" customWidth="1"/>
    <col min="1026" max="1026" width="8" style="38" customWidth="1"/>
    <col min="1027" max="1027" width="7.5703125" style="38" customWidth="1"/>
    <col min="1028" max="1028" width="4.85546875" style="38" bestFit="1" customWidth="1"/>
    <col min="1029" max="1029" width="4" style="38" bestFit="1" customWidth="1"/>
    <col min="1030" max="1030" width="5.5703125" style="38" bestFit="1" customWidth="1"/>
    <col min="1031" max="1031" width="8.42578125" style="38" bestFit="1" customWidth="1"/>
    <col min="1032" max="1032" width="2.5703125" style="38" bestFit="1" customWidth="1"/>
    <col min="1033" max="1033" width="10.28515625" style="38" bestFit="1" customWidth="1"/>
    <col min="1034" max="1036" width="12.28515625" style="38" bestFit="1" customWidth="1"/>
    <col min="1037" max="1037" width="16.7109375" style="38" bestFit="1" customWidth="1"/>
    <col min="1038" max="1280" width="9.140625" style="38"/>
    <col min="1281" max="1281" width="40.28515625" style="38" bestFit="1" customWidth="1"/>
    <col min="1282" max="1282" width="8" style="38" customWidth="1"/>
    <col min="1283" max="1283" width="7.5703125" style="38" customWidth="1"/>
    <col min="1284" max="1284" width="4.85546875" style="38" bestFit="1" customWidth="1"/>
    <col min="1285" max="1285" width="4" style="38" bestFit="1" customWidth="1"/>
    <col min="1286" max="1286" width="5.5703125" style="38" bestFit="1" customWidth="1"/>
    <col min="1287" max="1287" width="8.42578125" style="38" bestFit="1" customWidth="1"/>
    <col min="1288" max="1288" width="2.5703125" style="38" bestFit="1" customWidth="1"/>
    <col min="1289" max="1289" width="10.28515625" style="38" bestFit="1" customWidth="1"/>
    <col min="1290" max="1292" width="12.28515625" style="38" bestFit="1" customWidth="1"/>
    <col min="1293" max="1293" width="16.7109375" style="38" bestFit="1" customWidth="1"/>
    <col min="1294" max="1536" width="9.140625" style="38"/>
    <col min="1537" max="1537" width="40.28515625" style="38" bestFit="1" customWidth="1"/>
    <col min="1538" max="1538" width="8" style="38" customWidth="1"/>
    <col min="1539" max="1539" width="7.5703125" style="38" customWidth="1"/>
    <col min="1540" max="1540" width="4.85546875" style="38" bestFit="1" customWidth="1"/>
    <col min="1541" max="1541" width="4" style="38" bestFit="1" customWidth="1"/>
    <col min="1542" max="1542" width="5.5703125" style="38" bestFit="1" customWidth="1"/>
    <col min="1543" max="1543" width="8.42578125" style="38" bestFit="1" customWidth="1"/>
    <col min="1544" max="1544" width="2.5703125" style="38" bestFit="1" customWidth="1"/>
    <col min="1545" max="1545" width="10.28515625" style="38" bestFit="1" customWidth="1"/>
    <col min="1546" max="1548" width="12.28515625" style="38" bestFit="1" customWidth="1"/>
    <col min="1549" max="1549" width="16.7109375" style="38" bestFit="1" customWidth="1"/>
    <col min="1550" max="1792" width="9.140625" style="38"/>
    <col min="1793" max="1793" width="40.28515625" style="38" bestFit="1" customWidth="1"/>
    <col min="1794" max="1794" width="8" style="38" customWidth="1"/>
    <col min="1795" max="1795" width="7.5703125" style="38" customWidth="1"/>
    <col min="1796" max="1796" width="4.85546875" style="38" bestFit="1" customWidth="1"/>
    <col min="1797" max="1797" width="4" style="38" bestFit="1" customWidth="1"/>
    <col min="1798" max="1798" width="5.5703125" style="38" bestFit="1" customWidth="1"/>
    <col min="1799" max="1799" width="8.42578125" style="38" bestFit="1" customWidth="1"/>
    <col min="1800" max="1800" width="2.5703125" style="38" bestFit="1" customWidth="1"/>
    <col min="1801" max="1801" width="10.28515625" style="38" bestFit="1" customWidth="1"/>
    <col min="1802" max="1804" width="12.28515625" style="38" bestFit="1" customWidth="1"/>
    <col min="1805" max="1805" width="16.7109375" style="38" bestFit="1" customWidth="1"/>
    <col min="1806" max="2048" width="9.140625" style="38"/>
    <col min="2049" max="2049" width="40.28515625" style="38" bestFit="1" customWidth="1"/>
    <col min="2050" max="2050" width="8" style="38" customWidth="1"/>
    <col min="2051" max="2051" width="7.5703125" style="38" customWidth="1"/>
    <col min="2052" max="2052" width="4.85546875" style="38" bestFit="1" customWidth="1"/>
    <col min="2053" max="2053" width="4" style="38" bestFit="1" customWidth="1"/>
    <col min="2054" max="2054" width="5.5703125" style="38" bestFit="1" customWidth="1"/>
    <col min="2055" max="2055" width="8.42578125" style="38" bestFit="1" customWidth="1"/>
    <col min="2056" max="2056" width="2.5703125" style="38" bestFit="1" customWidth="1"/>
    <col min="2057" max="2057" width="10.28515625" style="38" bestFit="1" customWidth="1"/>
    <col min="2058" max="2060" width="12.28515625" style="38" bestFit="1" customWidth="1"/>
    <col min="2061" max="2061" width="16.7109375" style="38" bestFit="1" customWidth="1"/>
    <col min="2062" max="2304" width="9.140625" style="38"/>
    <col min="2305" max="2305" width="40.28515625" style="38" bestFit="1" customWidth="1"/>
    <col min="2306" max="2306" width="8" style="38" customWidth="1"/>
    <col min="2307" max="2307" width="7.5703125" style="38" customWidth="1"/>
    <col min="2308" max="2308" width="4.85546875" style="38" bestFit="1" customWidth="1"/>
    <col min="2309" max="2309" width="4" style="38" bestFit="1" customWidth="1"/>
    <col min="2310" max="2310" width="5.5703125" style="38" bestFit="1" customWidth="1"/>
    <col min="2311" max="2311" width="8.42578125" style="38" bestFit="1" customWidth="1"/>
    <col min="2312" max="2312" width="2.5703125" style="38" bestFit="1" customWidth="1"/>
    <col min="2313" max="2313" width="10.28515625" style="38" bestFit="1" customWidth="1"/>
    <col min="2314" max="2316" width="12.28515625" style="38" bestFit="1" customWidth="1"/>
    <col min="2317" max="2317" width="16.7109375" style="38" bestFit="1" customWidth="1"/>
    <col min="2318" max="2560" width="9.140625" style="38"/>
    <col min="2561" max="2561" width="40.28515625" style="38" bestFit="1" customWidth="1"/>
    <col min="2562" max="2562" width="8" style="38" customWidth="1"/>
    <col min="2563" max="2563" width="7.5703125" style="38" customWidth="1"/>
    <col min="2564" max="2564" width="4.85546875" style="38" bestFit="1" customWidth="1"/>
    <col min="2565" max="2565" width="4" style="38" bestFit="1" customWidth="1"/>
    <col min="2566" max="2566" width="5.5703125" style="38" bestFit="1" customWidth="1"/>
    <col min="2567" max="2567" width="8.42578125" style="38" bestFit="1" customWidth="1"/>
    <col min="2568" max="2568" width="2.5703125" style="38" bestFit="1" customWidth="1"/>
    <col min="2569" max="2569" width="10.28515625" style="38" bestFit="1" customWidth="1"/>
    <col min="2570" max="2572" width="12.28515625" style="38" bestFit="1" customWidth="1"/>
    <col min="2573" max="2573" width="16.7109375" style="38" bestFit="1" customWidth="1"/>
    <col min="2574" max="2816" width="9.140625" style="38"/>
    <col min="2817" max="2817" width="40.28515625" style="38" bestFit="1" customWidth="1"/>
    <col min="2818" max="2818" width="8" style="38" customWidth="1"/>
    <col min="2819" max="2819" width="7.5703125" style="38" customWidth="1"/>
    <col min="2820" max="2820" width="4.85546875" style="38" bestFit="1" customWidth="1"/>
    <col min="2821" max="2821" width="4" style="38" bestFit="1" customWidth="1"/>
    <col min="2822" max="2822" width="5.5703125" style="38" bestFit="1" customWidth="1"/>
    <col min="2823" max="2823" width="8.42578125" style="38" bestFit="1" customWidth="1"/>
    <col min="2824" max="2824" width="2.5703125" style="38" bestFit="1" customWidth="1"/>
    <col min="2825" max="2825" width="10.28515625" style="38" bestFit="1" customWidth="1"/>
    <col min="2826" max="2828" width="12.28515625" style="38" bestFit="1" customWidth="1"/>
    <col min="2829" max="2829" width="16.7109375" style="38" bestFit="1" customWidth="1"/>
    <col min="2830" max="3072" width="9.140625" style="38"/>
    <col min="3073" max="3073" width="40.28515625" style="38" bestFit="1" customWidth="1"/>
    <col min="3074" max="3074" width="8" style="38" customWidth="1"/>
    <col min="3075" max="3075" width="7.5703125" style="38" customWidth="1"/>
    <col min="3076" max="3076" width="4.85546875" style="38" bestFit="1" customWidth="1"/>
    <col min="3077" max="3077" width="4" style="38" bestFit="1" customWidth="1"/>
    <col min="3078" max="3078" width="5.5703125" style="38" bestFit="1" customWidth="1"/>
    <col min="3079" max="3079" width="8.42578125" style="38" bestFit="1" customWidth="1"/>
    <col min="3080" max="3080" width="2.5703125" style="38" bestFit="1" customWidth="1"/>
    <col min="3081" max="3081" width="10.28515625" style="38" bestFit="1" customWidth="1"/>
    <col min="3082" max="3084" width="12.28515625" style="38" bestFit="1" customWidth="1"/>
    <col min="3085" max="3085" width="16.7109375" style="38" bestFit="1" customWidth="1"/>
    <col min="3086" max="3328" width="9.140625" style="38"/>
    <col min="3329" max="3329" width="40.28515625" style="38" bestFit="1" customWidth="1"/>
    <col min="3330" max="3330" width="8" style="38" customWidth="1"/>
    <col min="3331" max="3331" width="7.5703125" style="38" customWidth="1"/>
    <col min="3332" max="3332" width="4.85546875" style="38" bestFit="1" customWidth="1"/>
    <col min="3333" max="3333" width="4" style="38" bestFit="1" customWidth="1"/>
    <col min="3334" max="3334" width="5.5703125" style="38" bestFit="1" customWidth="1"/>
    <col min="3335" max="3335" width="8.42578125" style="38" bestFit="1" customWidth="1"/>
    <col min="3336" max="3336" width="2.5703125" style="38" bestFit="1" customWidth="1"/>
    <col min="3337" max="3337" width="10.28515625" style="38" bestFit="1" customWidth="1"/>
    <col min="3338" max="3340" width="12.28515625" style="38" bestFit="1" customWidth="1"/>
    <col min="3341" max="3341" width="16.7109375" style="38" bestFit="1" customWidth="1"/>
    <col min="3342" max="3584" width="9.140625" style="38"/>
    <col min="3585" max="3585" width="40.28515625" style="38" bestFit="1" customWidth="1"/>
    <col min="3586" max="3586" width="8" style="38" customWidth="1"/>
    <col min="3587" max="3587" width="7.5703125" style="38" customWidth="1"/>
    <col min="3588" max="3588" width="4.85546875" style="38" bestFit="1" customWidth="1"/>
    <col min="3589" max="3589" width="4" style="38" bestFit="1" customWidth="1"/>
    <col min="3590" max="3590" width="5.5703125" style="38" bestFit="1" customWidth="1"/>
    <col min="3591" max="3591" width="8.42578125" style="38" bestFit="1" customWidth="1"/>
    <col min="3592" max="3592" width="2.5703125" style="38" bestFit="1" customWidth="1"/>
    <col min="3593" max="3593" width="10.28515625" style="38" bestFit="1" customWidth="1"/>
    <col min="3594" max="3596" width="12.28515625" style="38" bestFit="1" customWidth="1"/>
    <col min="3597" max="3597" width="16.7109375" style="38" bestFit="1" customWidth="1"/>
    <col min="3598" max="3840" width="9.140625" style="38"/>
    <col min="3841" max="3841" width="40.28515625" style="38" bestFit="1" customWidth="1"/>
    <col min="3842" max="3842" width="8" style="38" customWidth="1"/>
    <col min="3843" max="3843" width="7.5703125" style="38" customWidth="1"/>
    <col min="3844" max="3844" width="4.85546875" style="38" bestFit="1" customWidth="1"/>
    <col min="3845" max="3845" width="4" style="38" bestFit="1" customWidth="1"/>
    <col min="3846" max="3846" width="5.5703125" style="38" bestFit="1" customWidth="1"/>
    <col min="3847" max="3847" width="8.42578125" style="38" bestFit="1" customWidth="1"/>
    <col min="3848" max="3848" width="2.5703125" style="38" bestFit="1" customWidth="1"/>
    <col min="3849" max="3849" width="10.28515625" style="38" bestFit="1" customWidth="1"/>
    <col min="3850" max="3852" width="12.28515625" style="38" bestFit="1" customWidth="1"/>
    <col min="3853" max="3853" width="16.7109375" style="38" bestFit="1" customWidth="1"/>
    <col min="3854" max="4096" width="9.140625" style="38"/>
    <col min="4097" max="4097" width="40.28515625" style="38" bestFit="1" customWidth="1"/>
    <col min="4098" max="4098" width="8" style="38" customWidth="1"/>
    <col min="4099" max="4099" width="7.5703125" style="38" customWidth="1"/>
    <col min="4100" max="4100" width="4.85546875" style="38" bestFit="1" customWidth="1"/>
    <col min="4101" max="4101" width="4" style="38" bestFit="1" customWidth="1"/>
    <col min="4102" max="4102" width="5.5703125" style="38" bestFit="1" customWidth="1"/>
    <col min="4103" max="4103" width="8.42578125" style="38" bestFit="1" customWidth="1"/>
    <col min="4104" max="4104" width="2.5703125" style="38" bestFit="1" customWidth="1"/>
    <col min="4105" max="4105" width="10.28515625" style="38" bestFit="1" customWidth="1"/>
    <col min="4106" max="4108" width="12.28515625" style="38" bestFit="1" customWidth="1"/>
    <col min="4109" max="4109" width="16.7109375" style="38" bestFit="1" customWidth="1"/>
    <col min="4110" max="4352" width="9.140625" style="38"/>
    <col min="4353" max="4353" width="40.28515625" style="38" bestFit="1" customWidth="1"/>
    <col min="4354" max="4354" width="8" style="38" customWidth="1"/>
    <col min="4355" max="4355" width="7.5703125" style="38" customWidth="1"/>
    <col min="4356" max="4356" width="4.85546875" style="38" bestFit="1" customWidth="1"/>
    <col min="4357" max="4357" width="4" style="38" bestFit="1" customWidth="1"/>
    <col min="4358" max="4358" width="5.5703125" style="38" bestFit="1" customWidth="1"/>
    <col min="4359" max="4359" width="8.42578125" style="38" bestFit="1" customWidth="1"/>
    <col min="4360" max="4360" width="2.5703125" style="38" bestFit="1" customWidth="1"/>
    <col min="4361" max="4361" width="10.28515625" style="38" bestFit="1" customWidth="1"/>
    <col min="4362" max="4364" width="12.28515625" style="38" bestFit="1" customWidth="1"/>
    <col min="4365" max="4365" width="16.7109375" style="38" bestFit="1" customWidth="1"/>
    <col min="4366" max="4608" width="9.140625" style="38"/>
    <col min="4609" max="4609" width="40.28515625" style="38" bestFit="1" customWidth="1"/>
    <col min="4610" max="4610" width="8" style="38" customWidth="1"/>
    <col min="4611" max="4611" width="7.5703125" style="38" customWidth="1"/>
    <col min="4612" max="4612" width="4.85546875" style="38" bestFit="1" customWidth="1"/>
    <col min="4613" max="4613" width="4" style="38" bestFit="1" customWidth="1"/>
    <col min="4614" max="4614" width="5.5703125" style="38" bestFit="1" customWidth="1"/>
    <col min="4615" max="4615" width="8.42578125" style="38" bestFit="1" customWidth="1"/>
    <col min="4616" max="4616" width="2.5703125" style="38" bestFit="1" customWidth="1"/>
    <col min="4617" max="4617" width="10.28515625" style="38" bestFit="1" customWidth="1"/>
    <col min="4618" max="4620" width="12.28515625" style="38" bestFit="1" customWidth="1"/>
    <col min="4621" max="4621" width="16.7109375" style="38" bestFit="1" customWidth="1"/>
    <col min="4622" max="4864" width="9.140625" style="38"/>
    <col min="4865" max="4865" width="40.28515625" style="38" bestFit="1" customWidth="1"/>
    <col min="4866" max="4866" width="8" style="38" customWidth="1"/>
    <col min="4867" max="4867" width="7.5703125" style="38" customWidth="1"/>
    <col min="4868" max="4868" width="4.85546875" style="38" bestFit="1" customWidth="1"/>
    <col min="4869" max="4869" width="4" style="38" bestFit="1" customWidth="1"/>
    <col min="4870" max="4870" width="5.5703125" style="38" bestFit="1" customWidth="1"/>
    <col min="4871" max="4871" width="8.42578125" style="38" bestFit="1" customWidth="1"/>
    <col min="4872" max="4872" width="2.5703125" style="38" bestFit="1" customWidth="1"/>
    <col min="4873" max="4873" width="10.28515625" style="38" bestFit="1" customWidth="1"/>
    <col min="4874" max="4876" width="12.28515625" style="38" bestFit="1" customWidth="1"/>
    <col min="4877" max="4877" width="16.7109375" style="38" bestFit="1" customWidth="1"/>
    <col min="4878" max="5120" width="9.140625" style="38"/>
    <col min="5121" max="5121" width="40.28515625" style="38" bestFit="1" customWidth="1"/>
    <col min="5122" max="5122" width="8" style="38" customWidth="1"/>
    <col min="5123" max="5123" width="7.5703125" style="38" customWidth="1"/>
    <col min="5124" max="5124" width="4.85546875" style="38" bestFit="1" customWidth="1"/>
    <col min="5125" max="5125" width="4" style="38" bestFit="1" customWidth="1"/>
    <col min="5126" max="5126" width="5.5703125" style="38" bestFit="1" customWidth="1"/>
    <col min="5127" max="5127" width="8.42578125" style="38" bestFit="1" customWidth="1"/>
    <col min="5128" max="5128" width="2.5703125" style="38" bestFit="1" customWidth="1"/>
    <col min="5129" max="5129" width="10.28515625" style="38" bestFit="1" customWidth="1"/>
    <col min="5130" max="5132" width="12.28515625" style="38" bestFit="1" customWidth="1"/>
    <col min="5133" max="5133" width="16.7109375" style="38" bestFit="1" customWidth="1"/>
    <col min="5134" max="5376" width="9.140625" style="38"/>
    <col min="5377" max="5377" width="40.28515625" style="38" bestFit="1" customWidth="1"/>
    <col min="5378" max="5378" width="8" style="38" customWidth="1"/>
    <col min="5379" max="5379" width="7.5703125" style="38" customWidth="1"/>
    <col min="5380" max="5380" width="4.85546875" style="38" bestFit="1" customWidth="1"/>
    <col min="5381" max="5381" width="4" style="38" bestFit="1" customWidth="1"/>
    <col min="5382" max="5382" width="5.5703125" style="38" bestFit="1" customWidth="1"/>
    <col min="5383" max="5383" width="8.42578125" style="38" bestFit="1" customWidth="1"/>
    <col min="5384" max="5384" width="2.5703125" style="38" bestFit="1" customWidth="1"/>
    <col min="5385" max="5385" width="10.28515625" style="38" bestFit="1" customWidth="1"/>
    <col min="5386" max="5388" width="12.28515625" style="38" bestFit="1" customWidth="1"/>
    <col min="5389" max="5389" width="16.7109375" style="38" bestFit="1" customWidth="1"/>
    <col min="5390" max="5632" width="9.140625" style="38"/>
    <col min="5633" max="5633" width="40.28515625" style="38" bestFit="1" customWidth="1"/>
    <col min="5634" max="5634" width="8" style="38" customWidth="1"/>
    <col min="5635" max="5635" width="7.5703125" style="38" customWidth="1"/>
    <col min="5636" max="5636" width="4.85546875" style="38" bestFit="1" customWidth="1"/>
    <col min="5637" max="5637" width="4" style="38" bestFit="1" customWidth="1"/>
    <col min="5638" max="5638" width="5.5703125" style="38" bestFit="1" customWidth="1"/>
    <col min="5639" max="5639" width="8.42578125" style="38" bestFit="1" customWidth="1"/>
    <col min="5640" max="5640" width="2.5703125" style="38" bestFit="1" customWidth="1"/>
    <col min="5641" max="5641" width="10.28515625" style="38" bestFit="1" customWidth="1"/>
    <col min="5642" max="5644" width="12.28515625" style="38" bestFit="1" customWidth="1"/>
    <col min="5645" max="5645" width="16.7109375" style="38" bestFit="1" customWidth="1"/>
    <col min="5646" max="5888" width="9.140625" style="38"/>
    <col min="5889" max="5889" width="40.28515625" style="38" bestFit="1" customWidth="1"/>
    <col min="5890" max="5890" width="8" style="38" customWidth="1"/>
    <col min="5891" max="5891" width="7.5703125" style="38" customWidth="1"/>
    <col min="5892" max="5892" width="4.85546875" style="38" bestFit="1" customWidth="1"/>
    <col min="5893" max="5893" width="4" style="38" bestFit="1" customWidth="1"/>
    <col min="5894" max="5894" width="5.5703125" style="38" bestFit="1" customWidth="1"/>
    <col min="5895" max="5895" width="8.42578125" style="38" bestFit="1" customWidth="1"/>
    <col min="5896" max="5896" width="2.5703125" style="38" bestFit="1" customWidth="1"/>
    <col min="5897" max="5897" width="10.28515625" style="38" bestFit="1" customWidth="1"/>
    <col min="5898" max="5900" width="12.28515625" style="38" bestFit="1" customWidth="1"/>
    <col min="5901" max="5901" width="16.7109375" style="38" bestFit="1" customWidth="1"/>
    <col min="5902" max="6144" width="9.140625" style="38"/>
    <col min="6145" max="6145" width="40.28515625" style="38" bestFit="1" customWidth="1"/>
    <col min="6146" max="6146" width="8" style="38" customWidth="1"/>
    <col min="6147" max="6147" width="7.5703125" style="38" customWidth="1"/>
    <col min="6148" max="6148" width="4.85546875" style="38" bestFit="1" customWidth="1"/>
    <col min="6149" max="6149" width="4" style="38" bestFit="1" customWidth="1"/>
    <col min="6150" max="6150" width="5.5703125" style="38" bestFit="1" customWidth="1"/>
    <col min="6151" max="6151" width="8.42578125" style="38" bestFit="1" customWidth="1"/>
    <col min="6152" max="6152" width="2.5703125" style="38" bestFit="1" customWidth="1"/>
    <col min="6153" max="6153" width="10.28515625" style="38" bestFit="1" customWidth="1"/>
    <col min="6154" max="6156" width="12.28515625" style="38" bestFit="1" customWidth="1"/>
    <col min="6157" max="6157" width="16.7109375" style="38" bestFit="1" customWidth="1"/>
    <col min="6158" max="6400" width="9.140625" style="38"/>
    <col min="6401" max="6401" width="40.28515625" style="38" bestFit="1" customWidth="1"/>
    <col min="6402" max="6402" width="8" style="38" customWidth="1"/>
    <col min="6403" max="6403" width="7.5703125" style="38" customWidth="1"/>
    <col min="6404" max="6404" width="4.85546875" style="38" bestFit="1" customWidth="1"/>
    <col min="6405" max="6405" width="4" style="38" bestFit="1" customWidth="1"/>
    <col min="6406" max="6406" width="5.5703125" style="38" bestFit="1" customWidth="1"/>
    <col min="6407" max="6407" width="8.42578125" style="38" bestFit="1" customWidth="1"/>
    <col min="6408" max="6408" width="2.5703125" style="38" bestFit="1" customWidth="1"/>
    <col min="6409" max="6409" width="10.28515625" style="38" bestFit="1" customWidth="1"/>
    <col min="6410" max="6412" width="12.28515625" style="38" bestFit="1" customWidth="1"/>
    <col min="6413" max="6413" width="16.7109375" style="38" bestFit="1" customWidth="1"/>
    <col min="6414" max="6656" width="9.140625" style="38"/>
    <col min="6657" max="6657" width="40.28515625" style="38" bestFit="1" customWidth="1"/>
    <col min="6658" max="6658" width="8" style="38" customWidth="1"/>
    <col min="6659" max="6659" width="7.5703125" style="38" customWidth="1"/>
    <col min="6660" max="6660" width="4.85546875" style="38" bestFit="1" customWidth="1"/>
    <col min="6661" max="6661" width="4" style="38" bestFit="1" customWidth="1"/>
    <col min="6662" max="6662" width="5.5703125" style="38" bestFit="1" customWidth="1"/>
    <col min="6663" max="6663" width="8.42578125" style="38" bestFit="1" customWidth="1"/>
    <col min="6664" max="6664" width="2.5703125" style="38" bestFit="1" customWidth="1"/>
    <col min="6665" max="6665" width="10.28515625" style="38" bestFit="1" customWidth="1"/>
    <col min="6666" max="6668" width="12.28515625" style="38" bestFit="1" customWidth="1"/>
    <col min="6669" max="6669" width="16.7109375" style="38" bestFit="1" customWidth="1"/>
    <col min="6670" max="6912" width="9.140625" style="38"/>
    <col min="6913" max="6913" width="40.28515625" style="38" bestFit="1" customWidth="1"/>
    <col min="6914" max="6914" width="8" style="38" customWidth="1"/>
    <col min="6915" max="6915" width="7.5703125" style="38" customWidth="1"/>
    <col min="6916" max="6916" width="4.85546875" style="38" bestFit="1" customWidth="1"/>
    <col min="6917" max="6917" width="4" style="38" bestFit="1" customWidth="1"/>
    <col min="6918" max="6918" width="5.5703125" style="38" bestFit="1" customWidth="1"/>
    <col min="6919" max="6919" width="8.42578125" style="38" bestFit="1" customWidth="1"/>
    <col min="6920" max="6920" width="2.5703125" style="38" bestFit="1" customWidth="1"/>
    <col min="6921" max="6921" width="10.28515625" style="38" bestFit="1" customWidth="1"/>
    <col min="6922" max="6924" width="12.28515625" style="38" bestFit="1" customWidth="1"/>
    <col min="6925" max="6925" width="16.7109375" style="38" bestFit="1" customWidth="1"/>
    <col min="6926" max="7168" width="9.140625" style="38"/>
    <col min="7169" max="7169" width="40.28515625" style="38" bestFit="1" customWidth="1"/>
    <col min="7170" max="7170" width="8" style="38" customWidth="1"/>
    <col min="7171" max="7171" width="7.5703125" style="38" customWidth="1"/>
    <col min="7172" max="7172" width="4.85546875" style="38" bestFit="1" customWidth="1"/>
    <col min="7173" max="7173" width="4" style="38" bestFit="1" customWidth="1"/>
    <col min="7174" max="7174" width="5.5703125" style="38" bestFit="1" customWidth="1"/>
    <col min="7175" max="7175" width="8.42578125" style="38" bestFit="1" customWidth="1"/>
    <col min="7176" max="7176" width="2.5703125" style="38" bestFit="1" customWidth="1"/>
    <col min="7177" max="7177" width="10.28515625" style="38" bestFit="1" customWidth="1"/>
    <col min="7178" max="7180" width="12.28515625" style="38" bestFit="1" customWidth="1"/>
    <col min="7181" max="7181" width="16.7109375" style="38" bestFit="1" customWidth="1"/>
    <col min="7182" max="7424" width="9.140625" style="38"/>
    <col min="7425" max="7425" width="40.28515625" style="38" bestFit="1" customWidth="1"/>
    <col min="7426" max="7426" width="8" style="38" customWidth="1"/>
    <col min="7427" max="7427" width="7.5703125" style="38" customWidth="1"/>
    <col min="7428" max="7428" width="4.85546875" style="38" bestFit="1" customWidth="1"/>
    <col min="7429" max="7429" width="4" style="38" bestFit="1" customWidth="1"/>
    <col min="7430" max="7430" width="5.5703125" style="38" bestFit="1" customWidth="1"/>
    <col min="7431" max="7431" width="8.42578125" style="38" bestFit="1" customWidth="1"/>
    <col min="7432" max="7432" width="2.5703125" style="38" bestFit="1" customWidth="1"/>
    <col min="7433" max="7433" width="10.28515625" style="38" bestFit="1" customWidth="1"/>
    <col min="7434" max="7436" width="12.28515625" style="38" bestFit="1" customWidth="1"/>
    <col min="7437" max="7437" width="16.7109375" style="38" bestFit="1" customWidth="1"/>
    <col min="7438" max="7680" width="9.140625" style="38"/>
    <col min="7681" max="7681" width="40.28515625" style="38" bestFit="1" customWidth="1"/>
    <col min="7682" max="7682" width="8" style="38" customWidth="1"/>
    <col min="7683" max="7683" width="7.5703125" style="38" customWidth="1"/>
    <col min="7684" max="7684" width="4.85546875" style="38" bestFit="1" customWidth="1"/>
    <col min="7685" max="7685" width="4" style="38" bestFit="1" customWidth="1"/>
    <col min="7686" max="7686" width="5.5703125" style="38" bestFit="1" customWidth="1"/>
    <col min="7687" max="7687" width="8.42578125" style="38" bestFit="1" customWidth="1"/>
    <col min="7688" max="7688" width="2.5703125" style="38" bestFit="1" customWidth="1"/>
    <col min="7689" max="7689" width="10.28515625" style="38" bestFit="1" customWidth="1"/>
    <col min="7690" max="7692" width="12.28515625" style="38" bestFit="1" customWidth="1"/>
    <col min="7693" max="7693" width="16.7109375" style="38" bestFit="1" customWidth="1"/>
    <col min="7694" max="7936" width="9.140625" style="38"/>
    <col min="7937" max="7937" width="40.28515625" style="38" bestFit="1" customWidth="1"/>
    <col min="7938" max="7938" width="8" style="38" customWidth="1"/>
    <col min="7939" max="7939" width="7.5703125" style="38" customWidth="1"/>
    <col min="7940" max="7940" width="4.85546875" style="38" bestFit="1" customWidth="1"/>
    <col min="7941" max="7941" width="4" style="38" bestFit="1" customWidth="1"/>
    <col min="7942" max="7942" width="5.5703125" style="38" bestFit="1" customWidth="1"/>
    <col min="7943" max="7943" width="8.42578125" style="38" bestFit="1" customWidth="1"/>
    <col min="7944" max="7944" width="2.5703125" style="38" bestFit="1" customWidth="1"/>
    <col min="7945" max="7945" width="10.28515625" style="38" bestFit="1" customWidth="1"/>
    <col min="7946" max="7948" width="12.28515625" style="38" bestFit="1" customWidth="1"/>
    <col min="7949" max="7949" width="16.7109375" style="38" bestFit="1" customWidth="1"/>
    <col min="7950" max="8192" width="9.140625" style="38"/>
    <col min="8193" max="8193" width="40.28515625" style="38" bestFit="1" customWidth="1"/>
    <col min="8194" max="8194" width="8" style="38" customWidth="1"/>
    <col min="8195" max="8195" width="7.5703125" style="38" customWidth="1"/>
    <col min="8196" max="8196" width="4.85546875" style="38" bestFit="1" customWidth="1"/>
    <col min="8197" max="8197" width="4" style="38" bestFit="1" customWidth="1"/>
    <col min="8198" max="8198" width="5.5703125" style="38" bestFit="1" customWidth="1"/>
    <col min="8199" max="8199" width="8.42578125" style="38" bestFit="1" customWidth="1"/>
    <col min="8200" max="8200" width="2.5703125" style="38" bestFit="1" customWidth="1"/>
    <col min="8201" max="8201" width="10.28515625" style="38" bestFit="1" customWidth="1"/>
    <col min="8202" max="8204" width="12.28515625" style="38" bestFit="1" customWidth="1"/>
    <col min="8205" max="8205" width="16.7109375" style="38" bestFit="1" customWidth="1"/>
    <col min="8206" max="8448" width="9.140625" style="38"/>
    <col min="8449" max="8449" width="40.28515625" style="38" bestFit="1" customWidth="1"/>
    <col min="8450" max="8450" width="8" style="38" customWidth="1"/>
    <col min="8451" max="8451" width="7.5703125" style="38" customWidth="1"/>
    <col min="8452" max="8452" width="4.85546875" style="38" bestFit="1" customWidth="1"/>
    <col min="8453" max="8453" width="4" style="38" bestFit="1" customWidth="1"/>
    <col min="8454" max="8454" width="5.5703125" style="38" bestFit="1" customWidth="1"/>
    <col min="8455" max="8455" width="8.42578125" style="38" bestFit="1" customWidth="1"/>
    <col min="8456" max="8456" width="2.5703125" style="38" bestFit="1" customWidth="1"/>
    <col min="8457" max="8457" width="10.28515625" style="38" bestFit="1" customWidth="1"/>
    <col min="8458" max="8460" width="12.28515625" style="38" bestFit="1" customWidth="1"/>
    <col min="8461" max="8461" width="16.7109375" style="38" bestFit="1" customWidth="1"/>
    <col min="8462" max="8704" width="9.140625" style="38"/>
    <col min="8705" max="8705" width="40.28515625" style="38" bestFit="1" customWidth="1"/>
    <col min="8706" max="8706" width="8" style="38" customWidth="1"/>
    <col min="8707" max="8707" width="7.5703125" style="38" customWidth="1"/>
    <col min="8708" max="8708" width="4.85546875" style="38" bestFit="1" customWidth="1"/>
    <col min="8709" max="8709" width="4" style="38" bestFit="1" customWidth="1"/>
    <col min="8710" max="8710" width="5.5703125" style="38" bestFit="1" customWidth="1"/>
    <col min="8711" max="8711" width="8.42578125" style="38" bestFit="1" customWidth="1"/>
    <col min="8712" max="8712" width="2.5703125" style="38" bestFit="1" customWidth="1"/>
    <col min="8713" max="8713" width="10.28515625" style="38" bestFit="1" customWidth="1"/>
    <col min="8714" max="8716" width="12.28515625" style="38" bestFit="1" customWidth="1"/>
    <col min="8717" max="8717" width="16.7109375" style="38" bestFit="1" customWidth="1"/>
    <col min="8718" max="8960" width="9.140625" style="38"/>
    <col min="8961" max="8961" width="40.28515625" style="38" bestFit="1" customWidth="1"/>
    <col min="8962" max="8962" width="8" style="38" customWidth="1"/>
    <col min="8963" max="8963" width="7.5703125" style="38" customWidth="1"/>
    <col min="8964" max="8964" width="4.85546875" style="38" bestFit="1" customWidth="1"/>
    <col min="8965" max="8965" width="4" style="38" bestFit="1" customWidth="1"/>
    <col min="8966" max="8966" width="5.5703125" style="38" bestFit="1" customWidth="1"/>
    <col min="8967" max="8967" width="8.42578125" style="38" bestFit="1" customWidth="1"/>
    <col min="8968" max="8968" width="2.5703125" style="38" bestFit="1" customWidth="1"/>
    <col min="8969" max="8969" width="10.28515625" style="38" bestFit="1" customWidth="1"/>
    <col min="8970" max="8972" width="12.28515625" style="38" bestFit="1" customWidth="1"/>
    <col min="8973" max="8973" width="16.7109375" style="38" bestFit="1" customWidth="1"/>
    <col min="8974" max="9216" width="9.140625" style="38"/>
    <col min="9217" max="9217" width="40.28515625" style="38" bestFit="1" customWidth="1"/>
    <col min="9218" max="9218" width="8" style="38" customWidth="1"/>
    <col min="9219" max="9219" width="7.5703125" style="38" customWidth="1"/>
    <col min="9220" max="9220" width="4.85546875" style="38" bestFit="1" customWidth="1"/>
    <col min="9221" max="9221" width="4" style="38" bestFit="1" customWidth="1"/>
    <col min="9222" max="9222" width="5.5703125" style="38" bestFit="1" customWidth="1"/>
    <col min="9223" max="9223" width="8.42578125" style="38" bestFit="1" customWidth="1"/>
    <col min="9224" max="9224" width="2.5703125" style="38" bestFit="1" customWidth="1"/>
    <col min="9225" max="9225" width="10.28515625" style="38" bestFit="1" customWidth="1"/>
    <col min="9226" max="9228" width="12.28515625" style="38" bestFit="1" customWidth="1"/>
    <col min="9229" max="9229" width="16.7109375" style="38" bestFit="1" customWidth="1"/>
    <col min="9230" max="9472" width="9.140625" style="38"/>
    <col min="9473" max="9473" width="40.28515625" style="38" bestFit="1" customWidth="1"/>
    <col min="9474" max="9474" width="8" style="38" customWidth="1"/>
    <col min="9475" max="9475" width="7.5703125" style="38" customWidth="1"/>
    <col min="9476" max="9476" width="4.85546875" style="38" bestFit="1" customWidth="1"/>
    <col min="9477" max="9477" width="4" style="38" bestFit="1" customWidth="1"/>
    <col min="9478" max="9478" width="5.5703125" style="38" bestFit="1" customWidth="1"/>
    <col min="9479" max="9479" width="8.42578125" style="38" bestFit="1" customWidth="1"/>
    <col min="9480" max="9480" width="2.5703125" style="38" bestFit="1" customWidth="1"/>
    <col min="9481" max="9481" width="10.28515625" style="38" bestFit="1" customWidth="1"/>
    <col min="9482" max="9484" width="12.28515625" style="38" bestFit="1" customWidth="1"/>
    <col min="9485" max="9485" width="16.7109375" style="38" bestFit="1" customWidth="1"/>
    <col min="9486" max="9728" width="9.140625" style="38"/>
    <col min="9729" max="9729" width="40.28515625" style="38" bestFit="1" customWidth="1"/>
    <col min="9730" max="9730" width="8" style="38" customWidth="1"/>
    <col min="9731" max="9731" width="7.5703125" style="38" customWidth="1"/>
    <col min="9732" max="9732" width="4.85546875" style="38" bestFit="1" customWidth="1"/>
    <col min="9733" max="9733" width="4" style="38" bestFit="1" customWidth="1"/>
    <col min="9734" max="9734" width="5.5703125" style="38" bestFit="1" customWidth="1"/>
    <col min="9735" max="9735" width="8.42578125" style="38" bestFit="1" customWidth="1"/>
    <col min="9736" max="9736" width="2.5703125" style="38" bestFit="1" customWidth="1"/>
    <col min="9737" max="9737" width="10.28515625" style="38" bestFit="1" customWidth="1"/>
    <col min="9738" max="9740" width="12.28515625" style="38" bestFit="1" customWidth="1"/>
    <col min="9741" max="9741" width="16.7109375" style="38" bestFit="1" customWidth="1"/>
    <col min="9742" max="9984" width="9.140625" style="38"/>
    <col min="9985" max="9985" width="40.28515625" style="38" bestFit="1" customWidth="1"/>
    <col min="9986" max="9986" width="8" style="38" customWidth="1"/>
    <col min="9987" max="9987" width="7.5703125" style="38" customWidth="1"/>
    <col min="9988" max="9988" width="4.85546875" style="38" bestFit="1" customWidth="1"/>
    <col min="9989" max="9989" width="4" style="38" bestFit="1" customWidth="1"/>
    <col min="9990" max="9990" width="5.5703125" style="38" bestFit="1" customWidth="1"/>
    <col min="9991" max="9991" width="8.42578125" style="38" bestFit="1" customWidth="1"/>
    <col min="9992" max="9992" width="2.5703125" style="38" bestFit="1" customWidth="1"/>
    <col min="9993" max="9993" width="10.28515625" style="38" bestFit="1" customWidth="1"/>
    <col min="9994" max="9996" width="12.28515625" style="38" bestFit="1" customWidth="1"/>
    <col min="9997" max="9997" width="16.7109375" style="38" bestFit="1" customWidth="1"/>
    <col min="9998" max="10240" width="9.140625" style="38"/>
    <col min="10241" max="10241" width="40.28515625" style="38" bestFit="1" customWidth="1"/>
    <col min="10242" max="10242" width="8" style="38" customWidth="1"/>
    <col min="10243" max="10243" width="7.5703125" style="38" customWidth="1"/>
    <col min="10244" max="10244" width="4.85546875" style="38" bestFit="1" customWidth="1"/>
    <col min="10245" max="10245" width="4" style="38" bestFit="1" customWidth="1"/>
    <col min="10246" max="10246" width="5.5703125" style="38" bestFit="1" customWidth="1"/>
    <col min="10247" max="10247" width="8.42578125" style="38" bestFit="1" customWidth="1"/>
    <col min="10248" max="10248" width="2.5703125" style="38" bestFit="1" customWidth="1"/>
    <col min="10249" max="10249" width="10.28515625" style="38" bestFit="1" customWidth="1"/>
    <col min="10250" max="10252" width="12.28515625" style="38" bestFit="1" customWidth="1"/>
    <col min="10253" max="10253" width="16.7109375" style="38" bestFit="1" customWidth="1"/>
    <col min="10254" max="10496" width="9.140625" style="38"/>
    <col min="10497" max="10497" width="40.28515625" style="38" bestFit="1" customWidth="1"/>
    <col min="10498" max="10498" width="8" style="38" customWidth="1"/>
    <col min="10499" max="10499" width="7.5703125" style="38" customWidth="1"/>
    <col min="10500" max="10500" width="4.85546875" style="38" bestFit="1" customWidth="1"/>
    <col min="10501" max="10501" width="4" style="38" bestFit="1" customWidth="1"/>
    <col min="10502" max="10502" width="5.5703125" style="38" bestFit="1" customWidth="1"/>
    <col min="10503" max="10503" width="8.42578125" style="38" bestFit="1" customWidth="1"/>
    <col min="10504" max="10504" width="2.5703125" style="38" bestFit="1" customWidth="1"/>
    <col min="10505" max="10505" width="10.28515625" style="38" bestFit="1" customWidth="1"/>
    <col min="10506" max="10508" width="12.28515625" style="38" bestFit="1" customWidth="1"/>
    <col min="10509" max="10509" width="16.7109375" style="38" bestFit="1" customWidth="1"/>
    <col min="10510" max="10752" width="9.140625" style="38"/>
    <col min="10753" max="10753" width="40.28515625" style="38" bestFit="1" customWidth="1"/>
    <col min="10754" max="10754" width="8" style="38" customWidth="1"/>
    <col min="10755" max="10755" width="7.5703125" style="38" customWidth="1"/>
    <col min="10756" max="10756" width="4.85546875" style="38" bestFit="1" customWidth="1"/>
    <col min="10757" max="10757" width="4" style="38" bestFit="1" customWidth="1"/>
    <col min="10758" max="10758" width="5.5703125" style="38" bestFit="1" customWidth="1"/>
    <col min="10759" max="10759" width="8.42578125" style="38" bestFit="1" customWidth="1"/>
    <col min="10760" max="10760" width="2.5703125" style="38" bestFit="1" customWidth="1"/>
    <col min="10761" max="10761" width="10.28515625" style="38" bestFit="1" customWidth="1"/>
    <col min="10762" max="10764" width="12.28515625" style="38" bestFit="1" customWidth="1"/>
    <col min="10765" max="10765" width="16.7109375" style="38" bestFit="1" customWidth="1"/>
    <col min="10766" max="11008" width="9.140625" style="38"/>
    <col min="11009" max="11009" width="40.28515625" style="38" bestFit="1" customWidth="1"/>
    <col min="11010" max="11010" width="8" style="38" customWidth="1"/>
    <col min="11011" max="11011" width="7.5703125" style="38" customWidth="1"/>
    <col min="11012" max="11012" width="4.85546875" style="38" bestFit="1" customWidth="1"/>
    <col min="11013" max="11013" width="4" style="38" bestFit="1" customWidth="1"/>
    <col min="11014" max="11014" width="5.5703125" style="38" bestFit="1" customWidth="1"/>
    <col min="11015" max="11015" width="8.42578125" style="38" bestFit="1" customWidth="1"/>
    <col min="11016" max="11016" width="2.5703125" style="38" bestFit="1" customWidth="1"/>
    <col min="11017" max="11017" width="10.28515625" style="38" bestFit="1" customWidth="1"/>
    <col min="11018" max="11020" width="12.28515625" style="38" bestFit="1" customWidth="1"/>
    <col min="11021" max="11021" width="16.7109375" style="38" bestFit="1" customWidth="1"/>
    <col min="11022" max="11264" width="9.140625" style="38"/>
    <col min="11265" max="11265" width="40.28515625" style="38" bestFit="1" customWidth="1"/>
    <col min="11266" max="11266" width="8" style="38" customWidth="1"/>
    <col min="11267" max="11267" width="7.5703125" style="38" customWidth="1"/>
    <col min="11268" max="11268" width="4.85546875" style="38" bestFit="1" customWidth="1"/>
    <col min="11269" max="11269" width="4" style="38" bestFit="1" customWidth="1"/>
    <col min="11270" max="11270" width="5.5703125" style="38" bestFit="1" customWidth="1"/>
    <col min="11271" max="11271" width="8.42578125" style="38" bestFit="1" customWidth="1"/>
    <col min="11272" max="11272" width="2.5703125" style="38" bestFit="1" customWidth="1"/>
    <col min="11273" max="11273" width="10.28515625" style="38" bestFit="1" customWidth="1"/>
    <col min="11274" max="11276" width="12.28515625" style="38" bestFit="1" customWidth="1"/>
    <col min="11277" max="11277" width="16.7109375" style="38" bestFit="1" customWidth="1"/>
    <col min="11278" max="11520" width="9.140625" style="38"/>
    <col min="11521" max="11521" width="40.28515625" style="38" bestFit="1" customWidth="1"/>
    <col min="11522" max="11522" width="8" style="38" customWidth="1"/>
    <col min="11523" max="11523" width="7.5703125" style="38" customWidth="1"/>
    <col min="11524" max="11524" width="4.85546875" style="38" bestFit="1" customWidth="1"/>
    <col min="11525" max="11525" width="4" style="38" bestFit="1" customWidth="1"/>
    <col min="11526" max="11526" width="5.5703125" style="38" bestFit="1" customWidth="1"/>
    <col min="11527" max="11527" width="8.42578125" style="38" bestFit="1" customWidth="1"/>
    <col min="11528" max="11528" width="2.5703125" style="38" bestFit="1" customWidth="1"/>
    <col min="11529" max="11529" width="10.28515625" style="38" bestFit="1" customWidth="1"/>
    <col min="11530" max="11532" width="12.28515625" style="38" bestFit="1" customWidth="1"/>
    <col min="11533" max="11533" width="16.7109375" style="38" bestFit="1" customWidth="1"/>
    <col min="11534" max="11776" width="9.140625" style="38"/>
    <col min="11777" max="11777" width="40.28515625" style="38" bestFit="1" customWidth="1"/>
    <col min="11778" max="11778" width="8" style="38" customWidth="1"/>
    <col min="11779" max="11779" width="7.5703125" style="38" customWidth="1"/>
    <col min="11780" max="11780" width="4.85546875" style="38" bestFit="1" customWidth="1"/>
    <col min="11781" max="11781" width="4" style="38" bestFit="1" customWidth="1"/>
    <col min="11782" max="11782" width="5.5703125" style="38" bestFit="1" customWidth="1"/>
    <col min="11783" max="11783" width="8.42578125" style="38" bestFit="1" customWidth="1"/>
    <col min="11784" max="11784" width="2.5703125" style="38" bestFit="1" customWidth="1"/>
    <col min="11785" max="11785" width="10.28515625" style="38" bestFit="1" customWidth="1"/>
    <col min="11786" max="11788" width="12.28515625" style="38" bestFit="1" customWidth="1"/>
    <col min="11789" max="11789" width="16.7109375" style="38" bestFit="1" customWidth="1"/>
    <col min="11790" max="12032" width="9.140625" style="38"/>
    <col min="12033" max="12033" width="40.28515625" style="38" bestFit="1" customWidth="1"/>
    <col min="12034" max="12034" width="8" style="38" customWidth="1"/>
    <col min="12035" max="12035" width="7.5703125" style="38" customWidth="1"/>
    <col min="12036" max="12036" width="4.85546875" style="38" bestFit="1" customWidth="1"/>
    <col min="12037" max="12037" width="4" style="38" bestFit="1" customWidth="1"/>
    <col min="12038" max="12038" width="5.5703125" style="38" bestFit="1" customWidth="1"/>
    <col min="12039" max="12039" width="8.42578125" style="38" bestFit="1" customWidth="1"/>
    <col min="12040" max="12040" width="2.5703125" style="38" bestFit="1" customWidth="1"/>
    <col min="12041" max="12041" width="10.28515625" style="38" bestFit="1" customWidth="1"/>
    <col min="12042" max="12044" width="12.28515625" style="38" bestFit="1" customWidth="1"/>
    <col min="12045" max="12045" width="16.7109375" style="38" bestFit="1" customWidth="1"/>
    <col min="12046" max="12288" width="9.140625" style="38"/>
    <col min="12289" max="12289" width="40.28515625" style="38" bestFit="1" customWidth="1"/>
    <col min="12290" max="12290" width="8" style="38" customWidth="1"/>
    <col min="12291" max="12291" width="7.5703125" style="38" customWidth="1"/>
    <col min="12292" max="12292" width="4.85546875" style="38" bestFit="1" customWidth="1"/>
    <col min="12293" max="12293" width="4" style="38" bestFit="1" customWidth="1"/>
    <col min="12294" max="12294" width="5.5703125" style="38" bestFit="1" customWidth="1"/>
    <col min="12295" max="12295" width="8.42578125" style="38" bestFit="1" customWidth="1"/>
    <col min="12296" max="12296" width="2.5703125" style="38" bestFit="1" customWidth="1"/>
    <col min="12297" max="12297" width="10.28515625" style="38" bestFit="1" customWidth="1"/>
    <col min="12298" max="12300" width="12.28515625" style="38" bestFit="1" customWidth="1"/>
    <col min="12301" max="12301" width="16.7109375" style="38" bestFit="1" customWidth="1"/>
    <col min="12302" max="12544" width="9.140625" style="38"/>
    <col min="12545" max="12545" width="40.28515625" style="38" bestFit="1" customWidth="1"/>
    <col min="12546" max="12546" width="8" style="38" customWidth="1"/>
    <col min="12547" max="12547" width="7.5703125" style="38" customWidth="1"/>
    <col min="12548" max="12548" width="4.85546875" style="38" bestFit="1" customWidth="1"/>
    <col min="12549" max="12549" width="4" style="38" bestFit="1" customWidth="1"/>
    <col min="12550" max="12550" width="5.5703125" style="38" bestFit="1" customWidth="1"/>
    <col min="12551" max="12551" width="8.42578125" style="38" bestFit="1" customWidth="1"/>
    <col min="12552" max="12552" width="2.5703125" style="38" bestFit="1" customWidth="1"/>
    <col min="12553" max="12553" width="10.28515625" style="38" bestFit="1" customWidth="1"/>
    <col min="12554" max="12556" width="12.28515625" style="38" bestFit="1" customWidth="1"/>
    <col min="12557" max="12557" width="16.7109375" style="38" bestFit="1" customWidth="1"/>
    <col min="12558" max="12800" width="9.140625" style="38"/>
    <col min="12801" max="12801" width="40.28515625" style="38" bestFit="1" customWidth="1"/>
    <col min="12802" max="12802" width="8" style="38" customWidth="1"/>
    <col min="12803" max="12803" width="7.5703125" style="38" customWidth="1"/>
    <col min="12804" max="12804" width="4.85546875" style="38" bestFit="1" customWidth="1"/>
    <col min="12805" max="12805" width="4" style="38" bestFit="1" customWidth="1"/>
    <col min="12806" max="12806" width="5.5703125" style="38" bestFit="1" customWidth="1"/>
    <col min="12807" max="12807" width="8.42578125" style="38" bestFit="1" customWidth="1"/>
    <col min="12808" max="12808" width="2.5703125" style="38" bestFit="1" customWidth="1"/>
    <col min="12809" max="12809" width="10.28515625" style="38" bestFit="1" customWidth="1"/>
    <col min="12810" max="12812" width="12.28515625" style="38" bestFit="1" customWidth="1"/>
    <col min="12813" max="12813" width="16.7109375" style="38" bestFit="1" customWidth="1"/>
    <col min="12814" max="13056" width="9.140625" style="38"/>
    <col min="13057" max="13057" width="40.28515625" style="38" bestFit="1" customWidth="1"/>
    <col min="13058" max="13058" width="8" style="38" customWidth="1"/>
    <col min="13059" max="13059" width="7.5703125" style="38" customWidth="1"/>
    <col min="13060" max="13060" width="4.85546875" style="38" bestFit="1" customWidth="1"/>
    <col min="13061" max="13061" width="4" style="38" bestFit="1" customWidth="1"/>
    <col min="13062" max="13062" width="5.5703125" style="38" bestFit="1" customWidth="1"/>
    <col min="13063" max="13063" width="8.42578125" style="38" bestFit="1" customWidth="1"/>
    <col min="13064" max="13064" width="2.5703125" style="38" bestFit="1" customWidth="1"/>
    <col min="13065" max="13065" width="10.28515625" style="38" bestFit="1" customWidth="1"/>
    <col min="13066" max="13068" width="12.28515625" style="38" bestFit="1" customWidth="1"/>
    <col min="13069" max="13069" width="16.7109375" style="38" bestFit="1" customWidth="1"/>
    <col min="13070" max="13312" width="9.140625" style="38"/>
    <col min="13313" max="13313" width="40.28515625" style="38" bestFit="1" customWidth="1"/>
    <col min="13314" max="13314" width="8" style="38" customWidth="1"/>
    <col min="13315" max="13315" width="7.5703125" style="38" customWidth="1"/>
    <col min="13316" max="13316" width="4.85546875" style="38" bestFit="1" customWidth="1"/>
    <col min="13317" max="13317" width="4" style="38" bestFit="1" customWidth="1"/>
    <col min="13318" max="13318" width="5.5703125" style="38" bestFit="1" customWidth="1"/>
    <col min="13319" max="13319" width="8.42578125" style="38" bestFit="1" customWidth="1"/>
    <col min="13320" max="13320" width="2.5703125" style="38" bestFit="1" customWidth="1"/>
    <col min="13321" max="13321" width="10.28515625" style="38" bestFit="1" customWidth="1"/>
    <col min="13322" max="13324" width="12.28515625" style="38" bestFit="1" customWidth="1"/>
    <col min="13325" max="13325" width="16.7109375" style="38" bestFit="1" customWidth="1"/>
    <col min="13326" max="13568" width="9.140625" style="38"/>
    <col min="13569" max="13569" width="40.28515625" style="38" bestFit="1" customWidth="1"/>
    <col min="13570" max="13570" width="8" style="38" customWidth="1"/>
    <col min="13571" max="13571" width="7.5703125" style="38" customWidth="1"/>
    <col min="13572" max="13572" width="4.85546875" style="38" bestFit="1" customWidth="1"/>
    <col min="13573" max="13573" width="4" style="38" bestFit="1" customWidth="1"/>
    <col min="13574" max="13574" width="5.5703125" style="38" bestFit="1" customWidth="1"/>
    <col min="13575" max="13575" width="8.42578125" style="38" bestFit="1" customWidth="1"/>
    <col min="13576" max="13576" width="2.5703125" style="38" bestFit="1" customWidth="1"/>
    <col min="13577" max="13577" width="10.28515625" style="38" bestFit="1" customWidth="1"/>
    <col min="13578" max="13580" width="12.28515625" style="38" bestFit="1" customWidth="1"/>
    <col min="13581" max="13581" width="16.7109375" style="38" bestFit="1" customWidth="1"/>
    <col min="13582" max="13824" width="9.140625" style="38"/>
    <col min="13825" max="13825" width="40.28515625" style="38" bestFit="1" customWidth="1"/>
    <col min="13826" max="13826" width="8" style="38" customWidth="1"/>
    <col min="13827" max="13827" width="7.5703125" style="38" customWidth="1"/>
    <col min="13828" max="13828" width="4.85546875" style="38" bestFit="1" customWidth="1"/>
    <col min="13829" max="13829" width="4" style="38" bestFit="1" customWidth="1"/>
    <col min="13830" max="13830" width="5.5703125" style="38" bestFit="1" customWidth="1"/>
    <col min="13831" max="13831" width="8.42578125" style="38" bestFit="1" customWidth="1"/>
    <col min="13832" max="13832" width="2.5703125" style="38" bestFit="1" customWidth="1"/>
    <col min="13833" max="13833" width="10.28515625" style="38" bestFit="1" customWidth="1"/>
    <col min="13834" max="13836" width="12.28515625" style="38" bestFit="1" customWidth="1"/>
    <col min="13837" max="13837" width="16.7109375" style="38" bestFit="1" customWidth="1"/>
    <col min="13838" max="14080" width="9.140625" style="38"/>
    <col min="14081" max="14081" width="40.28515625" style="38" bestFit="1" customWidth="1"/>
    <col min="14082" max="14082" width="8" style="38" customWidth="1"/>
    <col min="14083" max="14083" width="7.5703125" style="38" customWidth="1"/>
    <col min="14084" max="14084" width="4.85546875" style="38" bestFit="1" customWidth="1"/>
    <col min="14085" max="14085" width="4" style="38" bestFit="1" customWidth="1"/>
    <col min="14086" max="14086" width="5.5703125" style="38" bestFit="1" customWidth="1"/>
    <col min="14087" max="14087" width="8.42578125" style="38" bestFit="1" customWidth="1"/>
    <col min="14088" max="14088" width="2.5703125" style="38" bestFit="1" customWidth="1"/>
    <col min="14089" max="14089" width="10.28515625" style="38" bestFit="1" customWidth="1"/>
    <col min="14090" max="14092" width="12.28515625" style="38" bestFit="1" customWidth="1"/>
    <col min="14093" max="14093" width="16.7109375" style="38" bestFit="1" customWidth="1"/>
    <col min="14094" max="14336" width="9.140625" style="38"/>
    <col min="14337" max="14337" width="40.28515625" style="38" bestFit="1" customWidth="1"/>
    <col min="14338" max="14338" width="8" style="38" customWidth="1"/>
    <col min="14339" max="14339" width="7.5703125" style="38" customWidth="1"/>
    <col min="14340" max="14340" width="4.85546875" style="38" bestFit="1" customWidth="1"/>
    <col min="14341" max="14341" width="4" style="38" bestFit="1" customWidth="1"/>
    <col min="14342" max="14342" width="5.5703125" style="38" bestFit="1" customWidth="1"/>
    <col min="14343" max="14343" width="8.42578125" style="38" bestFit="1" customWidth="1"/>
    <col min="14344" max="14344" width="2.5703125" style="38" bestFit="1" customWidth="1"/>
    <col min="14345" max="14345" width="10.28515625" style="38" bestFit="1" customWidth="1"/>
    <col min="14346" max="14348" width="12.28515625" style="38" bestFit="1" customWidth="1"/>
    <col min="14349" max="14349" width="16.7109375" style="38" bestFit="1" customWidth="1"/>
    <col min="14350" max="14592" width="9.140625" style="38"/>
    <col min="14593" max="14593" width="40.28515625" style="38" bestFit="1" customWidth="1"/>
    <col min="14594" max="14594" width="8" style="38" customWidth="1"/>
    <col min="14595" max="14595" width="7.5703125" style="38" customWidth="1"/>
    <col min="14596" max="14596" width="4.85546875" style="38" bestFit="1" customWidth="1"/>
    <col min="14597" max="14597" width="4" style="38" bestFit="1" customWidth="1"/>
    <col min="14598" max="14598" width="5.5703125" style="38" bestFit="1" customWidth="1"/>
    <col min="14599" max="14599" width="8.42578125" style="38" bestFit="1" customWidth="1"/>
    <col min="14600" max="14600" width="2.5703125" style="38" bestFit="1" customWidth="1"/>
    <col min="14601" max="14601" width="10.28515625" style="38" bestFit="1" customWidth="1"/>
    <col min="14602" max="14604" width="12.28515625" style="38" bestFit="1" customWidth="1"/>
    <col min="14605" max="14605" width="16.7109375" style="38" bestFit="1" customWidth="1"/>
    <col min="14606" max="14848" width="9.140625" style="38"/>
    <col min="14849" max="14849" width="40.28515625" style="38" bestFit="1" customWidth="1"/>
    <col min="14850" max="14850" width="8" style="38" customWidth="1"/>
    <col min="14851" max="14851" width="7.5703125" style="38" customWidth="1"/>
    <col min="14852" max="14852" width="4.85546875" style="38" bestFit="1" customWidth="1"/>
    <col min="14853" max="14853" width="4" style="38" bestFit="1" customWidth="1"/>
    <col min="14854" max="14854" width="5.5703125" style="38" bestFit="1" customWidth="1"/>
    <col min="14855" max="14855" width="8.42578125" style="38" bestFit="1" customWidth="1"/>
    <col min="14856" max="14856" width="2.5703125" style="38" bestFit="1" customWidth="1"/>
    <col min="14857" max="14857" width="10.28515625" style="38" bestFit="1" customWidth="1"/>
    <col min="14858" max="14860" width="12.28515625" style="38" bestFit="1" customWidth="1"/>
    <col min="14861" max="14861" width="16.7109375" style="38" bestFit="1" customWidth="1"/>
    <col min="14862" max="15104" width="9.140625" style="38"/>
    <col min="15105" max="15105" width="40.28515625" style="38" bestFit="1" customWidth="1"/>
    <col min="15106" max="15106" width="8" style="38" customWidth="1"/>
    <col min="15107" max="15107" width="7.5703125" style="38" customWidth="1"/>
    <col min="15108" max="15108" width="4.85546875" style="38" bestFit="1" customWidth="1"/>
    <col min="15109" max="15109" width="4" style="38" bestFit="1" customWidth="1"/>
    <col min="15110" max="15110" width="5.5703125" style="38" bestFit="1" customWidth="1"/>
    <col min="15111" max="15111" width="8.42578125" style="38" bestFit="1" customWidth="1"/>
    <col min="15112" max="15112" width="2.5703125" style="38" bestFit="1" customWidth="1"/>
    <col min="15113" max="15113" width="10.28515625" style="38" bestFit="1" customWidth="1"/>
    <col min="15114" max="15116" width="12.28515625" style="38" bestFit="1" customWidth="1"/>
    <col min="15117" max="15117" width="16.7109375" style="38" bestFit="1" customWidth="1"/>
    <col min="15118" max="15360" width="9.140625" style="38"/>
    <col min="15361" max="15361" width="40.28515625" style="38" bestFit="1" customWidth="1"/>
    <col min="15362" max="15362" width="8" style="38" customWidth="1"/>
    <col min="15363" max="15363" width="7.5703125" style="38" customWidth="1"/>
    <col min="15364" max="15364" width="4.85546875" style="38" bestFit="1" customWidth="1"/>
    <col min="15365" max="15365" width="4" style="38" bestFit="1" customWidth="1"/>
    <col min="15366" max="15366" width="5.5703125" style="38" bestFit="1" customWidth="1"/>
    <col min="15367" max="15367" width="8.42578125" style="38" bestFit="1" customWidth="1"/>
    <col min="15368" max="15368" width="2.5703125" style="38" bestFit="1" customWidth="1"/>
    <col min="15369" max="15369" width="10.28515625" style="38" bestFit="1" customWidth="1"/>
    <col min="15370" max="15372" width="12.28515625" style="38" bestFit="1" customWidth="1"/>
    <col min="15373" max="15373" width="16.7109375" style="38" bestFit="1" customWidth="1"/>
    <col min="15374" max="15616" width="9.140625" style="38"/>
    <col min="15617" max="15617" width="40.28515625" style="38" bestFit="1" customWidth="1"/>
    <col min="15618" max="15618" width="8" style="38" customWidth="1"/>
    <col min="15619" max="15619" width="7.5703125" style="38" customWidth="1"/>
    <col min="15620" max="15620" width="4.85546875" style="38" bestFit="1" customWidth="1"/>
    <col min="15621" max="15621" width="4" style="38" bestFit="1" customWidth="1"/>
    <col min="15622" max="15622" width="5.5703125" style="38" bestFit="1" customWidth="1"/>
    <col min="15623" max="15623" width="8.42578125" style="38" bestFit="1" customWidth="1"/>
    <col min="15624" max="15624" width="2.5703125" style="38" bestFit="1" customWidth="1"/>
    <col min="15625" max="15625" width="10.28515625" style="38" bestFit="1" customWidth="1"/>
    <col min="15626" max="15628" width="12.28515625" style="38" bestFit="1" customWidth="1"/>
    <col min="15629" max="15629" width="16.7109375" style="38" bestFit="1" customWidth="1"/>
    <col min="15630" max="15872" width="9.140625" style="38"/>
    <col min="15873" max="15873" width="40.28515625" style="38" bestFit="1" customWidth="1"/>
    <col min="15874" max="15874" width="8" style="38" customWidth="1"/>
    <col min="15875" max="15875" width="7.5703125" style="38" customWidth="1"/>
    <col min="15876" max="15876" width="4.85546875" style="38" bestFit="1" customWidth="1"/>
    <col min="15877" max="15877" width="4" style="38" bestFit="1" customWidth="1"/>
    <col min="15878" max="15878" width="5.5703125" style="38" bestFit="1" customWidth="1"/>
    <col min="15879" max="15879" width="8.42578125" style="38" bestFit="1" customWidth="1"/>
    <col min="15880" max="15880" width="2.5703125" style="38" bestFit="1" customWidth="1"/>
    <col min="15881" max="15881" width="10.28515625" style="38" bestFit="1" customWidth="1"/>
    <col min="15882" max="15884" width="12.28515625" style="38" bestFit="1" customWidth="1"/>
    <col min="15885" max="15885" width="16.7109375" style="38" bestFit="1" customWidth="1"/>
    <col min="15886" max="16128" width="9.140625" style="38"/>
    <col min="16129" max="16129" width="40.28515625" style="38" bestFit="1" customWidth="1"/>
    <col min="16130" max="16130" width="8" style="38" customWidth="1"/>
    <col min="16131" max="16131" width="7.5703125" style="38" customWidth="1"/>
    <col min="16132" max="16132" width="4.85546875" style="38" bestFit="1" customWidth="1"/>
    <col min="16133" max="16133" width="4" style="38" bestFit="1" customWidth="1"/>
    <col min="16134" max="16134" width="5.5703125" style="38" bestFit="1" customWidth="1"/>
    <col min="16135" max="16135" width="8.42578125" style="38" bestFit="1" customWidth="1"/>
    <col min="16136" max="16136" width="2.5703125" style="38" bestFit="1" customWidth="1"/>
    <col min="16137" max="16137" width="10.28515625" style="38" bestFit="1" customWidth="1"/>
    <col min="16138" max="16140" width="12.28515625" style="38" bestFit="1" customWidth="1"/>
    <col min="16141" max="16141" width="16.7109375" style="38" bestFit="1" customWidth="1"/>
    <col min="16142" max="16384" width="9.140625" style="38"/>
  </cols>
  <sheetData>
    <row r="1" spans="1:11" ht="15" hidden="1" x14ac:dyDescent="0.25">
      <c r="A1" s="33"/>
      <c r="B1" s="34"/>
      <c r="C1" s="35"/>
      <c r="D1" s="35"/>
      <c r="E1" s="35"/>
      <c r="F1" s="35"/>
      <c r="G1" s="35"/>
      <c r="H1" s="35"/>
      <c r="I1" s="36"/>
      <c r="J1" s="36"/>
      <c r="K1" s="37"/>
    </row>
    <row r="2" spans="1:11" ht="15" hidden="1" x14ac:dyDescent="0.25">
      <c r="A2" s="39"/>
      <c r="B2" s="40"/>
      <c r="C2" s="40"/>
      <c r="D2" s="40"/>
      <c r="E2" s="41"/>
      <c r="F2" s="41"/>
      <c r="G2" s="41"/>
      <c r="H2" s="41"/>
      <c r="I2" s="42"/>
      <c r="J2" s="42"/>
      <c r="K2" s="43"/>
    </row>
    <row r="3" spans="1:11" ht="15" hidden="1" x14ac:dyDescent="0.25">
      <c r="A3" s="39"/>
      <c r="B3" s="40"/>
      <c r="C3" s="40"/>
      <c r="D3" s="40"/>
      <c r="E3" s="41"/>
      <c r="F3" s="41"/>
      <c r="G3" s="41"/>
      <c r="H3" s="41"/>
      <c r="I3" s="42"/>
      <c r="J3" s="42"/>
      <c r="K3" s="43"/>
    </row>
    <row r="4" spans="1:11" ht="18" hidden="1" customHeight="1" x14ac:dyDescent="0.2">
      <c r="A4" s="44" t="s">
        <v>99</v>
      </c>
      <c r="B4" s="45"/>
      <c r="C4" s="46"/>
      <c r="D4" s="46"/>
      <c r="E4" s="46"/>
      <c r="F4" s="46"/>
      <c r="G4" s="46"/>
      <c r="H4" s="46"/>
      <c r="I4" s="47" t="s">
        <v>100</v>
      </c>
      <c r="J4" s="47" t="s">
        <v>85</v>
      </c>
      <c r="K4" s="48"/>
    </row>
    <row r="5" spans="1:11" hidden="1" x14ac:dyDescent="0.2">
      <c r="A5" s="49" t="s">
        <v>101</v>
      </c>
      <c r="B5" s="50"/>
      <c r="C5" s="50"/>
      <c r="D5" s="50"/>
      <c r="E5" s="51">
        <v>22</v>
      </c>
      <c r="F5" s="50" t="s">
        <v>102</v>
      </c>
      <c r="G5" s="51"/>
      <c r="H5" s="51"/>
      <c r="I5" s="52">
        <v>20</v>
      </c>
      <c r="J5" s="52">
        <v>440</v>
      </c>
      <c r="K5" s="53"/>
    </row>
    <row r="6" spans="1:11" ht="15" hidden="1" x14ac:dyDescent="0.25">
      <c r="A6" s="49"/>
      <c r="B6" s="50"/>
      <c r="C6" s="40"/>
      <c r="D6" s="40"/>
      <c r="E6" s="51"/>
      <c r="F6" s="50"/>
      <c r="G6" s="54"/>
      <c r="H6" s="54"/>
      <c r="I6" s="55"/>
      <c r="J6" s="52"/>
      <c r="K6" s="43">
        <v>440</v>
      </c>
    </row>
    <row r="7" spans="1:11" hidden="1" x14ac:dyDescent="0.2">
      <c r="A7" s="56" t="s">
        <v>103</v>
      </c>
      <c r="B7" s="57"/>
      <c r="C7" s="58"/>
      <c r="D7" s="40" t="s">
        <v>104</v>
      </c>
      <c r="E7" s="54" t="s">
        <v>105</v>
      </c>
      <c r="F7" s="40" t="s">
        <v>106</v>
      </c>
      <c r="G7" s="40" t="s">
        <v>85</v>
      </c>
      <c r="H7" s="54"/>
      <c r="I7" s="55" t="s">
        <v>100</v>
      </c>
      <c r="J7" s="55" t="s">
        <v>85</v>
      </c>
      <c r="K7" s="59"/>
    </row>
    <row r="8" spans="1:11" hidden="1" x14ac:dyDescent="0.2">
      <c r="A8" s="60"/>
      <c r="B8" s="58"/>
      <c r="C8" s="58"/>
      <c r="D8" s="40"/>
      <c r="E8" s="54"/>
      <c r="F8" s="40"/>
      <c r="G8" s="40"/>
      <c r="H8" s="54"/>
      <c r="I8" s="55"/>
      <c r="J8" s="55"/>
      <c r="K8" s="59"/>
    </row>
    <row r="9" spans="1:11" hidden="1" x14ac:dyDescent="0.2">
      <c r="A9" s="60" t="s">
        <v>107</v>
      </c>
      <c r="B9" s="58"/>
      <c r="C9" s="58"/>
      <c r="D9" s="50">
        <v>1</v>
      </c>
      <c r="E9" s="51">
        <v>1</v>
      </c>
      <c r="F9" s="50" t="s">
        <v>102</v>
      </c>
      <c r="G9" s="50">
        <v>1</v>
      </c>
      <c r="H9" s="50" t="s">
        <v>102</v>
      </c>
      <c r="I9" s="61">
        <v>38</v>
      </c>
      <c r="J9" s="61">
        <v>38</v>
      </c>
      <c r="K9" s="59"/>
    </row>
    <row r="10" spans="1:11" hidden="1" x14ac:dyDescent="0.2">
      <c r="A10" s="60" t="s">
        <v>108</v>
      </c>
      <c r="B10" s="58"/>
      <c r="C10" s="58"/>
      <c r="D10" s="50">
        <v>1</v>
      </c>
      <c r="E10" s="51">
        <v>2</v>
      </c>
      <c r="F10" s="50" t="s">
        <v>102</v>
      </c>
      <c r="G10" s="50">
        <v>2</v>
      </c>
      <c r="H10" s="50" t="s">
        <v>102</v>
      </c>
      <c r="I10" s="61">
        <v>55</v>
      </c>
      <c r="J10" s="61">
        <v>110</v>
      </c>
      <c r="K10" s="59"/>
    </row>
    <row r="11" spans="1:11" hidden="1" x14ac:dyDescent="0.2">
      <c r="A11" s="62" t="s">
        <v>109</v>
      </c>
      <c r="B11" s="63"/>
      <c r="C11" s="58"/>
      <c r="D11" s="50">
        <v>1</v>
      </c>
      <c r="E11" s="51">
        <v>22</v>
      </c>
      <c r="F11" s="50" t="s">
        <v>102</v>
      </c>
      <c r="G11" s="50">
        <v>22</v>
      </c>
      <c r="H11" s="50" t="s">
        <v>102</v>
      </c>
      <c r="I11" s="61">
        <v>55</v>
      </c>
      <c r="J11" s="61">
        <v>1210</v>
      </c>
      <c r="K11" s="59"/>
    </row>
    <row r="12" spans="1:11" ht="15" hidden="1" x14ac:dyDescent="0.25">
      <c r="A12" s="62"/>
      <c r="B12" s="63"/>
      <c r="C12" s="58"/>
      <c r="D12" s="50"/>
      <c r="E12" s="51"/>
      <c r="F12" s="50"/>
      <c r="G12" s="50"/>
      <c r="H12" s="50"/>
      <c r="I12" s="61"/>
      <c r="J12" s="61"/>
      <c r="K12" s="64"/>
    </row>
    <row r="13" spans="1:11" ht="15" hidden="1" x14ac:dyDescent="0.25">
      <c r="A13" s="60"/>
      <c r="B13" s="58"/>
      <c r="C13" s="58"/>
      <c r="D13" s="58"/>
      <c r="E13" s="58"/>
      <c r="F13" s="58"/>
      <c r="G13" s="58">
        <v>25</v>
      </c>
      <c r="H13" s="58"/>
      <c r="I13" s="65"/>
      <c r="J13" s="65"/>
      <c r="K13" s="64">
        <v>1358</v>
      </c>
    </row>
    <row r="14" spans="1:11" ht="15" hidden="1" x14ac:dyDescent="0.25">
      <c r="A14" s="60"/>
      <c r="B14" s="58"/>
      <c r="C14" s="58"/>
      <c r="D14" s="58"/>
      <c r="E14" s="58"/>
      <c r="F14" s="58"/>
      <c r="G14" s="58"/>
      <c r="H14" s="58"/>
      <c r="I14" s="65"/>
      <c r="J14" s="65"/>
      <c r="K14" s="64"/>
    </row>
    <row r="15" spans="1:11" ht="15.75" hidden="1" thickBot="1" x14ac:dyDescent="0.3">
      <c r="A15" s="66"/>
      <c r="B15" s="67"/>
      <c r="C15" s="67"/>
      <c r="D15" s="67"/>
      <c r="E15" s="67"/>
      <c r="F15" s="67"/>
      <c r="G15" s="67"/>
      <c r="H15" s="67"/>
      <c r="I15" s="68"/>
      <c r="J15" s="68"/>
      <c r="K15" s="69">
        <v>1798</v>
      </c>
    </row>
    <row r="16" spans="1:11" ht="13.5" hidden="1" thickBot="1" x14ac:dyDescent="0.25">
      <c r="A16" s="70"/>
      <c r="B16" s="71"/>
      <c r="C16" s="71"/>
      <c r="D16" s="71"/>
      <c r="E16" s="71"/>
      <c r="F16" s="71"/>
      <c r="G16" s="71"/>
      <c r="H16" s="71"/>
      <c r="I16" s="72"/>
      <c r="J16" s="72"/>
      <c r="K16" s="73"/>
    </row>
    <row r="17" spans="1:11" hidden="1" x14ac:dyDescent="0.2"/>
    <row r="18" spans="1:11" hidden="1" x14ac:dyDescent="0.2"/>
    <row r="19" spans="1:11" hidden="1" x14ac:dyDescent="0.2"/>
    <row r="20" spans="1:11" hidden="1" x14ac:dyDescent="0.2"/>
    <row r="21" spans="1:11" hidden="1" x14ac:dyDescent="0.2"/>
    <row r="22" spans="1:11" hidden="1" x14ac:dyDescent="0.2"/>
    <row r="23" spans="1:11" hidden="1" x14ac:dyDescent="0.2"/>
    <row r="24" spans="1:11" hidden="1" x14ac:dyDescent="0.2">
      <c r="A24" s="44" t="s">
        <v>110</v>
      </c>
      <c r="B24" s="45"/>
      <c r="C24" s="45" t="s">
        <v>111</v>
      </c>
      <c r="D24" s="45" t="s">
        <v>112</v>
      </c>
      <c r="E24" s="45" t="s">
        <v>105</v>
      </c>
      <c r="F24" s="45"/>
      <c r="G24" s="45"/>
      <c r="H24" s="45"/>
      <c r="I24" s="47" t="s">
        <v>100</v>
      </c>
      <c r="J24" s="47" t="s">
        <v>85</v>
      </c>
      <c r="K24" s="48"/>
    </row>
    <row r="25" spans="1:11" hidden="1" x14ac:dyDescent="0.2">
      <c r="A25" s="60" t="s">
        <v>113</v>
      </c>
      <c r="B25" s="58"/>
      <c r="C25" s="58">
        <v>1.1000000000000001</v>
      </c>
      <c r="D25" s="50">
        <v>95.04000000000002</v>
      </c>
      <c r="E25" s="51">
        <v>86.4</v>
      </c>
      <c r="F25" s="50" t="s">
        <v>112</v>
      </c>
      <c r="G25" s="51"/>
      <c r="H25" s="51"/>
      <c r="I25" s="52">
        <v>238.88750000000002</v>
      </c>
      <c r="J25" s="52">
        <v>20639.88</v>
      </c>
      <c r="K25" s="53"/>
    </row>
    <row r="26" spans="1:11" hidden="1" x14ac:dyDescent="0.2">
      <c r="A26" s="60" t="s">
        <v>114</v>
      </c>
      <c r="B26" s="58"/>
      <c r="C26" s="58">
        <v>0.45</v>
      </c>
      <c r="D26" s="50">
        <v>74.7</v>
      </c>
      <c r="E26" s="51">
        <v>166</v>
      </c>
      <c r="F26" s="50" t="s">
        <v>20</v>
      </c>
      <c r="G26" s="51"/>
      <c r="H26" s="51"/>
      <c r="I26" s="52">
        <v>61.849999999999994</v>
      </c>
      <c r="J26" s="52">
        <v>10267.099999999999</v>
      </c>
      <c r="K26" s="53"/>
    </row>
    <row r="27" spans="1:11" hidden="1" x14ac:dyDescent="0.2">
      <c r="A27" s="60" t="s">
        <v>115</v>
      </c>
      <c r="B27" s="58"/>
      <c r="C27" s="58">
        <v>0.5</v>
      </c>
      <c r="D27" s="50">
        <v>13.5</v>
      </c>
      <c r="E27" s="51">
        <v>27</v>
      </c>
      <c r="F27" s="50" t="s">
        <v>20</v>
      </c>
      <c r="G27" s="51"/>
      <c r="H27" s="51"/>
      <c r="I27" s="52">
        <v>70.141666666666666</v>
      </c>
      <c r="J27" s="52">
        <v>1893.825</v>
      </c>
      <c r="K27" s="53"/>
    </row>
    <row r="28" spans="1:11" hidden="1" x14ac:dyDescent="0.2">
      <c r="A28" s="60" t="s">
        <v>116</v>
      </c>
      <c r="B28" s="58"/>
      <c r="C28" s="58"/>
      <c r="D28" s="50"/>
      <c r="E28" s="51">
        <v>15</v>
      </c>
      <c r="F28" s="50" t="s">
        <v>20</v>
      </c>
      <c r="G28" s="51"/>
      <c r="H28" s="51"/>
      <c r="I28" s="52">
        <v>65.625</v>
      </c>
      <c r="J28" s="52">
        <v>984.375</v>
      </c>
      <c r="K28" s="53"/>
    </row>
    <row r="29" spans="1:11" hidden="1" x14ac:dyDescent="0.2">
      <c r="A29" s="60" t="s">
        <v>117</v>
      </c>
      <c r="B29" s="58"/>
      <c r="C29" s="58"/>
      <c r="D29" s="50"/>
      <c r="E29" s="51"/>
      <c r="F29" s="50"/>
      <c r="G29" s="51"/>
      <c r="H29" s="51"/>
      <c r="I29" s="52"/>
      <c r="J29" s="52">
        <v>3280.0805</v>
      </c>
      <c r="K29" s="53"/>
    </row>
    <row r="30" spans="1:11" hidden="1" x14ac:dyDescent="0.2">
      <c r="A30" s="60" t="s">
        <v>118</v>
      </c>
      <c r="B30" s="58"/>
      <c r="C30" s="58"/>
      <c r="D30" s="50">
        <v>183.24</v>
      </c>
      <c r="E30" s="51" t="s">
        <v>112</v>
      </c>
      <c r="F30" s="50"/>
      <c r="G30" s="51">
        <v>3664.8</v>
      </c>
      <c r="H30" s="51"/>
      <c r="I30" s="52">
        <v>3600</v>
      </c>
      <c r="J30" s="52">
        <v>3600</v>
      </c>
      <c r="K30" s="53"/>
    </row>
    <row r="31" spans="1:11" hidden="1" x14ac:dyDescent="0.2">
      <c r="A31" s="60" t="s">
        <v>119</v>
      </c>
      <c r="B31" s="58"/>
      <c r="C31" s="58"/>
      <c r="D31" s="50">
        <v>183.24</v>
      </c>
      <c r="E31" s="51" t="s">
        <v>112</v>
      </c>
      <c r="F31" s="50"/>
      <c r="G31" s="51"/>
      <c r="H31" s="51"/>
      <c r="I31" s="52">
        <v>22.5</v>
      </c>
      <c r="J31" s="52">
        <v>4122.9000000000005</v>
      </c>
      <c r="K31" s="53"/>
    </row>
    <row r="32" spans="1:11" hidden="1" x14ac:dyDescent="0.2">
      <c r="A32" s="60" t="s">
        <v>120</v>
      </c>
      <c r="B32" s="58"/>
      <c r="C32" s="58"/>
      <c r="D32" s="50">
        <v>19.2</v>
      </c>
      <c r="E32" s="51"/>
      <c r="F32" s="50"/>
      <c r="G32" s="51"/>
      <c r="H32" s="51"/>
      <c r="I32" s="52">
        <v>481.25</v>
      </c>
      <c r="J32" s="52">
        <v>9240</v>
      </c>
      <c r="K32" s="53"/>
    </row>
    <row r="33" spans="1:11" hidden="1" x14ac:dyDescent="0.2">
      <c r="A33" s="60" t="s">
        <v>121</v>
      </c>
      <c r="B33" s="58"/>
      <c r="C33" s="58"/>
      <c r="D33" s="50">
        <v>8</v>
      </c>
      <c r="E33" s="51"/>
      <c r="F33" s="50"/>
      <c r="G33" s="51"/>
      <c r="H33" s="51"/>
      <c r="I33" s="52">
        <v>641.25</v>
      </c>
      <c r="J33" s="52">
        <v>5130</v>
      </c>
      <c r="K33" s="53"/>
    </row>
    <row r="34" spans="1:11" hidden="1" x14ac:dyDescent="0.2">
      <c r="A34" s="60" t="s">
        <v>122</v>
      </c>
      <c r="B34" s="58"/>
      <c r="C34" s="58"/>
      <c r="D34" s="50">
        <v>1</v>
      </c>
      <c r="E34" s="51"/>
      <c r="F34" s="50"/>
      <c r="G34" s="51"/>
      <c r="H34" s="51"/>
      <c r="I34" s="52">
        <v>3725</v>
      </c>
      <c r="J34" s="52">
        <v>3725</v>
      </c>
      <c r="K34" s="53"/>
    </row>
    <row r="35" spans="1:11" ht="15" hidden="1" x14ac:dyDescent="0.25">
      <c r="A35" s="60"/>
      <c r="B35" s="58"/>
      <c r="C35" s="58"/>
      <c r="D35" s="40"/>
      <c r="E35" s="51"/>
      <c r="F35" s="50"/>
      <c r="G35" s="54"/>
      <c r="H35" s="54"/>
      <c r="I35" s="55"/>
      <c r="J35" s="52"/>
      <c r="K35" s="43">
        <v>62883.160500000005</v>
      </c>
    </row>
    <row r="36" spans="1:11" ht="15" hidden="1" x14ac:dyDescent="0.25">
      <c r="A36" s="60"/>
      <c r="B36" s="58"/>
      <c r="C36" s="58"/>
      <c r="D36" s="40"/>
      <c r="E36" s="51"/>
      <c r="F36" s="50"/>
      <c r="G36" s="54"/>
      <c r="H36" s="54"/>
      <c r="I36" s="55"/>
      <c r="J36" s="52"/>
      <c r="K36" s="43"/>
    </row>
    <row r="37" spans="1:11" hidden="1" x14ac:dyDescent="0.2">
      <c r="A37" s="60"/>
      <c r="B37" s="58"/>
      <c r="C37" s="58"/>
      <c r="D37" s="40" t="s">
        <v>104</v>
      </c>
      <c r="E37" s="54" t="s">
        <v>105</v>
      </c>
      <c r="F37" s="40" t="s">
        <v>106</v>
      </c>
      <c r="G37" s="40" t="s">
        <v>85</v>
      </c>
      <c r="H37" s="54"/>
      <c r="I37" s="55" t="s">
        <v>100</v>
      </c>
      <c r="J37" s="55" t="s">
        <v>85</v>
      </c>
      <c r="K37" s="59"/>
    </row>
    <row r="38" spans="1:11" hidden="1" x14ac:dyDescent="0.2">
      <c r="A38" s="56" t="s">
        <v>123</v>
      </c>
      <c r="B38" s="57"/>
      <c r="C38" s="58"/>
      <c r="D38" s="40">
        <v>1</v>
      </c>
      <c r="E38" s="54">
        <v>60</v>
      </c>
      <c r="F38" s="40"/>
      <c r="G38" s="50">
        <v>60</v>
      </c>
      <c r="H38" s="50" t="s">
        <v>102</v>
      </c>
      <c r="I38" s="61">
        <v>70</v>
      </c>
      <c r="J38" s="61">
        <v>4200</v>
      </c>
      <c r="K38" s="59"/>
    </row>
    <row r="39" spans="1:11" hidden="1" x14ac:dyDescent="0.2"/>
    <row r="40" spans="1:11" hidden="1" x14ac:dyDescent="0.2">
      <c r="A40" s="60" t="s">
        <v>124</v>
      </c>
      <c r="B40" s="58"/>
      <c r="C40" s="58"/>
      <c r="D40" s="50">
        <v>4</v>
      </c>
      <c r="E40" s="51">
        <v>20</v>
      </c>
      <c r="F40" s="50" t="s">
        <v>102</v>
      </c>
      <c r="G40" s="50">
        <v>80</v>
      </c>
      <c r="H40" s="50" t="s">
        <v>102</v>
      </c>
      <c r="I40" s="61">
        <v>55</v>
      </c>
      <c r="J40" s="61">
        <v>4400</v>
      </c>
      <c r="K40" s="59"/>
    </row>
    <row r="41" spans="1:11" hidden="1" x14ac:dyDescent="0.2">
      <c r="A41" s="60" t="s">
        <v>125</v>
      </c>
      <c r="B41" s="58"/>
      <c r="C41" s="58"/>
      <c r="D41" s="50">
        <v>1</v>
      </c>
      <c r="E41" s="51">
        <v>100</v>
      </c>
      <c r="F41" s="50" t="s">
        <v>102</v>
      </c>
      <c r="G41" s="50">
        <v>100</v>
      </c>
      <c r="H41" s="50" t="s">
        <v>102</v>
      </c>
      <c r="I41" s="61">
        <v>55</v>
      </c>
      <c r="J41" s="61">
        <v>5500</v>
      </c>
      <c r="K41" s="59"/>
    </row>
    <row r="42" spans="1:11" hidden="1" x14ac:dyDescent="0.2">
      <c r="A42" s="60" t="s">
        <v>126</v>
      </c>
      <c r="B42" s="58"/>
      <c r="C42" s="58"/>
      <c r="D42" s="50">
        <v>3</v>
      </c>
      <c r="E42" s="51">
        <v>50</v>
      </c>
      <c r="F42" s="50"/>
      <c r="G42" s="50">
        <v>150</v>
      </c>
      <c r="H42" s="50" t="s">
        <v>102</v>
      </c>
      <c r="I42" s="61">
        <v>55</v>
      </c>
      <c r="J42" s="61">
        <v>8250</v>
      </c>
      <c r="K42" s="59"/>
    </row>
    <row r="43" spans="1:11" hidden="1" x14ac:dyDescent="0.2">
      <c r="A43" s="60" t="s">
        <v>127</v>
      </c>
      <c r="B43" s="58"/>
      <c r="C43" s="58"/>
      <c r="D43" s="50">
        <v>2</v>
      </c>
      <c r="E43" s="51">
        <v>50</v>
      </c>
      <c r="F43" s="50"/>
      <c r="G43" s="50">
        <v>100</v>
      </c>
      <c r="H43" s="50" t="s">
        <v>102</v>
      </c>
      <c r="I43" s="61">
        <v>55</v>
      </c>
      <c r="J43" s="61">
        <v>5500</v>
      </c>
      <c r="K43" s="59"/>
    </row>
    <row r="44" spans="1:11" hidden="1" x14ac:dyDescent="0.2">
      <c r="A44" s="60" t="s">
        <v>128</v>
      </c>
      <c r="B44" s="58"/>
      <c r="C44" s="58"/>
      <c r="D44" s="50">
        <v>1</v>
      </c>
      <c r="E44" s="51">
        <v>15</v>
      </c>
      <c r="F44" s="50"/>
      <c r="G44" s="50">
        <v>15</v>
      </c>
      <c r="H44" s="50" t="s">
        <v>102</v>
      </c>
      <c r="I44" s="61">
        <v>55</v>
      </c>
      <c r="J44" s="61">
        <v>825</v>
      </c>
      <c r="K44" s="59"/>
    </row>
    <row r="45" spans="1:11" hidden="1" x14ac:dyDescent="0.2">
      <c r="A45" s="60" t="s">
        <v>129</v>
      </c>
      <c r="B45" s="58"/>
      <c r="C45" s="58"/>
      <c r="D45" s="50">
        <v>0.5</v>
      </c>
      <c r="E45" s="51">
        <v>17</v>
      </c>
      <c r="F45" s="50"/>
      <c r="G45" s="50">
        <v>8.5</v>
      </c>
      <c r="H45" s="50" t="s">
        <v>102</v>
      </c>
      <c r="I45" s="61">
        <v>55</v>
      </c>
      <c r="J45" s="61">
        <v>467.5</v>
      </c>
      <c r="K45" s="59"/>
    </row>
    <row r="46" spans="1:11" hidden="1" x14ac:dyDescent="0.2">
      <c r="A46" s="60" t="s">
        <v>119</v>
      </c>
      <c r="B46" s="58"/>
      <c r="C46" s="58"/>
      <c r="D46" s="50">
        <v>1</v>
      </c>
      <c r="E46" s="51">
        <v>20</v>
      </c>
      <c r="F46" s="50"/>
      <c r="G46" s="50">
        <v>20</v>
      </c>
      <c r="H46" s="50" t="s">
        <v>102</v>
      </c>
      <c r="I46" s="61">
        <v>55</v>
      </c>
      <c r="J46" s="61">
        <v>1100</v>
      </c>
      <c r="K46" s="59"/>
    </row>
    <row r="47" spans="1:11" hidden="1" x14ac:dyDescent="0.2">
      <c r="A47" s="60" t="s">
        <v>130</v>
      </c>
      <c r="B47" s="58"/>
      <c r="C47" s="58"/>
      <c r="D47" s="50">
        <v>1</v>
      </c>
      <c r="E47" s="51">
        <v>10</v>
      </c>
      <c r="F47" s="50" t="s">
        <v>102</v>
      </c>
      <c r="G47" s="50">
        <v>10</v>
      </c>
      <c r="H47" s="50" t="s">
        <v>102</v>
      </c>
      <c r="I47" s="61">
        <v>175</v>
      </c>
      <c r="J47" s="61">
        <v>1750</v>
      </c>
      <c r="K47" s="59"/>
    </row>
    <row r="48" spans="1:11" ht="15" hidden="1" x14ac:dyDescent="0.25">
      <c r="A48" s="60" t="s">
        <v>131</v>
      </c>
      <c r="B48" s="58"/>
      <c r="C48" s="58"/>
      <c r="D48" s="50">
        <v>1</v>
      </c>
      <c r="E48" s="51">
        <v>10</v>
      </c>
      <c r="F48" s="50" t="s">
        <v>102</v>
      </c>
      <c r="G48" s="50">
        <v>10</v>
      </c>
      <c r="H48" s="50" t="s">
        <v>102</v>
      </c>
      <c r="I48" s="61">
        <v>110</v>
      </c>
      <c r="J48" s="61">
        <v>1100</v>
      </c>
      <c r="K48" s="64"/>
    </row>
    <row r="49" spans="1:13" ht="15" hidden="1" x14ac:dyDescent="0.25">
      <c r="A49" s="60"/>
      <c r="B49" s="58"/>
      <c r="C49" s="58"/>
      <c r="D49" s="58"/>
      <c r="E49" s="58"/>
      <c r="F49" s="58"/>
      <c r="G49" s="58">
        <v>493.5</v>
      </c>
      <c r="H49" s="58"/>
      <c r="I49" s="65"/>
      <c r="J49" s="65"/>
      <c r="K49" s="64">
        <v>33092.5</v>
      </c>
    </row>
    <row r="50" spans="1:13" ht="15" hidden="1" x14ac:dyDescent="0.25">
      <c r="A50" s="60"/>
      <c r="B50" s="58"/>
      <c r="C50" s="58"/>
      <c r="D50" s="58"/>
      <c r="E50" s="58"/>
      <c r="F50" s="58"/>
      <c r="G50" s="58"/>
      <c r="H50" s="58"/>
      <c r="I50" s="65"/>
      <c r="J50" s="65"/>
      <c r="K50" s="64"/>
    </row>
    <row r="51" spans="1:13" ht="15" hidden="1" x14ac:dyDescent="0.25">
      <c r="A51" s="60"/>
      <c r="B51" s="58"/>
      <c r="C51" s="58"/>
      <c r="D51" s="58"/>
      <c r="E51" s="58"/>
      <c r="F51" s="58"/>
      <c r="G51" s="58"/>
      <c r="H51" s="58"/>
      <c r="I51" s="65"/>
      <c r="J51" s="65"/>
      <c r="K51" s="64"/>
    </row>
    <row r="52" spans="1:13" ht="15" hidden="1" x14ac:dyDescent="0.25">
      <c r="A52" s="60"/>
      <c r="B52" s="58"/>
      <c r="C52" s="58"/>
      <c r="D52" s="58"/>
      <c r="E52" s="58"/>
      <c r="F52" s="58"/>
      <c r="G52" s="58"/>
      <c r="H52" s="58"/>
      <c r="I52" s="65"/>
      <c r="J52" s="65"/>
      <c r="K52" s="64"/>
    </row>
    <row r="53" spans="1:13" ht="15.75" hidden="1" thickBot="1" x14ac:dyDescent="0.3">
      <c r="A53" s="66"/>
      <c r="B53" s="67"/>
      <c r="C53" s="67"/>
      <c r="D53" s="67"/>
      <c r="E53" s="67"/>
      <c r="F53" s="67"/>
      <c r="G53" s="67"/>
      <c r="H53" s="67"/>
      <c r="I53" s="68"/>
      <c r="J53" s="68"/>
      <c r="K53" s="69">
        <v>95975.660499999998</v>
      </c>
    </row>
    <row r="55" spans="1:13" x14ac:dyDescent="0.2">
      <c r="A55" s="74" t="s">
        <v>132</v>
      </c>
      <c r="B55" s="74" t="s">
        <v>133</v>
      </c>
      <c r="C55" s="74" t="s">
        <v>111</v>
      </c>
      <c r="D55" s="74" t="s">
        <v>112</v>
      </c>
      <c r="E55" s="74" t="s">
        <v>105</v>
      </c>
      <c r="F55" s="74"/>
      <c r="G55" s="74" t="s">
        <v>134</v>
      </c>
      <c r="H55" s="74"/>
      <c r="I55" s="75" t="s">
        <v>100</v>
      </c>
      <c r="J55" s="75" t="s">
        <v>85</v>
      </c>
      <c r="K55" s="76"/>
      <c r="L55" s="77"/>
      <c r="M55" s="77"/>
    </row>
    <row r="56" spans="1:13" x14ac:dyDescent="0.2">
      <c r="A56" s="77" t="s">
        <v>113</v>
      </c>
      <c r="B56" s="77">
        <v>10</v>
      </c>
      <c r="C56" s="77">
        <v>1</v>
      </c>
      <c r="D56" s="78">
        <v>116</v>
      </c>
      <c r="E56" s="79">
        <v>116</v>
      </c>
      <c r="F56" s="78" t="s">
        <v>112</v>
      </c>
      <c r="G56" s="79">
        <v>9106</v>
      </c>
      <c r="H56" s="79"/>
      <c r="I56" s="80">
        <v>192.31449999999998</v>
      </c>
      <c r="J56" s="80">
        <v>22308.481999999996</v>
      </c>
      <c r="K56" s="81"/>
      <c r="L56" s="77"/>
      <c r="M56" s="77"/>
    </row>
    <row r="57" spans="1:13" x14ac:dyDescent="0.2">
      <c r="A57" s="77" t="s">
        <v>135</v>
      </c>
      <c r="B57" s="77">
        <v>12</v>
      </c>
      <c r="C57" s="77">
        <v>1</v>
      </c>
      <c r="D57" s="78">
        <v>30</v>
      </c>
      <c r="E57" s="79">
        <v>30</v>
      </c>
      <c r="F57" s="78" t="s">
        <v>112</v>
      </c>
      <c r="G57" s="79">
        <v>2826</v>
      </c>
      <c r="H57" s="79"/>
      <c r="I57" s="80">
        <v>370.15049999999997</v>
      </c>
      <c r="J57" s="80">
        <v>11104.514999999999</v>
      </c>
      <c r="K57" s="81"/>
      <c r="L57" s="77"/>
      <c r="M57" s="77"/>
    </row>
    <row r="58" spans="1:13" x14ac:dyDescent="0.2">
      <c r="A58" s="77" t="s">
        <v>136</v>
      </c>
      <c r="B58" s="77">
        <v>20</v>
      </c>
      <c r="C58" s="77">
        <v>1</v>
      </c>
      <c r="D58" s="78">
        <v>15</v>
      </c>
      <c r="E58" s="79">
        <v>15</v>
      </c>
      <c r="F58" s="78" t="s">
        <v>112</v>
      </c>
      <c r="G58" s="79">
        <v>2355</v>
      </c>
      <c r="H58" s="79"/>
      <c r="I58" s="80">
        <v>616.8599999999999</v>
      </c>
      <c r="J58" s="80">
        <v>9252.8999999999978</v>
      </c>
      <c r="K58" s="81"/>
      <c r="L58" s="77"/>
      <c r="M58" s="77"/>
    </row>
    <row r="59" spans="1:13" x14ac:dyDescent="0.2">
      <c r="A59" s="77" t="s">
        <v>137</v>
      </c>
      <c r="B59" s="82">
        <v>25</v>
      </c>
      <c r="C59" s="77">
        <v>1</v>
      </c>
      <c r="D59" s="78">
        <v>15</v>
      </c>
      <c r="E59" s="79">
        <v>15</v>
      </c>
      <c r="F59" s="78" t="s">
        <v>112</v>
      </c>
      <c r="G59" s="83">
        <v>2943.75</v>
      </c>
      <c r="H59" s="79"/>
      <c r="I59" s="80">
        <v>771.10949999999991</v>
      </c>
      <c r="J59" s="80">
        <v>11566.642499999998</v>
      </c>
      <c r="K59" s="81"/>
      <c r="L59" s="77"/>
      <c r="M59" s="77"/>
    </row>
    <row r="60" spans="1:13" x14ac:dyDescent="0.2">
      <c r="A60" s="77"/>
      <c r="B60" s="84" t="s">
        <v>138</v>
      </c>
      <c r="C60" s="74" t="s">
        <v>111</v>
      </c>
      <c r="D60" s="74" t="s">
        <v>112</v>
      </c>
      <c r="E60" s="74" t="s">
        <v>105</v>
      </c>
      <c r="F60" s="74"/>
      <c r="G60" s="74" t="s">
        <v>134</v>
      </c>
      <c r="H60" s="79"/>
      <c r="I60" s="80"/>
      <c r="J60" s="80"/>
      <c r="K60" s="81"/>
      <c r="L60" s="77"/>
      <c r="M60" s="77"/>
    </row>
    <row r="61" spans="1:13" x14ac:dyDescent="0.2">
      <c r="A61" s="85" t="s">
        <v>139</v>
      </c>
      <c r="B61" s="82">
        <v>37.700000000000003</v>
      </c>
      <c r="C61" s="77">
        <v>0.6</v>
      </c>
      <c r="D61" s="78">
        <v>38.4</v>
      </c>
      <c r="E61" s="79">
        <v>64</v>
      </c>
      <c r="F61" s="78" t="s">
        <v>20</v>
      </c>
      <c r="G61" s="79">
        <v>2412.8000000000002</v>
      </c>
      <c r="H61" s="79"/>
      <c r="I61" s="80">
        <v>141.99624999999997</v>
      </c>
      <c r="J61" s="80">
        <v>9087.7599999999984</v>
      </c>
      <c r="K61" s="81"/>
      <c r="L61" s="77"/>
      <c r="M61" s="77"/>
    </row>
    <row r="62" spans="1:13" x14ac:dyDescent="0.2">
      <c r="A62" s="85" t="s">
        <v>140</v>
      </c>
      <c r="B62" s="82">
        <v>16.7</v>
      </c>
      <c r="C62" s="77">
        <v>0.4</v>
      </c>
      <c r="D62" s="78">
        <v>3.2</v>
      </c>
      <c r="E62" s="79">
        <v>8</v>
      </c>
      <c r="F62" s="78" t="s">
        <v>20</v>
      </c>
      <c r="G62" s="79">
        <v>133.6</v>
      </c>
      <c r="H62" s="79"/>
      <c r="I62" s="80">
        <v>50.094000000000001</v>
      </c>
      <c r="J62" s="80">
        <v>400.75200000000001</v>
      </c>
      <c r="K62" s="81"/>
      <c r="L62" s="77"/>
      <c r="M62" s="77"/>
    </row>
    <row r="63" spans="1:13" x14ac:dyDescent="0.2">
      <c r="A63" s="77" t="s">
        <v>141</v>
      </c>
      <c r="B63" s="82">
        <v>8.49</v>
      </c>
      <c r="C63" s="77">
        <v>0.3</v>
      </c>
      <c r="D63" s="78">
        <v>2.4</v>
      </c>
      <c r="E63" s="79">
        <v>8</v>
      </c>
      <c r="F63" s="78" t="s">
        <v>20</v>
      </c>
      <c r="G63" s="79">
        <v>67.92</v>
      </c>
      <c r="H63" s="79"/>
      <c r="I63" s="80">
        <v>24.589874999999999</v>
      </c>
      <c r="J63" s="80">
        <v>196.71899999999999</v>
      </c>
      <c r="K63" s="81"/>
      <c r="L63" s="77"/>
      <c r="M63" s="77"/>
    </row>
    <row r="64" spans="1:13" x14ac:dyDescent="0.2">
      <c r="A64" s="77" t="s">
        <v>142</v>
      </c>
      <c r="B64" s="82">
        <v>25.1</v>
      </c>
      <c r="C64" s="77">
        <v>0.68500000000000005</v>
      </c>
      <c r="D64" s="78">
        <v>90.42</v>
      </c>
      <c r="E64" s="79">
        <v>132</v>
      </c>
      <c r="F64" s="78" t="s">
        <v>20</v>
      </c>
      <c r="G64" s="79">
        <v>3313.2000000000003</v>
      </c>
      <c r="H64" s="79"/>
      <c r="I64" s="80">
        <v>66.389499999999998</v>
      </c>
      <c r="J64" s="80">
        <v>8763.4140000000007</v>
      </c>
      <c r="K64" s="81"/>
      <c r="L64" s="77"/>
      <c r="M64" s="77"/>
    </row>
    <row r="65" spans="1:13" x14ac:dyDescent="0.2">
      <c r="A65" s="85" t="s">
        <v>143</v>
      </c>
      <c r="B65" s="82">
        <v>22.9</v>
      </c>
      <c r="C65" s="77">
        <v>0.68500000000000005</v>
      </c>
      <c r="D65" s="78">
        <v>3.4250000000000003</v>
      </c>
      <c r="E65" s="79">
        <v>5</v>
      </c>
      <c r="F65" s="78" t="s">
        <v>20</v>
      </c>
      <c r="G65" s="79">
        <v>114.5</v>
      </c>
      <c r="H65" s="79"/>
      <c r="I65" s="80">
        <v>61.07833999999999</v>
      </c>
      <c r="J65" s="80">
        <v>305.39169999999996</v>
      </c>
      <c r="K65" s="81"/>
      <c r="L65" s="77"/>
      <c r="M65" s="77"/>
    </row>
    <row r="66" spans="1:13" x14ac:dyDescent="0.2">
      <c r="A66" s="85" t="s">
        <v>144</v>
      </c>
      <c r="B66" s="82">
        <v>18</v>
      </c>
      <c r="C66" s="77">
        <v>0.5</v>
      </c>
      <c r="D66" s="78">
        <v>9</v>
      </c>
      <c r="E66" s="79">
        <v>18</v>
      </c>
      <c r="F66" s="78" t="s">
        <v>20</v>
      </c>
      <c r="G66" s="79">
        <v>324</v>
      </c>
      <c r="H66" s="79"/>
      <c r="I66" s="80">
        <v>57.235500000000002</v>
      </c>
      <c r="J66" s="80">
        <v>1030.239</v>
      </c>
      <c r="K66" s="81"/>
      <c r="L66" s="77"/>
      <c r="M66" s="77"/>
    </row>
    <row r="67" spans="1:13" x14ac:dyDescent="0.2">
      <c r="A67" s="85" t="s">
        <v>145</v>
      </c>
      <c r="B67" s="82">
        <v>15</v>
      </c>
      <c r="C67" s="77">
        <v>0.6</v>
      </c>
      <c r="D67" s="78">
        <v>7.1999999999999993</v>
      </c>
      <c r="E67" s="79">
        <v>12</v>
      </c>
      <c r="F67" s="78" t="s">
        <v>20</v>
      </c>
      <c r="G67" s="79">
        <v>180</v>
      </c>
      <c r="H67" s="79"/>
      <c r="I67" s="80">
        <v>42.55</v>
      </c>
      <c r="J67" s="80">
        <v>510.59999999999997</v>
      </c>
      <c r="K67" s="81"/>
      <c r="L67" s="77"/>
      <c r="M67" s="77"/>
    </row>
    <row r="68" spans="1:13" x14ac:dyDescent="0.2">
      <c r="A68" s="85"/>
      <c r="B68" s="82"/>
      <c r="C68" s="77"/>
      <c r="D68" s="78"/>
      <c r="E68" s="79"/>
      <c r="F68" s="78"/>
      <c r="G68" s="79"/>
      <c r="H68" s="79"/>
      <c r="I68" s="80"/>
      <c r="J68" s="80"/>
      <c r="K68" s="81"/>
      <c r="L68" s="77"/>
      <c r="M68" s="77"/>
    </row>
    <row r="69" spans="1:13" x14ac:dyDescent="0.2">
      <c r="A69" s="77" t="s">
        <v>146</v>
      </c>
      <c r="B69" s="77"/>
      <c r="C69" s="77"/>
      <c r="D69" s="78"/>
      <c r="E69" s="79"/>
      <c r="F69" s="78"/>
      <c r="G69" s="79"/>
      <c r="H69" s="79"/>
      <c r="I69" s="80"/>
      <c r="J69" s="80">
        <v>3158.5598576376187</v>
      </c>
      <c r="K69" s="81"/>
      <c r="L69" s="77"/>
      <c r="M69" s="77"/>
    </row>
    <row r="70" spans="1:13" x14ac:dyDescent="0.2">
      <c r="A70" s="85" t="s">
        <v>147</v>
      </c>
      <c r="B70" s="77"/>
      <c r="C70" s="77"/>
      <c r="D70" s="78">
        <v>160</v>
      </c>
      <c r="E70" s="79" t="s">
        <v>20</v>
      </c>
      <c r="F70" s="78"/>
      <c r="G70" s="79"/>
      <c r="H70" s="79"/>
      <c r="I70" s="80">
        <v>5.94</v>
      </c>
      <c r="J70" s="80">
        <v>950.40000000000009</v>
      </c>
      <c r="K70" s="81"/>
      <c r="L70" s="77"/>
      <c r="M70" s="77"/>
    </row>
    <row r="71" spans="1:13" x14ac:dyDescent="0.2">
      <c r="A71" s="85" t="s">
        <v>148</v>
      </c>
      <c r="B71" s="77"/>
      <c r="C71" s="77"/>
      <c r="D71" s="78">
        <v>10</v>
      </c>
      <c r="E71" s="79" t="s">
        <v>102</v>
      </c>
      <c r="F71" s="78"/>
      <c r="G71" s="79"/>
      <c r="H71" s="79"/>
      <c r="I71" s="80">
        <v>17.25</v>
      </c>
      <c r="J71" s="80">
        <v>172.5</v>
      </c>
      <c r="K71" s="81"/>
      <c r="L71" s="77"/>
      <c r="M71" s="77"/>
    </row>
    <row r="72" spans="1:13" x14ac:dyDescent="0.2">
      <c r="A72" s="85" t="s">
        <v>149</v>
      </c>
      <c r="B72" s="77"/>
      <c r="C72" s="77"/>
      <c r="D72" s="78">
        <v>68</v>
      </c>
      <c r="E72" s="79" t="s">
        <v>150</v>
      </c>
      <c r="F72" s="78"/>
      <c r="G72" s="79"/>
      <c r="H72" s="79"/>
      <c r="I72" s="80">
        <v>4.5999999999999996</v>
      </c>
      <c r="J72" s="80">
        <v>312.79999999999995</v>
      </c>
      <c r="K72" s="81"/>
      <c r="L72" s="77"/>
      <c r="M72" s="77"/>
    </row>
    <row r="73" spans="1:13" x14ac:dyDescent="0.2">
      <c r="A73" s="77"/>
      <c r="B73" s="77"/>
      <c r="C73" s="77"/>
      <c r="D73" s="78"/>
      <c r="E73" s="79"/>
      <c r="F73" s="78"/>
      <c r="G73" s="79"/>
      <c r="H73" s="79"/>
      <c r="I73" s="80"/>
      <c r="J73" s="80"/>
      <c r="K73" s="81"/>
      <c r="L73" s="77"/>
      <c r="M73" s="77"/>
    </row>
    <row r="74" spans="1:13" x14ac:dyDescent="0.2">
      <c r="A74" s="85" t="s">
        <v>151</v>
      </c>
      <c r="B74" s="77"/>
      <c r="C74" s="77"/>
      <c r="D74" s="78">
        <v>1</v>
      </c>
      <c r="E74" s="79">
        <v>15</v>
      </c>
      <c r="F74" s="78" t="s">
        <v>102</v>
      </c>
      <c r="G74" s="78">
        <v>15</v>
      </c>
      <c r="H74" s="78" t="s">
        <v>102</v>
      </c>
      <c r="I74" s="81">
        <v>175</v>
      </c>
      <c r="J74" s="81">
        <v>2625</v>
      </c>
      <c r="K74" s="86"/>
      <c r="L74" s="77"/>
      <c r="M74" s="77"/>
    </row>
    <row r="75" spans="1:13" x14ac:dyDescent="0.2">
      <c r="A75" s="77" t="s">
        <v>118</v>
      </c>
      <c r="B75" s="77"/>
      <c r="C75" s="77"/>
      <c r="D75" s="78">
        <v>40</v>
      </c>
      <c r="E75" s="79" t="s">
        <v>102</v>
      </c>
      <c r="F75" s="78"/>
      <c r="G75" s="79"/>
      <c r="H75" s="79"/>
      <c r="I75" s="80">
        <v>172.5</v>
      </c>
      <c r="J75" s="80">
        <v>6900</v>
      </c>
      <c r="K75" s="81"/>
      <c r="L75" s="87"/>
      <c r="M75" s="77"/>
    </row>
    <row r="76" spans="1:13" x14ac:dyDescent="0.2">
      <c r="A76" s="77" t="s">
        <v>119</v>
      </c>
      <c r="B76" s="77"/>
      <c r="C76" s="77"/>
      <c r="D76" s="78">
        <v>330.04500000000002</v>
      </c>
      <c r="E76" s="79" t="s">
        <v>112</v>
      </c>
      <c r="F76" s="78"/>
      <c r="G76" s="79"/>
      <c r="H76" s="79"/>
      <c r="I76" s="80">
        <v>20.7</v>
      </c>
      <c r="J76" s="80">
        <v>6831.9314999999997</v>
      </c>
      <c r="K76" s="81"/>
      <c r="L76" s="87"/>
      <c r="M76" s="77"/>
    </row>
    <row r="77" spans="1:13" x14ac:dyDescent="0.2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</row>
    <row r="78" spans="1:13" ht="15" x14ac:dyDescent="0.25">
      <c r="A78" s="77"/>
      <c r="B78" s="77"/>
      <c r="C78" s="77"/>
      <c r="D78" s="84"/>
      <c r="E78" s="79"/>
      <c r="F78" s="78"/>
      <c r="G78" s="88"/>
      <c r="H78" s="88"/>
      <c r="I78" s="89"/>
      <c r="J78" s="80"/>
      <c r="K78" s="90">
        <v>95478.606557637613</v>
      </c>
      <c r="L78" s="85" t="s">
        <v>99</v>
      </c>
      <c r="M78" s="77"/>
    </row>
    <row r="79" spans="1:13" ht="15" x14ac:dyDescent="0.25">
      <c r="A79" s="77"/>
      <c r="B79" s="77"/>
      <c r="C79" s="77"/>
      <c r="D79" s="84"/>
      <c r="E79" s="79"/>
      <c r="F79" s="78"/>
      <c r="G79" s="88"/>
      <c r="H79" s="88"/>
      <c r="I79" s="89"/>
      <c r="J79" s="80"/>
      <c r="K79" s="90"/>
      <c r="L79" s="77"/>
      <c r="M79" s="77"/>
    </row>
    <row r="80" spans="1:13" x14ac:dyDescent="0.2">
      <c r="A80" s="77"/>
      <c r="B80" s="77"/>
      <c r="C80" s="77"/>
      <c r="D80" s="84" t="s">
        <v>104</v>
      </c>
      <c r="E80" s="88" t="s">
        <v>105</v>
      </c>
      <c r="F80" s="84" t="s">
        <v>106</v>
      </c>
      <c r="G80" s="84" t="s">
        <v>85</v>
      </c>
      <c r="H80" s="88"/>
      <c r="I80" s="89" t="s">
        <v>100</v>
      </c>
      <c r="J80" s="89" t="s">
        <v>85</v>
      </c>
      <c r="K80" s="86"/>
      <c r="L80" s="77"/>
      <c r="M80" s="77"/>
    </row>
    <row r="81" spans="1:13" x14ac:dyDescent="0.2">
      <c r="A81" s="85" t="s">
        <v>152</v>
      </c>
      <c r="B81" s="85"/>
      <c r="C81" s="85"/>
      <c r="D81" s="78">
        <v>1</v>
      </c>
      <c r="E81" s="79">
        <v>60</v>
      </c>
      <c r="F81" s="78"/>
      <c r="G81" s="78">
        <v>60</v>
      </c>
      <c r="H81" s="78" t="s">
        <v>102</v>
      </c>
      <c r="I81" s="81">
        <v>70</v>
      </c>
      <c r="J81" s="81">
        <v>4200</v>
      </c>
      <c r="K81" s="86"/>
      <c r="L81" s="77"/>
      <c r="M81" s="77"/>
    </row>
    <row r="82" spans="1:13" x14ac:dyDescent="0.2">
      <c r="A82" s="74" t="s">
        <v>153</v>
      </c>
      <c r="B82" s="77"/>
      <c r="C82" s="77"/>
      <c r="D82" s="78"/>
      <c r="E82" s="79"/>
      <c r="F82" s="78"/>
      <c r="G82" s="78"/>
      <c r="H82" s="78"/>
      <c r="I82" s="81"/>
      <c r="J82" s="81"/>
      <c r="K82" s="86"/>
      <c r="L82" s="77"/>
      <c r="M82" s="77"/>
    </row>
    <row r="83" spans="1:13" x14ac:dyDescent="0.2">
      <c r="A83" s="77" t="s">
        <v>125</v>
      </c>
      <c r="B83" s="77"/>
      <c r="C83" s="77"/>
      <c r="D83" s="78">
        <v>2</v>
      </c>
      <c r="E83" s="79">
        <v>50</v>
      </c>
      <c r="F83" s="78" t="s">
        <v>102</v>
      </c>
      <c r="G83" s="78">
        <v>100</v>
      </c>
      <c r="H83" s="78" t="s">
        <v>102</v>
      </c>
      <c r="I83" s="81">
        <v>55</v>
      </c>
      <c r="J83" s="81">
        <v>5500</v>
      </c>
      <c r="K83" s="86"/>
      <c r="L83" s="77"/>
      <c r="M83" s="77"/>
    </row>
    <row r="84" spans="1:13" x14ac:dyDescent="0.2">
      <c r="A84" s="85" t="s">
        <v>154</v>
      </c>
      <c r="B84" s="77"/>
      <c r="C84" s="77"/>
      <c r="D84" s="78">
        <v>2</v>
      </c>
      <c r="E84" s="79">
        <v>15</v>
      </c>
      <c r="F84" s="78" t="s">
        <v>102</v>
      </c>
      <c r="G84" s="78">
        <v>30</v>
      </c>
      <c r="H84" s="78" t="s">
        <v>102</v>
      </c>
      <c r="I84" s="81">
        <v>55</v>
      </c>
      <c r="J84" s="81">
        <v>1650</v>
      </c>
      <c r="K84" s="86"/>
      <c r="L84" s="77"/>
      <c r="M84" s="77"/>
    </row>
    <row r="85" spans="1:13" x14ac:dyDescent="0.2">
      <c r="A85" s="77" t="s">
        <v>126</v>
      </c>
      <c r="B85" s="77"/>
      <c r="C85" s="77"/>
      <c r="D85" s="78">
        <v>3</v>
      </c>
      <c r="E85" s="79">
        <v>60</v>
      </c>
      <c r="F85" s="78"/>
      <c r="G85" s="78">
        <v>180</v>
      </c>
      <c r="H85" s="78" t="s">
        <v>102</v>
      </c>
      <c r="I85" s="81">
        <v>55</v>
      </c>
      <c r="J85" s="81">
        <v>9900</v>
      </c>
      <c r="K85" s="86"/>
      <c r="L85" s="77"/>
      <c r="M85" s="77"/>
    </row>
    <row r="86" spans="1:13" x14ac:dyDescent="0.2">
      <c r="A86" s="77" t="s">
        <v>127</v>
      </c>
      <c r="B86" s="77"/>
      <c r="C86" s="77"/>
      <c r="D86" s="78">
        <v>2</v>
      </c>
      <c r="E86" s="79">
        <v>50</v>
      </c>
      <c r="F86" s="78"/>
      <c r="G86" s="78">
        <v>100</v>
      </c>
      <c r="H86" s="78" t="s">
        <v>102</v>
      </c>
      <c r="I86" s="81">
        <v>55</v>
      </c>
      <c r="J86" s="81">
        <v>5500</v>
      </c>
      <c r="K86" s="86"/>
      <c r="L86" s="77"/>
      <c r="M86" s="77"/>
    </row>
    <row r="87" spans="1:13" x14ac:dyDescent="0.2">
      <c r="A87" s="85" t="s">
        <v>155</v>
      </c>
      <c r="B87" s="77"/>
      <c r="C87" s="77"/>
      <c r="D87" s="78">
        <v>1</v>
      </c>
      <c r="E87" s="79">
        <v>12</v>
      </c>
      <c r="F87" s="78"/>
      <c r="G87" s="78">
        <v>12</v>
      </c>
      <c r="H87" s="78" t="s">
        <v>102</v>
      </c>
      <c r="I87" s="81">
        <v>55</v>
      </c>
      <c r="J87" s="81">
        <v>660</v>
      </c>
      <c r="K87" s="86"/>
      <c r="L87" s="77"/>
      <c r="M87" s="77"/>
    </row>
    <row r="88" spans="1:13" x14ac:dyDescent="0.2">
      <c r="A88" s="77" t="s">
        <v>119</v>
      </c>
      <c r="B88" s="77"/>
      <c r="C88" s="77"/>
      <c r="D88" s="78">
        <v>1</v>
      </c>
      <c r="E88" s="79">
        <v>20</v>
      </c>
      <c r="F88" s="78"/>
      <c r="G88" s="78">
        <v>20</v>
      </c>
      <c r="H88" s="78" t="s">
        <v>102</v>
      </c>
      <c r="I88" s="81">
        <v>55</v>
      </c>
      <c r="J88" s="81">
        <v>1100</v>
      </c>
      <c r="K88" s="86"/>
      <c r="L88" s="77"/>
      <c r="M88" s="77"/>
    </row>
    <row r="89" spans="1:13" x14ac:dyDescent="0.2">
      <c r="A89" s="85" t="s">
        <v>156</v>
      </c>
      <c r="B89" s="77"/>
      <c r="C89" s="77"/>
      <c r="D89" s="78">
        <v>2</v>
      </c>
      <c r="E89" s="79">
        <v>4</v>
      </c>
      <c r="F89" s="78"/>
      <c r="G89" s="78">
        <v>8</v>
      </c>
      <c r="H89" s="78" t="s">
        <v>102</v>
      </c>
      <c r="I89" s="81">
        <v>56</v>
      </c>
      <c r="J89" s="81">
        <v>448</v>
      </c>
      <c r="K89" s="86"/>
      <c r="L89" s="77"/>
      <c r="M89" s="77"/>
    </row>
    <row r="90" spans="1:13" x14ac:dyDescent="0.2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</row>
    <row r="91" spans="1:13" x14ac:dyDescent="0.2">
      <c r="A91" s="85"/>
      <c r="B91" s="77"/>
      <c r="C91" s="77"/>
      <c r="D91" s="78"/>
      <c r="E91" s="79"/>
      <c r="F91" s="78"/>
      <c r="G91" s="78"/>
      <c r="H91" s="78"/>
      <c r="I91" s="81"/>
      <c r="J91" s="81"/>
      <c r="K91" s="86"/>
      <c r="L91" s="77"/>
      <c r="M91" s="77"/>
    </row>
    <row r="92" spans="1:13" x14ac:dyDescent="0.2">
      <c r="A92" s="74" t="s">
        <v>157</v>
      </c>
      <c r="B92" s="77"/>
      <c r="C92" s="77"/>
      <c r="D92" s="78"/>
      <c r="E92" s="79"/>
      <c r="F92" s="78"/>
      <c r="G92" s="78"/>
      <c r="H92" s="78"/>
      <c r="I92" s="81"/>
      <c r="J92" s="81"/>
      <c r="K92" s="86"/>
      <c r="L92" s="77"/>
      <c r="M92" s="77"/>
    </row>
    <row r="93" spans="1:13" x14ac:dyDescent="0.2">
      <c r="A93" s="85" t="s">
        <v>158</v>
      </c>
      <c r="B93" s="77"/>
      <c r="C93" s="77"/>
      <c r="D93" s="78">
        <v>1</v>
      </c>
      <c r="E93" s="79">
        <v>14</v>
      </c>
      <c r="F93" s="78" t="s">
        <v>102</v>
      </c>
      <c r="G93" s="78">
        <v>14</v>
      </c>
      <c r="H93" s="78" t="s">
        <v>102</v>
      </c>
      <c r="I93" s="81">
        <v>55</v>
      </c>
      <c r="J93" s="81">
        <v>770</v>
      </c>
      <c r="K93" s="86"/>
      <c r="L93" s="77"/>
      <c r="M93" s="77"/>
    </row>
    <row r="94" spans="1:13" x14ac:dyDescent="0.2">
      <c r="A94" s="85" t="s">
        <v>159</v>
      </c>
      <c r="B94" s="77"/>
      <c r="C94" s="77"/>
      <c r="D94" s="78">
        <v>1</v>
      </c>
      <c r="E94" s="79">
        <v>44</v>
      </c>
      <c r="F94" s="78"/>
      <c r="G94" s="78">
        <v>44</v>
      </c>
      <c r="H94" s="78" t="s">
        <v>102</v>
      </c>
      <c r="I94" s="81">
        <v>55</v>
      </c>
      <c r="J94" s="81">
        <v>2420</v>
      </c>
      <c r="K94" s="86"/>
      <c r="L94" s="77"/>
      <c r="M94" s="77"/>
    </row>
    <row r="95" spans="1:13" x14ac:dyDescent="0.2">
      <c r="A95" s="85" t="s">
        <v>160</v>
      </c>
      <c r="B95" s="77"/>
      <c r="C95" s="77"/>
      <c r="D95" s="78">
        <v>2</v>
      </c>
      <c r="E95" s="79">
        <v>50</v>
      </c>
      <c r="F95" s="78"/>
      <c r="G95" s="78">
        <v>100</v>
      </c>
      <c r="H95" s="78" t="s">
        <v>102</v>
      </c>
      <c r="I95" s="81">
        <v>55</v>
      </c>
      <c r="J95" s="81">
        <v>5500</v>
      </c>
      <c r="K95" s="86"/>
      <c r="L95" s="77"/>
      <c r="M95" s="77"/>
    </row>
    <row r="96" spans="1:13" ht="13.5" customHeight="1" x14ac:dyDescent="0.2">
      <c r="A96" s="77" t="s">
        <v>127</v>
      </c>
      <c r="B96" s="77"/>
      <c r="C96" s="77"/>
      <c r="D96" s="78">
        <v>2</v>
      </c>
      <c r="E96" s="79">
        <v>50</v>
      </c>
      <c r="F96" s="78"/>
      <c r="G96" s="78">
        <v>100</v>
      </c>
      <c r="H96" s="78" t="s">
        <v>102</v>
      </c>
      <c r="I96" s="81">
        <v>55</v>
      </c>
      <c r="J96" s="81">
        <v>5500</v>
      </c>
      <c r="K96" s="86"/>
      <c r="L96" s="77"/>
      <c r="M96" s="77"/>
    </row>
    <row r="97" spans="1:13" x14ac:dyDescent="0.2">
      <c r="A97" s="77"/>
      <c r="B97" s="77"/>
      <c r="C97" s="77"/>
      <c r="D97" s="78"/>
      <c r="E97" s="79"/>
      <c r="F97" s="78"/>
      <c r="G97" s="78"/>
      <c r="H97" s="78"/>
      <c r="I97" s="81"/>
      <c r="J97" s="81"/>
      <c r="K97" s="86"/>
      <c r="L97" s="77"/>
      <c r="M97" s="77"/>
    </row>
    <row r="98" spans="1:13" ht="15" x14ac:dyDescent="0.25">
      <c r="A98" s="77"/>
      <c r="B98" s="77"/>
      <c r="C98" s="77"/>
      <c r="D98" s="78"/>
      <c r="E98" s="79"/>
      <c r="F98" s="78"/>
      <c r="G98" s="78"/>
      <c r="H98" s="78"/>
      <c r="I98" s="81"/>
      <c r="J98" s="81"/>
      <c r="K98" s="91"/>
      <c r="L98" s="77"/>
      <c r="M98" s="77"/>
    </row>
    <row r="99" spans="1:13" ht="15" x14ac:dyDescent="0.25">
      <c r="A99" s="77"/>
      <c r="B99" s="77"/>
      <c r="C99" s="77"/>
      <c r="D99" s="77"/>
      <c r="E99" s="77"/>
      <c r="F99" s="77"/>
      <c r="G99" s="77">
        <v>768</v>
      </c>
      <c r="H99" s="77"/>
      <c r="I99" s="91"/>
      <c r="J99" s="91"/>
      <c r="K99" s="91">
        <v>43148</v>
      </c>
      <c r="L99" s="85" t="s">
        <v>161</v>
      </c>
      <c r="M99" s="77"/>
    </row>
    <row r="100" spans="1:13" ht="15" x14ac:dyDescent="0.25">
      <c r="A100" s="77"/>
      <c r="B100" s="77"/>
      <c r="C100" s="77"/>
      <c r="D100" s="77"/>
      <c r="E100" s="77"/>
      <c r="F100" s="77"/>
      <c r="G100" s="77"/>
      <c r="H100" s="77"/>
      <c r="I100" s="91"/>
      <c r="J100" s="91"/>
      <c r="K100" s="91"/>
      <c r="L100" s="87">
        <v>138626.60655763763</v>
      </c>
      <c r="M100" s="85" t="s">
        <v>162</v>
      </c>
    </row>
    <row r="101" spans="1:13" ht="15" x14ac:dyDescent="0.25">
      <c r="A101" s="74" t="s">
        <v>163</v>
      </c>
      <c r="B101" s="77"/>
      <c r="C101" s="77"/>
      <c r="D101" s="78"/>
      <c r="E101" s="79"/>
      <c r="F101" s="78"/>
      <c r="G101" s="78"/>
      <c r="H101" s="78"/>
      <c r="I101" s="81"/>
      <c r="J101" s="81"/>
      <c r="K101" s="91"/>
      <c r="L101" s="77"/>
      <c r="M101" s="77"/>
    </row>
    <row r="102" spans="1:13" ht="15" x14ac:dyDescent="0.25">
      <c r="A102" s="85" t="s">
        <v>164</v>
      </c>
      <c r="B102" s="77"/>
      <c r="C102" s="77"/>
      <c r="D102" s="78">
        <v>4</v>
      </c>
      <c r="E102" s="79">
        <v>10</v>
      </c>
      <c r="F102" s="78" t="s">
        <v>102</v>
      </c>
      <c r="G102" s="78">
        <v>40</v>
      </c>
      <c r="H102" s="78" t="s">
        <v>102</v>
      </c>
      <c r="I102" s="81">
        <v>55</v>
      </c>
      <c r="J102" s="81">
        <v>2200</v>
      </c>
      <c r="K102" s="91"/>
      <c r="L102" s="77"/>
      <c r="M102" s="77"/>
    </row>
    <row r="103" spans="1:13" ht="15" x14ac:dyDescent="0.25">
      <c r="A103" s="85" t="s">
        <v>165</v>
      </c>
      <c r="B103" s="77"/>
      <c r="C103" s="77"/>
      <c r="D103" s="78">
        <v>4</v>
      </c>
      <c r="E103" s="79">
        <v>6</v>
      </c>
      <c r="F103" s="78" t="s">
        <v>102</v>
      </c>
      <c r="G103" s="78">
        <v>24</v>
      </c>
      <c r="H103" s="78" t="s">
        <v>102</v>
      </c>
      <c r="I103" s="81">
        <v>55</v>
      </c>
      <c r="J103" s="81">
        <v>1320</v>
      </c>
      <c r="K103" s="91"/>
      <c r="L103" s="77"/>
      <c r="M103" s="77"/>
    </row>
    <row r="104" spans="1:13" ht="15" x14ac:dyDescent="0.25">
      <c r="A104" s="85" t="s">
        <v>166</v>
      </c>
      <c r="B104" s="77"/>
      <c r="C104" s="77"/>
      <c r="D104" s="78">
        <v>2</v>
      </c>
      <c r="E104" s="79">
        <v>6</v>
      </c>
      <c r="F104" s="78" t="s">
        <v>102</v>
      </c>
      <c r="G104" s="78">
        <v>12</v>
      </c>
      <c r="H104" s="78" t="s">
        <v>102</v>
      </c>
      <c r="I104" s="81">
        <v>55</v>
      </c>
      <c r="J104" s="81">
        <v>660</v>
      </c>
      <c r="K104" s="91"/>
      <c r="L104" s="77"/>
      <c r="M104" s="77"/>
    </row>
    <row r="105" spans="1:13" ht="15" x14ac:dyDescent="0.25">
      <c r="A105" s="85" t="s">
        <v>167</v>
      </c>
      <c r="B105" s="77"/>
      <c r="C105" s="77"/>
      <c r="D105" s="78">
        <v>2</v>
      </c>
      <c r="E105" s="79">
        <v>10</v>
      </c>
      <c r="F105" s="78" t="s">
        <v>102</v>
      </c>
      <c r="G105" s="78">
        <v>20</v>
      </c>
      <c r="H105" s="78" t="s">
        <v>102</v>
      </c>
      <c r="I105" s="81">
        <v>55</v>
      </c>
      <c r="J105" s="81">
        <v>1100</v>
      </c>
      <c r="K105" s="91"/>
      <c r="L105" s="77"/>
      <c r="M105" s="77"/>
    </row>
    <row r="106" spans="1:13" ht="15" x14ac:dyDescent="0.25">
      <c r="A106" s="85" t="s">
        <v>168</v>
      </c>
      <c r="B106" s="77"/>
      <c r="C106" s="77"/>
      <c r="D106" s="78">
        <v>1</v>
      </c>
      <c r="E106" s="79">
        <v>4</v>
      </c>
      <c r="F106" s="78" t="s">
        <v>102</v>
      </c>
      <c r="G106" s="78">
        <v>4</v>
      </c>
      <c r="H106" s="78" t="s">
        <v>102</v>
      </c>
      <c r="I106" s="81">
        <v>55</v>
      </c>
      <c r="J106" s="81">
        <v>220</v>
      </c>
      <c r="K106" s="91"/>
      <c r="L106" s="77"/>
      <c r="M106" s="77"/>
    </row>
    <row r="107" spans="1:13" ht="15" x14ac:dyDescent="0.25">
      <c r="A107" s="77" t="s">
        <v>169</v>
      </c>
      <c r="B107" s="77"/>
      <c r="C107" s="77"/>
      <c r="D107" s="77"/>
      <c r="E107" s="77"/>
      <c r="F107" s="77"/>
      <c r="G107" s="77"/>
      <c r="H107" s="77"/>
      <c r="I107" s="77"/>
      <c r="J107" s="91">
        <v>250</v>
      </c>
      <c r="K107" s="77"/>
      <c r="L107" s="77"/>
      <c r="M107" s="77"/>
    </row>
    <row r="108" spans="1:13" x14ac:dyDescent="0.2">
      <c r="A108" s="85"/>
      <c r="B108" s="77"/>
      <c r="C108" s="77"/>
      <c r="D108" s="78"/>
      <c r="E108" s="79"/>
      <c r="F108" s="78"/>
      <c r="G108" s="78"/>
      <c r="H108" s="78"/>
      <c r="I108" s="81"/>
      <c r="J108" s="81"/>
      <c r="K108" s="86">
        <v>5750</v>
      </c>
      <c r="L108" s="87">
        <v>5750</v>
      </c>
      <c r="M108" s="85" t="s">
        <v>163</v>
      </c>
    </row>
    <row r="109" spans="1:13" x14ac:dyDescent="0.2">
      <c r="A109" s="85"/>
      <c r="B109" s="77"/>
      <c r="C109" s="77"/>
      <c r="D109" s="78"/>
      <c r="E109" s="79"/>
      <c r="F109" s="78"/>
      <c r="G109" s="78"/>
      <c r="H109" s="78"/>
      <c r="I109" s="81"/>
      <c r="J109" s="81"/>
      <c r="K109" s="86"/>
      <c r="L109" s="77"/>
      <c r="M109" s="77"/>
    </row>
    <row r="110" spans="1:13" ht="15" x14ac:dyDescent="0.25">
      <c r="A110" s="77"/>
      <c r="B110" s="77"/>
      <c r="C110" s="77"/>
      <c r="D110" s="77"/>
      <c r="E110" s="77"/>
      <c r="F110" s="77"/>
      <c r="G110" s="77"/>
      <c r="H110" s="77"/>
      <c r="I110" s="91"/>
      <c r="J110" s="91"/>
      <c r="K110" s="91"/>
      <c r="L110" s="87"/>
      <c r="M110" s="77"/>
    </row>
    <row r="111" spans="1:13" x14ac:dyDescent="0.2">
      <c r="A111" s="74" t="s">
        <v>170</v>
      </c>
      <c r="B111" s="77"/>
      <c r="C111" s="77"/>
      <c r="D111" s="78">
        <v>1</v>
      </c>
      <c r="E111" s="79"/>
      <c r="F111" s="78"/>
      <c r="G111" s="79"/>
      <c r="H111" s="79"/>
      <c r="I111" s="80">
        <v>3725</v>
      </c>
      <c r="J111" s="80">
        <v>3725</v>
      </c>
      <c r="K111" s="81"/>
      <c r="L111" s="87">
        <v>3725</v>
      </c>
      <c r="M111" s="85" t="s">
        <v>171</v>
      </c>
    </row>
    <row r="112" spans="1:13" x14ac:dyDescent="0.2">
      <c r="A112" s="74" t="s">
        <v>172</v>
      </c>
      <c r="B112" s="77"/>
      <c r="C112" s="77"/>
      <c r="D112" s="78">
        <v>1</v>
      </c>
      <c r="E112" s="79">
        <v>15</v>
      </c>
      <c r="F112" s="78" t="s">
        <v>102</v>
      </c>
      <c r="G112" s="78">
        <v>15</v>
      </c>
      <c r="H112" s="78" t="s">
        <v>102</v>
      </c>
      <c r="I112" s="81">
        <v>175</v>
      </c>
      <c r="J112" s="81">
        <v>2625</v>
      </c>
      <c r="K112" s="86"/>
      <c r="L112" s="87">
        <v>2625</v>
      </c>
      <c r="M112" s="85" t="s">
        <v>173</v>
      </c>
    </row>
    <row r="113" spans="1:13" ht="15" x14ac:dyDescent="0.25">
      <c r="A113" s="74" t="s">
        <v>174</v>
      </c>
      <c r="B113" s="77"/>
      <c r="C113" s="77"/>
      <c r="D113" s="77">
        <v>1</v>
      </c>
      <c r="E113" s="77"/>
      <c r="F113" s="77"/>
      <c r="G113" s="77"/>
      <c r="H113" s="77"/>
      <c r="I113" s="77"/>
      <c r="J113" s="91">
        <v>2229.707142857143</v>
      </c>
      <c r="K113" s="77"/>
      <c r="L113" s="87">
        <v>2229.707142857143</v>
      </c>
      <c r="M113" s="85" t="s">
        <v>174</v>
      </c>
    </row>
    <row r="114" spans="1:13" x14ac:dyDescent="0.2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</row>
    <row r="115" spans="1:13" x14ac:dyDescent="0.2">
      <c r="A115" s="74" t="s">
        <v>175</v>
      </c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</row>
    <row r="116" spans="1:13" x14ac:dyDescent="0.2">
      <c r="A116" s="85" t="s">
        <v>176</v>
      </c>
      <c r="B116" s="85"/>
      <c r="C116" s="77"/>
      <c r="D116" s="78">
        <v>3</v>
      </c>
      <c r="E116" s="79">
        <v>7</v>
      </c>
      <c r="F116" s="78" t="s">
        <v>102</v>
      </c>
      <c r="G116" s="78">
        <v>21</v>
      </c>
      <c r="H116" s="78" t="s">
        <v>102</v>
      </c>
      <c r="I116" s="81">
        <v>55</v>
      </c>
      <c r="J116" s="81">
        <v>1155</v>
      </c>
      <c r="K116" s="86"/>
      <c r="L116" s="77"/>
      <c r="M116" s="77"/>
    </row>
    <row r="117" spans="1:13" x14ac:dyDescent="0.2">
      <c r="A117" s="78" t="s">
        <v>177</v>
      </c>
      <c r="B117" s="77">
        <v>6</v>
      </c>
      <c r="C117" s="77">
        <v>1</v>
      </c>
      <c r="D117" s="78">
        <v>4</v>
      </c>
      <c r="E117" s="79">
        <v>4</v>
      </c>
      <c r="F117" s="78" t="s">
        <v>112</v>
      </c>
      <c r="G117" s="79">
        <v>188.4</v>
      </c>
      <c r="H117" s="79"/>
      <c r="I117" s="80">
        <v>113.79249999999999</v>
      </c>
      <c r="J117" s="80">
        <v>455.16999999999996</v>
      </c>
      <c r="K117" s="77"/>
      <c r="L117" s="77"/>
      <c r="M117" s="77"/>
    </row>
    <row r="118" spans="1:13" ht="15" x14ac:dyDescent="0.25">
      <c r="A118" s="78" t="s">
        <v>169</v>
      </c>
      <c r="B118" s="77"/>
      <c r="C118" s="77"/>
      <c r="D118" s="77">
        <v>1</v>
      </c>
      <c r="E118" s="77"/>
      <c r="F118" s="77"/>
      <c r="G118" s="77"/>
      <c r="H118" s="77"/>
      <c r="I118" s="77"/>
      <c r="J118" s="91">
        <v>150</v>
      </c>
      <c r="K118" s="77"/>
      <c r="L118" s="77"/>
      <c r="M118" s="77"/>
    </row>
    <row r="119" spans="1:13" x14ac:dyDescent="0.2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</row>
    <row r="120" spans="1:13" x14ac:dyDescent="0.2">
      <c r="A120" s="77"/>
      <c r="B120" s="77"/>
      <c r="C120" s="77"/>
      <c r="D120" s="77"/>
      <c r="E120" s="77"/>
      <c r="F120" s="77"/>
      <c r="G120" s="77"/>
      <c r="H120" s="77"/>
      <c r="I120" s="77"/>
      <c r="J120" s="87"/>
      <c r="K120" s="87">
        <v>1760.17</v>
      </c>
      <c r="L120" s="87">
        <v>1760.17</v>
      </c>
      <c r="M120" s="85" t="s">
        <v>178</v>
      </c>
    </row>
    <row r="122" spans="1:13" x14ac:dyDescent="0.2">
      <c r="J122" s="92">
        <v>154716.48370049478</v>
      </c>
      <c r="L122" s="92">
        <v>154716.48370049478</v>
      </c>
    </row>
  </sheetData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O70"/>
  <sheetViews>
    <sheetView topLeftCell="A49" workbookViewId="0">
      <selection activeCell="E14" sqref="E14"/>
    </sheetView>
  </sheetViews>
  <sheetFormatPr defaultRowHeight="12.75" x14ac:dyDescent="0.2"/>
  <cols>
    <col min="1" max="16384" width="9.140625" style="38"/>
  </cols>
  <sheetData>
    <row r="6" spans="2:15" x14ac:dyDescent="0.2">
      <c r="B6" s="93" t="s">
        <v>179</v>
      </c>
      <c r="H6" s="58"/>
      <c r="I6" s="58"/>
      <c r="J6" s="58"/>
      <c r="K6" s="94"/>
      <c r="L6" s="95"/>
      <c r="M6" s="96"/>
      <c r="N6" s="96"/>
      <c r="O6" s="58"/>
    </row>
    <row r="7" spans="2:15" x14ac:dyDescent="0.2">
      <c r="B7" s="38" t="s">
        <v>180</v>
      </c>
      <c r="H7" s="58"/>
      <c r="I7" s="58"/>
      <c r="J7" s="58"/>
      <c r="K7" s="94"/>
      <c r="L7" s="95"/>
      <c r="M7" s="58"/>
      <c r="N7" s="96"/>
      <c r="O7" s="58"/>
    </row>
    <row r="8" spans="2:15" x14ac:dyDescent="0.2">
      <c r="B8" s="38" t="s">
        <v>181</v>
      </c>
      <c r="D8" s="97">
        <v>20</v>
      </c>
      <c r="E8" s="38" t="s">
        <v>182</v>
      </c>
      <c r="H8" s="58"/>
      <c r="I8" s="58"/>
      <c r="J8" s="58"/>
      <c r="K8" s="94"/>
      <c r="L8" s="95"/>
      <c r="M8" s="58"/>
      <c r="N8" s="96"/>
      <c r="O8" s="58"/>
    </row>
    <row r="9" spans="2:15" x14ac:dyDescent="0.2">
      <c r="B9" s="38" t="s">
        <v>183</v>
      </c>
      <c r="D9" s="97">
        <v>1.2</v>
      </c>
      <c r="E9" s="38" t="s">
        <v>184</v>
      </c>
      <c r="H9" s="58"/>
      <c r="I9" s="58"/>
      <c r="J9" s="58"/>
      <c r="K9" s="94"/>
      <c r="L9" s="95"/>
      <c r="M9" s="58"/>
      <c r="N9" s="96"/>
      <c r="O9" s="58"/>
    </row>
    <row r="10" spans="2:15" x14ac:dyDescent="0.2">
      <c r="B10" s="38" t="s">
        <v>185</v>
      </c>
      <c r="D10" s="38">
        <f>$D$9*$D$9*3.1415927/4000000*7850</f>
        <v>8.8781409701999998E-3</v>
      </c>
      <c r="E10" s="38" t="s">
        <v>186</v>
      </c>
      <c r="H10" s="58"/>
      <c r="I10" s="58"/>
      <c r="J10" s="58"/>
      <c r="K10" s="94"/>
      <c r="L10" s="95"/>
      <c r="M10" s="58"/>
      <c r="N10" s="96"/>
      <c r="O10" s="58"/>
    </row>
    <row r="11" spans="2:15" x14ac:dyDescent="0.2">
      <c r="B11" s="38" t="s">
        <v>187</v>
      </c>
      <c r="D11" s="97">
        <v>0.25</v>
      </c>
      <c r="E11" s="38" t="s">
        <v>188</v>
      </c>
      <c r="H11" s="58"/>
      <c r="I11" s="58"/>
      <c r="J11" s="58"/>
      <c r="K11" s="94"/>
      <c r="L11" s="95"/>
      <c r="M11" s="58"/>
      <c r="N11" s="96"/>
      <c r="O11" s="58"/>
    </row>
    <row r="12" spans="2:15" x14ac:dyDescent="0.2">
      <c r="B12" s="38" t="s">
        <v>189</v>
      </c>
      <c r="D12" s="38">
        <v>0.42</v>
      </c>
      <c r="H12" s="58"/>
      <c r="I12" s="58"/>
      <c r="J12" s="58"/>
      <c r="K12" s="94"/>
      <c r="L12" s="95"/>
      <c r="M12" s="58"/>
      <c r="N12" s="96"/>
      <c r="O12" s="58"/>
    </row>
    <row r="13" spans="2:15" x14ac:dyDescent="0.2">
      <c r="B13" s="38" t="s">
        <v>190</v>
      </c>
      <c r="D13" s="38">
        <v>0.9</v>
      </c>
      <c r="H13" s="58"/>
      <c r="I13" s="58"/>
      <c r="J13" s="58"/>
      <c r="K13" s="94"/>
      <c r="L13" s="95"/>
      <c r="M13" s="58"/>
      <c r="N13" s="96"/>
      <c r="O13" s="58"/>
    </row>
    <row r="14" spans="2:15" x14ac:dyDescent="0.2">
      <c r="C14" s="38" t="s">
        <v>191</v>
      </c>
      <c r="D14" s="38" t="s">
        <v>192</v>
      </c>
      <c r="E14" s="38" t="s">
        <v>193</v>
      </c>
      <c r="F14" s="38" t="s">
        <v>194</v>
      </c>
      <c r="G14" s="38" t="s">
        <v>195</v>
      </c>
      <c r="H14" s="58" t="s">
        <v>196</v>
      </c>
      <c r="I14" s="58" t="s">
        <v>197</v>
      </c>
      <c r="J14" s="58" t="s">
        <v>198</v>
      </c>
      <c r="K14" s="94"/>
      <c r="L14" s="95"/>
      <c r="M14" s="58"/>
      <c r="N14" s="96"/>
      <c r="O14" s="58"/>
    </row>
    <row r="15" spans="2:15" x14ac:dyDescent="0.2">
      <c r="B15" s="38" t="s">
        <v>199</v>
      </c>
      <c r="C15" s="38">
        <f>103+(10*14)</f>
        <v>243</v>
      </c>
      <c r="D15" s="38">
        <v>10</v>
      </c>
      <c r="E15" s="38">
        <f>(((D15*2)*(D15*2)*3.1416/4)/1000000*7850)/4*C15</f>
        <v>149.81897699999999</v>
      </c>
      <c r="F15" s="98">
        <f>E15/$D$10/$D$13</f>
        <v>18750.043568665027</v>
      </c>
      <c r="G15" s="99">
        <f>E15/$D$13</f>
        <v>166.46552999999997</v>
      </c>
      <c r="H15" s="100">
        <f>F15/$D$11/60</f>
        <v>1250.0029045776685</v>
      </c>
      <c r="I15" s="100">
        <f>H15/60/$D$12</f>
        <v>49.603289864193194</v>
      </c>
      <c r="J15" s="100">
        <f>H15*$D$8</f>
        <v>25000.058091553368</v>
      </c>
      <c r="K15" s="94"/>
      <c r="L15" s="95"/>
      <c r="M15" s="58"/>
      <c r="N15" s="96"/>
      <c r="O15" s="58"/>
    </row>
    <row r="16" spans="2:15" x14ac:dyDescent="0.2">
      <c r="F16" s="98"/>
      <c r="G16" s="99"/>
      <c r="H16" s="100"/>
      <c r="I16" s="58" t="s">
        <v>200</v>
      </c>
      <c r="J16" s="100"/>
      <c r="K16" s="94"/>
      <c r="L16" s="95"/>
      <c r="M16" s="58"/>
      <c r="N16" s="96"/>
      <c r="O16" s="58"/>
    </row>
    <row r="17" spans="2:15" x14ac:dyDescent="0.2">
      <c r="F17" s="98"/>
      <c r="G17" s="99"/>
      <c r="H17" s="100"/>
      <c r="I17" s="100">
        <f>60*I15</f>
        <v>2976.1973918515914</v>
      </c>
      <c r="J17" s="100"/>
      <c r="K17" s="94"/>
      <c r="L17" s="95"/>
      <c r="M17" s="58"/>
      <c r="N17" s="96"/>
      <c r="O17" s="58"/>
    </row>
    <row r="18" spans="2:15" x14ac:dyDescent="0.2">
      <c r="B18" s="101" t="s">
        <v>201</v>
      </c>
      <c r="C18" s="58"/>
      <c r="D18" s="58"/>
      <c r="E18" s="58"/>
      <c r="F18" s="58"/>
      <c r="G18" s="58"/>
      <c r="H18" s="58"/>
      <c r="I18" s="58"/>
      <c r="J18" s="94"/>
      <c r="K18" s="95"/>
      <c r="L18" s="58"/>
      <c r="M18" s="96"/>
      <c r="N18" s="102"/>
      <c r="O18" s="58"/>
    </row>
    <row r="19" spans="2:15" x14ac:dyDescent="0.2">
      <c r="B19" s="101" t="s">
        <v>202</v>
      </c>
      <c r="C19" s="58"/>
      <c r="D19" s="58"/>
      <c r="E19" s="58"/>
      <c r="F19" s="103">
        <f>SUM(G15:G17)</f>
        <v>166.46552999999997</v>
      </c>
      <c r="G19" s="58" t="s">
        <v>11</v>
      </c>
      <c r="H19" s="103">
        <f>F19/15</f>
        <v>11.097701999999998</v>
      </c>
      <c r="I19" s="103" t="s">
        <v>203</v>
      </c>
      <c r="J19" s="104"/>
      <c r="K19" s="95"/>
      <c r="L19" s="58"/>
      <c r="M19" s="96">
        <v>55</v>
      </c>
      <c r="N19" s="102">
        <f>H19*M19</f>
        <v>610.37360999999987</v>
      </c>
      <c r="O19" s="96"/>
    </row>
    <row r="20" spans="2:15" x14ac:dyDescent="0.2">
      <c r="B20" s="101" t="s">
        <v>204</v>
      </c>
      <c r="C20" s="58"/>
      <c r="D20" s="58"/>
      <c r="E20" s="58"/>
      <c r="F20" s="103">
        <f>SUM(J15:J17)</f>
        <v>25000.058091553368</v>
      </c>
      <c r="G20" s="58" t="s">
        <v>182</v>
      </c>
      <c r="H20" s="103">
        <f>F20/8000</f>
        <v>3.1250072614441708</v>
      </c>
      <c r="I20" s="63" t="s">
        <v>205</v>
      </c>
      <c r="J20" s="94"/>
      <c r="K20" s="95"/>
      <c r="L20" s="58"/>
      <c r="M20" s="96">
        <v>200</v>
      </c>
      <c r="N20" s="102">
        <f>H20*M20</f>
        <v>625.00145228883412</v>
      </c>
      <c r="O20" s="96"/>
    </row>
    <row r="21" spans="2:15" x14ac:dyDescent="0.2">
      <c r="B21" s="101" t="s">
        <v>206</v>
      </c>
      <c r="C21" s="58"/>
      <c r="D21" s="58"/>
      <c r="E21" s="58"/>
      <c r="F21" s="103">
        <f>SUM(H15:H16)/60</f>
        <v>20.833381742961141</v>
      </c>
      <c r="G21" s="58" t="s">
        <v>102</v>
      </c>
      <c r="H21" s="58"/>
      <c r="I21" s="58"/>
      <c r="J21" s="94"/>
      <c r="K21" s="95"/>
      <c r="L21" s="58"/>
      <c r="M21" s="96">
        <v>15</v>
      </c>
      <c r="N21" s="102">
        <f>F21*M21</f>
        <v>312.50072614441711</v>
      </c>
      <c r="O21" s="96"/>
    </row>
    <row r="22" spans="2:15" x14ac:dyDescent="0.2">
      <c r="B22" s="58" t="s">
        <v>207</v>
      </c>
      <c r="C22" s="58"/>
      <c r="D22" s="58"/>
      <c r="E22" s="58"/>
      <c r="F22" s="58"/>
      <c r="G22" s="58"/>
      <c r="H22" s="103">
        <v>0</v>
      </c>
      <c r="I22" s="63" t="s">
        <v>205</v>
      </c>
      <c r="J22" s="94"/>
      <c r="K22" s="95"/>
      <c r="L22" s="58"/>
      <c r="M22" s="96">
        <v>100</v>
      </c>
      <c r="N22" s="102">
        <f>H22*M22</f>
        <v>0</v>
      </c>
      <c r="O22" s="58"/>
    </row>
    <row r="23" spans="2:15" x14ac:dyDescent="0.2">
      <c r="B23" s="58" t="s">
        <v>208</v>
      </c>
      <c r="C23" s="58"/>
      <c r="D23" s="58"/>
      <c r="E23" s="58"/>
      <c r="F23" s="58"/>
      <c r="G23" s="58"/>
      <c r="H23" s="103">
        <v>0</v>
      </c>
      <c r="I23" s="63" t="s">
        <v>205</v>
      </c>
      <c r="J23" s="94"/>
      <c r="K23" s="95"/>
      <c r="L23" s="58"/>
      <c r="M23" s="96">
        <v>200</v>
      </c>
      <c r="N23" s="102">
        <f>H23*M23</f>
        <v>0</v>
      </c>
      <c r="O23" s="58"/>
    </row>
    <row r="24" spans="2:15" x14ac:dyDescent="0.2">
      <c r="H24" s="58"/>
      <c r="I24" s="58"/>
      <c r="J24" s="94"/>
      <c r="K24" s="95"/>
      <c r="L24" s="58"/>
      <c r="M24" s="96"/>
      <c r="N24" s="58"/>
      <c r="O24" s="58"/>
    </row>
    <row r="25" spans="2:15" x14ac:dyDescent="0.2">
      <c r="H25" s="58"/>
      <c r="I25" s="58"/>
      <c r="J25" s="94"/>
      <c r="K25" s="95"/>
      <c r="L25" s="58"/>
      <c r="M25" s="96"/>
      <c r="N25" s="58"/>
      <c r="O25" s="58"/>
    </row>
    <row r="26" spans="2:15" x14ac:dyDescent="0.2">
      <c r="H26" s="58"/>
      <c r="I26" s="58"/>
      <c r="J26" s="94"/>
      <c r="K26" s="95"/>
      <c r="L26" s="58" t="s">
        <v>209</v>
      </c>
      <c r="M26" s="105"/>
      <c r="N26" s="96">
        <f>SUM(N19:N25)</f>
        <v>1547.875788433251</v>
      </c>
      <c r="O26" s="96"/>
    </row>
    <row r="27" spans="2:15" x14ac:dyDescent="0.2">
      <c r="H27" s="58"/>
      <c r="I27" s="58"/>
      <c r="J27" s="94"/>
      <c r="K27" s="95"/>
      <c r="L27" s="58"/>
      <c r="M27" s="96"/>
      <c r="N27" s="58"/>
      <c r="O27" s="58"/>
    </row>
    <row r="28" spans="2:15" x14ac:dyDescent="0.2">
      <c r="B28" s="93" t="s">
        <v>179</v>
      </c>
      <c r="H28" s="58"/>
      <c r="I28" s="58"/>
      <c r="J28" s="58"/>
      <c r="K28" s="94"/>
      <c r="L28" s="95"/>
      <c r="M28" s="96"/>
      <c r="N28" s="96"/>
      <c r="O28" s="96"/>
    </row>
    <row r="29" spans="2:15" x14ac:dyDescent="0.2">
      <c r="B29" s="38" t="s">
        <v>180</v>
      </c>
      <c r="H29" s="58"/>
      <c r="I29" s="58"/>
      <c r="J29" s="58"/>
      <c r="K29" s="94"/>
      <c r="L29" s="95"/>
      <c r="M29" s="58"/>
      <c r="N29" s="96"/>
      <c r="O29" s="96"/>
    </row>
    <row r="30" spans="2:15" x14ac:dyDescent="0.2">
      <c r="B30" s="38" t="s">
        <v>181</v>
      </c>
      <c r="D30" s="97">
        <v>20</v>
      </c>
      <c r="E30" s="38" t="s">
        <v>182</v>
      </c>
      <c r="H30" s="58"/>
      <c r="I30" s="58"/>
      <c r="J30" s="58"/>
      <c r="K30" s="94"/>
      <c r="L30" s="95"/>
      <c r="M30" s="58"/>
      <c r="N30" s="96"/>
      <c r="O30" s="96"/>
    </row>
    <row r="31" spans="2:15" x14ac:dyDescent="0.2">
      <c r="B31" s="38" t="s">
        <v>183</v>
      </c>
      <c r="D31" s="97">
        <v>1.2</v>
      </c>
      <c r="E31" s="38" t="s">
        <v>184</v>
      </c>
      <c r="H31" s="58"/>
      <c r="I31" s="58"/>
      <c r="J31" s="58"/>
      <c r="K31" s="94"/>
      <c r="L31" s="95"/>
      <c r="M31" s="58"/>
      <c r="N31" s="96"/>
      <c r="O31" s="58"/>
    </row>
    <row r="32" spans="2:15" x14ac:dyDescent="0.2">
      <c r="B32" s="38" t="s">
        <v>185</v>
      </c>
      <c r="D32" s="38">
        <f>$D$9*$D$9*3.1415927/4000000*7850</f>
        <v>8.8781409701999998E-3</v>
      </c>
      <c r="E32" s="38" t="s">
        <v>186</v>
      </c>
      <c r="H32" s="58"/>
      <c r="I32" s="58"/>
      <c r="J32" s="58"/>
      <c r="K32" s="94"/>
      <c r="L32" s="95"/>
      <c r="M32" s="58"/>
      <c r="N32" s="96"/>
      <c r="O32" s="106"/>
    </row>
    <row r="33" spans="2:15" x14ac:dyDescent="0.2">
      <c r="B33" s="38" t="s">
        <v>187</v>
      </c>
      <c r="D33" s="97">
        <v>0.25</v>
      </c>
      <c r="E33" s="38" t="s">
        <v>188</v>
      </c>
      <c r="H33" s="58"/>
      <c r="I33" s="58"/>
      <c r="J33" s="58"/>
      <c r="K33" s="94"/>
      <c r="L33" s="95"/>
      <c r="M33" s="58"/>
      <c r="N33" s="96"/>
      <c r="O33" s="58"/>
    </row>
    <row r="34" spans="2:15" x14ac:dyDescent="0.2">
      <c r="B34" s="38" t="s">
        <v>189</v>
      </c>
      <c r="D34" s="38">
        <v>0.42</v>
      </c>
      <c r="H34" s="58"/>
      <c r="I34" s="58"/>
      <c r="J34" s="58"/>
      <c r="K34" s="94"/>
      <c r="L34" s="95"/>
      <c r="M34" s="58"/>
      <c r="N34" s="96"/>
      <c r="O34" s="58"/>
    </row>
    <row r="35" spans="2:15" x14ac:dyDescent="0.2">
      <c r="B35" s="38" t="s">
        <v>190</v>
      </c>
      <c r="D35" s="38">
        <v>0.9</v>
      </c>
      <c r="H35" s="58"/>
      <c r="I35" s="58"/>
      <c r="J35" s="58"/>
      <c r="K35" s="94"/>
      <c r="L35" s="95"/>
      <c r="M35" s="58"/>
      <c r="N35" s="96"/>
      <c r="O35" s="58"/>
    </row>
    <row r="36" spans="2:15" x14ac:dyDescent="0.2">
      <c r="C36" s="38" t="s">
        <v>191</v>
      </c>
      <c r="D36" s="38" t="s">
        <v>192</v>
      </c>
      <c r="E36" s="38" t="s">
        <v>193</v>
      </c>
      <c r="F36" s="38" t="s">
        <v>194</v>
      </c>
      <c r="G36" s="38" t="s">
        <v>195</v>
      </c>
      <c r="H36" s="58" t="s">
        <v>196</v>
      </c>
      <c r="I36" s="58" t="s">
        <v>197</v>
      </c>
      <c r="J36" s="58" t="s">
        <v>198</v>
      </c>
      <c r="K36" s="94"/>
      <c r="L36" s="95"/>
      <c r="M36" s="58"/>
      <c r="N36" s="96"/>
      <c r="O36" s="58"/>
    </row>
    <row r="37" spans="2:15" x14ac:dyDescent="0.2">
      <c r="B37" s="38" t="s">
        <v>210</v>
      </c>
      <c r="C37" s="38">
        <v>150</v>
      </c>
      <c r="D37" s="38">
        <v>6</v>
      </c>
      <c r="E37" s="38">
        <f>(((D37*2)*(D37*2)*3.1416/4)/1000000*7850)/4*C37</f>
        <v>33.293106000000002</v>
      </c>
      <c r="F37" s="98">
        <f>E37/$D$32/$D$35</f>
        <v>4166.6763485922284</v>
      </c>
      <c r="G37" s="99">
        <f>E37/$D$35</f>
        <v>36.992339999999999</v>
      </c>
      <c r="H37" s="100">
        <f>F37/$D$33/60</f>
        <v>277.77842323948187</v>
      </c>
      <c r="I37" s="100">
        <f>H37/60/$D$34</f>
        <v>11.022953303154043</v>
      </c>
      <c r="J37" s="100">
        <f>H37*$D$30</f>
        <v>5555.5684647896378</v>
      </c>
      <c r="K37" s="94"/>
      <c r="L37" s="95"/>
      <c r="M37" s="58"/>
      <c r="N37" s="96"/>
      <c r="O37" s="58"/>
    </row>
    <row r="38" spans="2:15" x14ac:dyDescent="0.2">
      <c r="F38" s="98"/>
      <c r="G38" s="99"/>
      <c r="H38" s="100"/>
      <c r="I38" s="58" t="s">
        <v>200</v>
      </c>
      <c r="J38" s="100"/>
      <c r="K38" s="94"/>
      <c r="L38" s="95"/>
      <c r="M38" s="58"/>
      <c r="N38" s="96"/>
      <c r="O38" s="58"/>
    </row>
    <row r="39" spans="2:15" x14ac:dyDescent="0.2">
      <c r="F39" s="98"/>
      <c r="G39" s="99"/>
      <c r="H39" s="100"/>
      <c r="I39" s="100">
        <f>60*I37</f>
        <v>661.37719818924256</v>
      </c>
      <c r="J39" s="100"/>
      <c r="K39" s="94"/>
      <c r="L39" s="95"/>
      <c r="M39" s="58"/>
      <c r="N39" s="96"/>
      <c r="O39" s="58"/>
    </row>
    <row r="40" spans="2:15" x14ac:dyDescent="0.2">
      <c r="B40" s="101" t="s">
        <v>201</v>
      </c>
      <c r="C40" s="58"/>
      <c r="D40" s="58"/>
      <c r="E40" s="58"/>
      <c r="F40" s="58"/>
      <c r="G40" s="58"/>
      <c r="H40" s="58"/>
      <c r="I40" s="58"/>
      <c r="J40" s="94"/>
      <c r="K40" s="95"/>
      <c r="L40" s="58"/>
      <c r="M40" s="96"/>
      <c r="N40" s="102"/>
      <c r="O40" s="58"/>
    </row>
    <row r="41" spans="2:15" x14ac:dyDescent="0.2">
      <c r="B41" s="101" t="s">
        <v>202</v>
      </c>
      <c r="C41" s="58"/>
      <c r="D41" s="58"/>
      <c r="E41" s="58"/>
      <c r="F41" s="103">
        <f>SUM(G37:G39)</f>
        <v>36.992339999999999</v>
      </c>
      <c r="G41" s="58" t="s">
        <v>11</v>
      </c>
      <c r="H41" s="103">
        <f>F41/15</f>
        <v>2.4661559999999998</v>
      </c>
      <c r="I41" s="103" t="s">
        <v>203</v>
      </c>
      <c r="J41" s="104"/>
      <c r="K41" s="95"/>
      <c r="L41" s="58"/>
      <c r="M41" s="96">
        <v>55</v>
      </c>
      <c r="N41" s="102">
        <f>H41*M41</f>
        <v>135.63857999999999</v>
      </c>
      <c r="O41" s="58"/>
    </row>
    <row r="42" spans="2:15" x14ac:dyDescent="0.2">
      <c r="B42" s="101" t="s">
        <v>204</v>
      </c>
      <c r="C42" s="58"/>
      <c r="D42" s="58"/>
      <c r="E42" s="58"/>
      <c r="F42" s="103">
        <f>SUM(J37:J39)</f>
        <v>5555.5684647896378</v>
      </c>
      <c r="G42" s="58" t="s">
        <v>182</v>
      </c>
      <c r="H42" s="103">
        <f>F42/8000</f>
        <v>0.69444605809870474</v>
      </c>
      <c r="I42" s="63" t="s">
        <v>205</v>
      </c>
      <c r="J42" s="94"/>
      <c r="K42" s="95"/>
      <c r="L42" s="58"/>
      <c r="M42" s="96">
        <v>200</v>
      </c>
      <c r="N42" s="102">
        <f>H42*M42</f>
        <v>138.88921161974096</v>
      </c>
      <c r="O42" s="58"/>
    </row>
    <row r="43" spans="2:15" x14ac:dyDescent="0.2">
      <c r="B43" s="101" t="s">
        <v>206</v>
      </c>
      <c r="C43" s="58"/>
      <c r="D43" s="58"/>
      <c r="E43" s="58"/>
      <c r="F43" s="103">
        <f>SUM(H37:H38)/60</f>
        <v>4.6296403873246978</v>
      </c>
      <c r="G43" s="58" t="s">
        <v>102</v>
      </c>
      <c r="H43" s="58"/>
      <c r="I43" s="58"/>
      <c r="J43" s="94"/>
      <c r="K43" s="95"/>
      <c r="L43" s="58"/>
      <c r="M43" s="96">
        <v>15</v>
      </c>
      <c r="N43" s="102">
        <f>F43*M43</f>
        <v>69.444605809870467</v>
      </c>
      <c r="O43" s="58"/>
    </row>
    <row r="44" spans="2:15" x14ac:dyDescent="0.2">
      <c r="B44" s="58" t="s">
        <v>207</v>
      </c>
      <c r="C44" s="58"/>
      <c r="D44" s="58"/>
      <c r="E44" s="58"/>
      <c r="F44" s="58"/>
      <c r="G44" s="58"/>
      <c r="H44" s="103">
        <v>0</v>
      </c>
      <c r="I44" s="63" t="s">
        <v>205</v>
      </c>
      <c r="J44" s="94"/>
      <c r="K44" s="95"/>
      <c r="L44" s="58"/>
      <c r="M44" s="96">
        <v>100</v>
      </c>
      <c r="N44" s="102">
        <f>H44*M44</f>
        <v>0</v>
      </c>
      <c r="O44" s="58"/>
    </row>
    <row r="45" spans="2:15" x14ac:dyDescent="0.2">
      <c r="B45" s="58" t="s">
        <v>208</v>
      </c>
      <c r="C45" s="58"/>
      <c r="D45" s="58"/>
      <c r="E45" s="58"/>
      <c r="F45" s="58"/>
      <c r="G45" s="58"/>
      <c r="H45" s="103">
        <v>0</v>
      </c>
      <c r="I45" s="63" t="s">
        <v>205</v>
      </c>
      <c r="J45" s="94"/>
      <c r="K45" s="95"/>
      <c r="L45" s="58"/>
      <c r="M45" s="96">
        <v>200</v>
      </c>
      <c r="N45" s="102">
        <f>H45*M45</f>
        <v>0</v>
      </c>
      <c r="O45" s="58"/>
    </row>
    <row r="46" spans="2:15" x14ac:dyDescent="0.2">
      <c r="H46" s="58"/>
      <c r="I46" s="58"/>
      <c r="J46" s="94"/>
      <c r="K46" s="95"/>
      <c r="L46" s="58"/>
      <c r="M46" s="96"/>
      <c r="N46" s="58"/>
      <c r="O46" s="58"/>
    </row>
    <row r="47" spans="2:15" x14ac:dyDescent="0.2">
      <c r="H47" s="58"/>
      <c r="I47" s="58"/>
      <c r="J47" s="94"/>
      <c r="K47" s="95"/>
      <c r="L47" s="58"/>
      <c r="M47" s="96"/>
      <c r="N47" s="58"/>
      <c r="O47" s="58"/>
    </row>
    <row r="48" spans="2:15" x14ac:dyDescent="0.2">
      <c r="H48" s="58"/>
      <c r="I48" s="58"/>
      <c r="J48" s="94"/>
      <c r="K48" s="95"/>
      <c r="L48" s="58" t="s">
        <v>209</v>
      </c>
      <c r="M48" s="105"/>
      <c r="N48" s="96">
        <f>SUM(N41:N47)</f>
        <v>343.97239742961142</v>
      </c>
      <c r="O48" s="58"/>
    </row>
    <row r="49" spans="2:15" x14ac:dyDescent="0.2">
      <c r="H49" s="58"/>
      <c r="I49" s="58"/>
      <c r="J49" s="94"/>
      <c r="K49" s="95"/>
      <c r="L49" s="58"/>
      <c r="M49" s="96"/>
      <c r="N49" s="58"/>
      <c r="O49" s="58"/>
    </row>
    <row r="50" spans="2:15" x14ac:dyDescent="0.2">
      <c r="B50" s="93" t="s">
        <v>211</v>
      </c>
      <c r="H50" s="58"/>
      <c r="I50" s="58"/>
      <c r="J50" s="58"/>
      <c r="K50" s="94"/>
      <c r="L50" s="95"/>
      <c r="M50" s="96"/>
      <c r="N50" s="96"/>
      <c r="O50" s="58"/>
    </row>
    <row r="51" spans="2:15" x14ac:dyDescent="0.2">
      <c r="B51" s="38" t="s">
        <v>180</v>
      </c>
      <c r="H51" s="58"/>
      <c r="I51" s="58"/>
      <c r="J51" s="58"/>
      <c r="K51" s="94"/>
      <c r="L51" s="95"/>
      <c r="M51" s="58"/>
      <c r="N51" s="96"/>
      <c r="O51" s="58"/>
    </row>
    <row r="52" spans="2:15" x14ac:dyDescent="0.2">
      <c r="B52" s="38" t="s">
        <v>181</v>
      </c>
      <c r="D52" s="97">
        <v>20</v>
      </c>
      <c r="E52" s="38" t="s">
        <v>182</v>
      </c>
      <c r="H52" s="58"/>
      <c r="I52" s="58"/>
      <c r="J52" s="58"/>
      <c r="K52" s="94"/>
      <c r="L52" s="95"/>
      <c r="M52" s="58"/>
      <c r="N52" s="96"/>
      <c r="O52" s="58"/>
    </row>
    <row r="53" spans="2:15" x14ac:dyDescent="0.2">
      <c r="B53" s="38" t="s">
        <v>183</v>
      </c>
      <c r="D53" s="97">
        <v>1.2</v>
      </c>
      <c r="E53" s="38" t="s">
        <v>184</v>
      </c>
      <c r="H53" s="58"/>
      <c r="I53" s="58"/>
      <c r="J53" s="58"/>
      <c r="K53" s="94"/>
      <c r="L53" s="95"/>
      <c r="M53" s="58"/>
      <c r="N53" s="96"/>
      <c r="O53" s="58"/>
    </row>
    <row r="54" spans="2:15" x14ac:dyDescent="0.2">
      <c r="B54" s="38" t="s">
        <v>185</v>
      </c>
      <c r="D54" s="38">
        <f>$D$9*$D$9*3.1415927/4000000*7850</f>
        <v>8.8781409701999998E-3</v>
      </c>
      <c r="E54" s="38" t="s">
        <v>186</v>
      </c>
      <c r="H54" s="58"/>
      <c r="I54" s="58"/>
      <c r="J54" s="58"/>
      <c r="K54" s="94"/>
      <c r="L54" s="95"/>
      <c r="M54" s="58"/>
      <c r="N54" s="96"/>
      <c r="O54" s="58"/>
    </row>
    <row r="55" spans="2:15" x14ac:dyDescent="0.2">
      <c r="B55" s="38" t="s">
        <v>187</v>
      </c>
      <c r="D55" s="97">
        <v>0.25</v>
      </c>
      <c r="E55" s="38" t="s">
        <v>188</v>
      </c>
      <c r="H55" s="58"/>
      <c r="I55" s="58"/>
      <c r="J55" s="58"/>
      <c r="K55" s="94"/>
      <c r="L55" s="95"/>
      <c r="M55" s="58"/>
      <c r="N55" s="96"/>
      <c r="O55" s="58"/>
    </row>
    <row r="56" spans="2:15" x14ac:dyDescent="0.2">
      <c r="B56" s="38" t="s">
        <v>189</v>
      </c>
      <c r="D56" s="38">
        <v>0.42</v>
      </c>
      <c r="H56" s="58"/>
      <c r="I56" s="58"/>
      <c r="J56" s="58"/>
      <c r="K56" s="94"/>
      <c r="L56" s="95"/>
      <c r="M56" s="58"/>
      <c r="N56" s="96"/>
      <c r="O56" s="58"/>
    </row>
    <row r="57" spans="2:15" x14ac:dyDescent="0.2">
      <c r="B57" s="38" t="s">
        <v>190</v>
      </c>
      <c r="D57" s="38">
        <v>0.9</v>
      </c>
      <c r="H57" s="58"/>
      <c r="I57" s="58"/>
      <c r="J57" s="58"/>
      <c r="K57" s="94"/>
      <c r="L57" s="95"/>
      <c r="M57" s="58"/>
      <c r="N57" s="96"/>
      <c r="O57" s="58"/>
    </row>
    <row r="58" spans="2:15" x14ac:dyDescent="0.2">
      <c r="C58" s="38" t="s">
        <v>191</v>
      </c>
      <c r="D58" s="38" t="s">
        <v>192</v>
      </c>
      <c r="E58" s="38" t="s">
        <v>193</v>
      </c>
      <c r="F58" s="38" t="s">
        <v>194</v>
      </c>
      <c r="G58" s="38" t="s">
        <v>195</v>
      </c>
      <c r="H58" s="58" t="s">
        <v>196</v>
      </c>
      <c r="I58" s="58" t="s">
        <v>197</v>
      </c>
      <c r="J58" s="58" t="s">
        <v>198</v>
      </c>
      <c r="K58" s="94"/>
      <c r="L58" s="95"/>
      <c r="M58" s="58"/>
      <c r="N58" s="96"/>
      <c r="O58" s="58"/>
    </row>
    <row r="59" spans="2:15" x14ac:dyDescent="0.2">
      <c r="B59" s="38" t="s">
        <v>210</v>
      </c>
      <c r="C59" s="38">
        <v>480</v>
      </c>
      <c r="D59" s="38">
        <v>6</v>
      </c>
      <c r="E59" s="38">
        <f>(((D59*2)*(D59*2)*3.1416/4)/1000000*7850)/4*C59</f>
        <v>106.53793920000001</v>
      </c>
      <c r="F59" s="98">
        <f>E59/$D$54/$D$57</f>
        <v>13333.364315495131</v>
      </c>
      <c r="G59" s="99">
        <f>E59/$D$57</f>
        <v>118.375488</v>
      </c>
      <c r="H59" s="100">
        <f>F59/$D$55/60</f>
        <v>888.89095436634204</v>
      </c>
      <c r="I59" s="100">
        <f>H59/60/$D$56</f>
        <v>35.27345057009294</v>
      </c>
      <c r="J59" s="100">
        <f>H59*$D$52</f>
        <v>17777.81908732684</v>
      </c>
      <c r="K59" s="94"/>
      <c r="L59" s="95"/>
      <c r="M59" s="58"/>
      <c r="N59" s="96"/>
      <c r="O59" s="58"/>
    </row>
    <row r="60" spans="2:15" x14ac:dyDescent="0.2">
      <c r="F60" s="98"/>
      <c r="G60" s="99"/>
      <c r="H60" s="100"/>
      <c r="I60" s="58" t="s">
        <v>200</v>
      </c>
      <c r="J60" s="100"/>
      <c r="K60" s="94"/>
      <c r="L60" s="95"/>
      <c r="M60" s="58"/>
      <c r="N60" s="96"/>
      <c r="O60" s="58"/>
    </row>
    <row r="61" spans="2:15" x14ac:dyDescent="0.2">
      <c r="F61" s="98"/>
      <c r="G61" s="99"/>
      <c r="H61" s="100"/>
      <c r="I61" s="100">
        <f>60*I59</f>
        <v>2116.4070342055766</v>
      </c>
      <c r="J61" s="100"/>
      <c r="K61" s="94"/>
      <c r="L61" s="95"/>
      <c r="M61" s="58"/>
      <c r="N61" s="96"/>
      <c r="O61" s="58"/>
    </row>
    <row r="62" spans="2:15" x14ac:dyDescent="0.2">
      <c r="B62" s="101" t="s">
        <v>201</v>
      </c>
      <c r="C62" s="58"/>
      <c r="D62" s="58"/>
      <c r="E62" s="58"/>
      <c r="F62" s="58"/>
      <c r="G62" s="58"/>
      <c r="H62" s="58"/>
      <c r="I62" s="58"/>
      <c r="J62" s="94"/>
      <c r="K62" s="95"/>
      <c r="L62" s="58"/>
      <c r="M62" s="96"/>
      <c r="N62" s="102"/>
      <c r="O62" s="58"/>
    </row>
    <row r="63" spans="2:15" x14ac:dyDescent="0.2">
      <c r="B63" s="101" t="s">
        <v>202</v>
      </c>
      <c r="C63" s="58"/>
      <c r="D63" s="58"/>
      <c r="E63" s="58"/>
      <c r="F63" s="103">
        <f>SUM(G59:G61)</f>
        <v>118.375488</v>
      </c>
      <c r="G63" s="58" t="s">
        <v>11</v>
      </c>
      <c r="H63" s="103">
        <f>F63/15</f>
        <v>7.8916992000000006</v>
      </c>
      <c r="I63" s="103" t="s">
        <v>203</v>
      </c>
      <c r="J63" s="104"/>
      <c r="K63" s="95"/>
      <c r="L63" s="58"/>
      <c r="M63" s="96">
        <v>55</v>
      </c>
      <c r="N63" s="102">
        <f>H63*M63</f>
        <v>434.04345600000005</v>
      </c>
      <c r="O63" s="58"/>
    </row>
    <row r="64" spans="2:15" x14ac:dyDescent="0.2">
      <c r="B64" s="101" t="s">
        <v>204</v>
      </c>
      <c r="C64" s="58"/>
      <c r="D64" s="58"/>
      <c r="E64" s="58"/>
      <c r="F64" s="103">
        <f>SUM(J59:J61)</f>
        <v>17777.81908732684</v>
      </c>
      <c r="G64" s="58" t="s">
        <v>182</v>
      </c>
      <c r="H64" s="103">
        <f>F64/8000</f>
        <v>2.222227385915855</v>
      </c>
      <c r="I64" s="63" t="s">
        <v>205</v>
      </c>
      <c r="J64" s="94"/>
      <c r="K64" s="95"/>
      <c r="L64" s="58"/>
      <c r="M64" s="96">
        <v>200</v>
      </c>
      <c r="N64" s="102">
        <f>H64*M64</f>
        <v>444.44547718317102</v>
      </c>
      <c r="O64" s="58"/>
    </row>
    <row r="65" spans="2:15" x14ac:dyDescent="0.2">
      <c r="B65" s="101" t="s">
        <v>206</v>
      </c>
      <c r="C65" s="58"/>
      <c r="D65" s="58"/>
      <c r="E65" s="58"/>
      <c r="F65" s="103">
        <f>SUM(H59:H60)/60</f>
        <v>14.814849239439035</v>
      </c>
      <c r="G65" s="58" t="s">
        <v>102</v>
      </c>
      <c r="H65" s="58"/>
      <c r="I65" s="58"/>
      <c r="J65" s="94"/>
      <c r="K65" s="95"/>
      <c r="L65" s="58"/>
      <c r="M65" s="96">
        <v>15</v>
      </c>
      <c r="N65" s="102">
        <f>F65*M65</f>
        <v>222.22273859158551</v>
      </c>
      <c r="O65" s="58"/>
    </row>
    <row r="66" spans="2:15" x14ac:dyDescent="0.2">
      <c r="B66" s="58" t="s">
        <v>207</v>
      </c>
      <c r="C66" s="58"/>
      <c r="D66" s="58"/>
      <c r="E66" s="58"/>
      <c r="F66" s="58"/>
      <c r="G66" s="58"/>
      <c r="H66" s="103">
        <v>1</v>
      </c>
      <c r="I66" s="63" t="s">
        <v>205</v>
      </c>
      <c r="J66" s="94"/>
      <c r="K66" s="95"/>
      <c r="L66" s="58"/>
      <c r="M66" s="96">
        <v>100</v>
      </c>
      <c r="N66" s="102">
        <f>H66*M66</f>
        <v>100</v>
      </c>
      <c r="O66" s="58"/>
    </row>
    <row r="67" spans="2:15" x14ac:dyDescent="0.2">
      <c r="B67" s="58" t="s">
        <v>208</v>
      </c>
      <c r="C67" s="58"/>
      <c r="D67" s="58"/>
      <c r="E67" s="58"/>
      <c r="F67" s="58"/>
      <c r="G67" s="58"/>
      <c r="H67" s="103">
        <v>0.33</v>
      </c>
      <c r="I67" s="63" t="s">
        <v>205</v>
      </c>
      <c r="J67" s="94"/>
      <c r="K67" s="95"/>
      <c r="L67" s="58"/>
      <c r="M67" s="96">
        <v>200</v>
      </c>
      <c r="N67" s="102">
        <f>H67*M67</f>
        <v>66</v>
      </c>
      <c r="O67" s="58"/>
    </row>
    <row r="68" spans="2:15" x14ac:dyDescent="0.2">
      <c r="H68" s="58"/>
      <c r="I68" s="58"/>
      <c r="J68" s="94"/>
      <c r="K68" s="95"/>
      <c r="L68" s="58"/>
      <c r="M68" s="96"/>
      <c r="N68" s="58"/>
      <c r="O68" s="58"/>
    </row>
    <row r="69" spans="2:15" x14ac:dyDescent="0.2">
      <c r="H69" s="58"/>
      <c r="I69" s="58"/>
      <c r="J69" s="94"/>
      <c r="K69" s="95"/>
      <c r="L69" s="58"/>
      <c r="M69" s="96"/>
      <c r="N69" s="58"/>
      <c r="O69" s="58"/>
    </row>
    <row r="70" spans="2:15" x14ac:dyDescent="0.2">
      <c r="H70" s="58"/>
      <c r="I70" s="58"/>
      <c r="J70" s="94"/>
      <c r="K70" s="95"/>
      <c r="L70" s="58" t="s">
        <v>209</v>
      </c>
      <c r="M70" s="105"/>
      <c r="N70" s="96">
        <f>SUM(N63:N69)</f>
        <v>1266.7116717747565</v>
      </c>
      <c r="O70" s="96">
        <f>N70+N48+N26</f>
        <v>3158.5598576376187</v>
      </c>
    </row>
  </sheetData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~#temp</vt:lpstr>
      <vt:lpstr>Calcs_winch on beam</vt:lpstr>
      <vt:lpstr>Calcs_Horiz_Winch</vt:lpstr>
      <vt:lpstr>Budget</vt:lpstr>
      <vt:lpstr>Project_WBS AFE Rev 4</vt:lpstr>
      <vt:lpstr>Project_WBS AFE Rev 5</vt:lpstr>
      <vt:lpstr>Project_WBS AFE Rev 6</vt:lpstr>
      <vt:lpstr>EFOF Bin</vt:lpstr>
      <vt:lpstr>Welding</vt:lpstr>
      <vt:lpstr>Scaffold</vt:lpstr>
      <vt:lpstr>'Project_WBS AFE Rev 4'!Print_Area</vt:lpstr>
      <vt:lpstr>'Project_WBS AFE Rev 5'!Print_Area</vt:lpstr>
      <vt:lpstr>'Project_WBS AFE Rev 6'!Print_Area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 Design</dc:creator>
  <cp:lastModifiedBy>Raw Design</cp:lastModifiedBy>
  <cp:lastPrinted>2011-03-11T22:51:51Z</cp:lastPrinted>
  <dcterms:created xsi:type="dcterms:W3CDTF">2010-11-25T01:20:09Z</dcterms:created>
  <dcterms:modified xsi:type="dcterms:W3CDTF">2011-09-21T22:02:51Z</dcterms:modified>
</cp:coreProperties>
</file>