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3825" windowWidth="9840" windowHeight="7440" tabRatio="829" activeTab="0"/>
  </bookViews>
  <sheets>
    <sheet name="Sheet1" sheetId="1" r:id="rId1"/>
    <sheet name="wb" sheetId="2" state="veryHidden" r:id="rId2"/>
    <sheet name="results" sheetId="3" state="veryHidden" r:id="rId3"/>
    <sheet name="t" sheetId="4" state="veryHidden" r:id="rId4"/>
    <sheet name="in" sheetId="5" state="veryHidden" r:id="rId5"/>
    <sheet name="L_prop" sheetId="6" state="veryHidden" r:id="rId6"/>
    <sheet name="E6.y" sheetId="7" state="veryHidden" r:id="rId7"/>
    <sheet name="E3.x" sheetId="8" state="veryHidden" r:id="rId8"/>
    <sheet name="E3.y" sheetId="9" state="veryHidden" r:id="rId9"/>
    <sheet name="E4a.y" sheetId="10" state="veryHidden" r:id="rId10"/>
    <sheet name="2L_prop" sheetId="11" state="veryHidden" r:id="rId11"/>
    <sheet name="Grade" sheetId="12" state="veryHidden" r:id="rId12"/>
    <sheet name="Steel.Grade" sheetId="13" state="veryHidden" r:id="rId13"/>
    <sheet name="L" sheetId="14" state="veryHidden" r:id="rId14"/>
  </sheets>
  <definedNames>
    <definedName name="a" localSheetId="6">'E6.y'!$H$17</definedName>
    <definedName name="a" localSheetId="4">'in'!$H$20</definedName>
    <definedName name="Ag" localSheetId="10">'2L_prop'!$N$34</definedName>
    <definedName name="Ag" localSheetId="7">'E3.x'!$H$18</definedName>
    <definedName name="Ag" localSheetId="8">'E3.y'!$H$18</definedName>
    <definedName name="Ag" localSheetId="9">'E4a.y'!$H$20</definedName>
    <definedName name="Ag" localSheetId="13">'L'!$D$12:$D$138</definedName>
    <definedName name="Ag" localSheetId="5">'L_prop'!$H$14</definedName>
    <definedName name="Ag_sec" localSheetId="10">'2L_prop'!$H$15</definedName>
    <definedName name="b" localSheetId="13">'L'!$F$12:$F$138</definedName>
    <definedName name="b" localSheetId="5">'L_prop'!$H$16</definedName>
    <definedName name="BackupNumber" localSheetId="9">1</definedName>
    <definedName name="BackupNumber" localSheetId="1">1</definedName>
    <definedName name="BackupNumber" hidden="1">2</definedName>
    <definedName name="C_s" localSheetId="10">'2L_prop'!$H$14</definedName>
    <definedName name="C_s" localSheetId="4">'in'!$H$14</definedName>
    <definedName name="C_type" localSheetId="10">'2L_prop'!$H$13</definedName>
    <definedName name="C_type" localSheetId="4">'in'!$H$13</definedName>
    <definedName name="CalcType" localSheetId="1">'wb'!$H$9</definedName>
    <definedName name="Conn" localSheetId="6">'E6.y'!$H$16</definedName>
    <definedName name="Conn" localSheetId="4">'in'!$H$19</definedName>
    <definedName name="d" localSheetId="13">'L'!$E$12:$E$138</definedName>
    <definedName name="d" localSheetId="5">'L_prop'!$H$15</definedName>
    <definedName name="E" localSheetId="7">'E3.x'!$H$17</definedName>
    <definedName name="E" localSheetId="8">'E3.y'!$H$17</definedName>
    <definedName name="E" localSheetId="11">'Grade'!$H$19</definedName>
    <definedName name="ex" localSheetId="5">'L_prop'!$N$38</definedName>
    <definedName name="ey" localSheetId="5">'L_prop'!$N$33</definedName>
    <definedName name="Fcr" localSheetId="7">'E3.x'!$H$31</definedName>
    <definedName name="Fcr" localSheetId="8">'E3.y'!$H$31</definedName>
    <definedName name="Fcr" localSheetId="9">'E4a.y'!$N$26</definedName>
    <definedName name="Fcry" localSheetId="9">'E4a.y'!$H$15</definedName>
    <definedName name="Fcrz" localSheetId="9">'E4a.y'!$N$23</definedName>
    <definedName name="Fe" localSheetId="7">'E3.x'!$N$24</definedName>
    <definedName name="Fe" localSheetId="8">'E3.y'!$N$24</definedName>
    <definedName name="flip" localSheetId="10">'2L_prop'!$H$26</definedName>
    <definedName name="Fu" localSheetId="11">'Grade'!$H$17</definedName>
    <definedName name="Fu" localSheetId="12">'Steel.Grade'!$C$12:$C$33</definedName>
    <definedName name="Fy" localSheetId="7">'E3.x'!$H$16</definedName>
    <definedName name="Fy" localSheetId="8">'E3.y'!$H$16</definedName>
    <definedName name="Fy" localSheetId="11">'Grade'!$H$18</definedName>
    <definedName name="Fy" localSheetId="12">'Steel.Grade'!$B$12:$B$33</definedName>
    <definedName name="G" localSheetId="9">'E4a.y'!$H$19</definedName>
    <definedName name="G" localSheetId="11">'Grade'!$H$20</definedName>
    <definedName name="grade" localSheetId="11">'Grade'!$H$16</definedName>
    <definedName name="grade" localSheetId="4">'in'!$H$11</definedName>
    <definedName name="grade" localSheetId="12">'Steel.Grade'!$A$12:$A$33</definedName>
    <definedName name="H" localSheetId="10">'2L_prop'!$N$51</definedName>
    <definedName name="H" localSheetId="9">'E4a.y'!$H$17</definedName>
    <definedName name="H" localSheetId="5">'L_prop'!$N$47</definedName>
    <definedName name="h_1" localSheetId="5">'L_prop'!$N$27</definedName>
    <definedName name="h_2" localSheetId="5">'L_prop'!$N$28</definedName>
    <definedName name="H_sec" localSheetId="10">'2L_prop'!#REF!</definedName>
    <definedName name="Ix" localSheetId="10">'2L_prop'!$N$39</definedName>
    <definedName name="Ix" localSheetId="13">'L'!$O$12:$O$138</definedName>
    <definedName name="Ix" localSheetId="5">'L_prop'!$H$17</definedName>
    <definedName name="Ix_1" localSheetId="5">'L_prop'!$N$34</definedName>
    <definedName name="Ix_2" localSheetId="5">'L_prop'!$N$35</definedName>
    <definedName name="Ix_sec" localSheetId="10">'2L_prop'!$H$17</definedName>
    <definedName name="Ix_sec2" localSheetId="10">'2L_prop'!$H$27</definedName>
    <definedName name="Iy" localSheetId="10">'2L_prop'!$N$41</definedName>
    <definedName name="Iy" localSheetId="13">'L'!$S$12:$S$138</definedName>
    <definedName name="Iy" localSheetId="5">'L_prop'!$H$20</definedName>
    <definedName name="Iy_1" localSheetId="5">'L_prop'!$N$29</definedName>
    <definedName name="Iy_2" localSheetId="5">'L_prop'!$N$30</definedName>
    <definedName name="Iy_sec" localSheetId="10">'2L_prop'!$H$20</definedName>
    <definedName name="Iy_sec2" localSheetId="10">'2L_prop'!$H$30</definedName>
    <definedName name="J" localSheetId="10">'2L_prop'!$N$35</definedName>
    <definedName name="J" localSheetId="9">'E4a.y'!$H$18</definedName>
    <definedName name="J" localSheetId="13">'L'!$X$12:$X$138</definedName>
    <definedName name="J" localSheetId="5">'L_prop'!$H$24</definedName>
    <definedName name="J_sec" localSheetId="10">'2L_prop'!$H$24</definedName>
    <definedName name="K" localSheetId="7">'E3.x'!$H$13</definedName>
    <definedName name="K" localSheetId="8">'E3.y'!$H$13</definedName>
    <definedName name="Kx" localSheetId="4">'in'!$H$15</definedName>
    <definedName name="Ky" localSheetId="6">'E6.y'!$H$14</definedName>
    <definedName name="Ky" localSheetId="4">'in'!$H$17</definedName>
    <definedName name="L" localSheetId="7">'E3.x'!$H$14</definedName>
    <definedName name="L" localSheetId="8">'E3.y'!$H$14</definedName>
    <definedName name="lastws" localSheetId="1">"in"</definedName>
    <definedName name="list" localSheetId="10">getinput('2L_prop'!D1,'2L_prop'!E1)</definedName>
    <definedName name="list" localSheetId="11">getinput('Grade'!D1,'Grade'!E1)</definedName>
    <definedName name="list" localSheetId="4">getinput('in'!D1,'in'!E1)</definedName>
    <definedName name="list" localSheetId="5">getinput('L_prop'!D1,'L_prop'!E1)</definedName>
    <definedName name="Lx" localSheetId="4">'in'!$H$16</definedName>
    <definedName name="Ly" localSheetId="6">'E6.y'!$H$15</definedName>
    <definedName name="Ly" localSheetId="4">'in'!$H$18</definedName>
    <definedName name="Name" localSheetId="7">'E3.x'!$H$7</definedName>
    <definedName name="Name" localSheetId="8">'E3.y'!$H$7</definedName>
    <definedName name="Name" localSheetId="6">'E6.y'!$H$8</definedName>
    <definedName name="names" localSheetId="1">'wb'!$H$10</definedName>
    <definedName name="oldws" localSheetId="0">"wb"</definedName>
    <definedName name="_xlnm.Print_Titles" localSheetId="2">'results'!$1:$8</definedName>
    <definedName name="_xlnm.Print_Titles" localSheetId="3">'t'!$1:$8</definedName>
    <definedName name="ra" localSheetId="7">'E3.x'!$H$15</definedName>
    <definedName name="ra" localSheetId="8">'E3.y'!$H$15</definedName>
    <definedName name="ri" localSheetId="6">'E6.y'!$N$30</definedName>
    <definedName name="ro" localSheetId="10">'2L_prop'!$N$49</definedName>
    <definedName name="ro" localSheetId="9">'E4a.y'!$H$16</definedName>
    <definedName name="Ro" localSheetId="13">'L'!$Z$12:$Z$138</definedName>
    <definedName name="ro" localSheetId="5">'L_prop'!$N$45</definedName>
    <definedName name="row" localSheetId="4">'in'!$O$12</definedName>
    <definedName name="rx" localSheetId="10">'2L_prop'!$N$43</definedName>
    <definedName name="rx" localSheetId="6">'E6.y'!$H$23</definedName>
    <definedName name="Rx" localSheetId="13">'L'!$R$12:$R$138</definedName>
    <definedName name="rx" localSheetId="5">'L_prop'!$H$18</definedName>
    <definedName name="rx_sec" localSheetId="10">'2L_prop'!$H$19</definedName>
    <definedName name="rx_sec" localSheetId="6">'E6.y'!$H$20</definedName>
    <definedName name="rx_sec2" localSheetId="10">'2L_prop'!$H$29</definedName>
    <definedName name="ry" localSheetId="10">'2L_prop'!$N$45</definedName>
    <definedName name="ry" localSheetId="6">'E6.y'!$H$22</definedName>
    <definedName name="Ry" localSheetId="13">'L'!$V$12:$V$138</definedName>
    <definedName name="ry" localSheetId="5">'L_prop'!$H$21</definedName>
    <definedName name="ry_m" localSheetId="6">'E6.y'!$N$41</definedName>
    <definedName name="ry_sec" localSheetId="10">'2L_prop'!$H$22</definedName>
    <definedName name="ry_sec" localSheetId="6">'E6.y'!$H$19</definedName>
    <definedName name="ry_sec2" localSheetId="10">'2L_prop'!$H$32</definedName>
    <definedName name="Rz" localSheetId="13">'L'!$W$12:$W$138</definedName>
    <definedName name="rz" localSheetId="5">'L_prop'!$H$23</definedName>
    <definedName name="rz_sec" localSheetId="10">'2L_prop'!$H$23</definedName>
    <definedName name="rz_sec" localSheetId="6">'E6.y'!$H$21</definedName>
    <definedName name="SearchDirectory" localSheetId="1" hidden="1">"\\Cappfil004\ca_a2zc\215_CSA\215E Engineering\E.14R Proj Calcs &amp; Sketches\Calculations\R05 - ULD\DC-RR05-CA-03 Shelter Goal Post\In Progress\R050303_Goal Post.txt"</definedName>
    <definedName name="section" localSheetId="10">'2L_prop'!$H$12</definedName>
    <definedName name="Section" localSheetId="4">'in'!$H$12</definedName>
    <definedName name="section" localSheetId="5">'L_prop'!$H$13</definedName>
    <definedName name="SectionI" localSheetId="13">'L'!$A$12:$A$138</definedName>
    <definedName name="SectionM" localSheetId="13">'L'!$B$12:$B$138</definedName>
    <definedName name="slender" localSheetId="7">'E3.x'!$N$22</definedName>
    <definedName name="slender" localSheetId="8">'E3.y'!$N$22</definedName>
    <definedName name="slender.condition" localSheetId="6">'E6.y'!$H$45</definedName>
    <definedName name="slender_a" localSheetId="6">'E6.y'!$N$43</definedName>
    <definedName name="slender_m" localSheetId="6">'E6.y'!$N$40</definedName>
    <definedName name="slender_m1" localSheetId="6">'E6.y'!$N$32</definedName>
    <definedName name="slender_m2" localSheetId="6">'E6.y'!$N$37</definedName>
    <definedName name="slender_o" localSheetId="6">'E6.y'!$N$27</definedName>
    <definedName name="t" localSheetId="13">'L'!$G$12:$G$138</definedName>
    <definedName name="t" localSheetId="5">'L_prop'!$H$25</definedName>
    <definedName name="t_sec" localSheetId="10">'2L_prop'!$H$16</definedName>
    <definedName name="Title" localSheetId="10">'2L_prop'!$H$9</definedName>
    <definedName name="Title" localSheetId="7">'E3.x'!$H$8</definedName>
    <definedName name="Title" localSheetId="8">'E3.y'!$H$8</definedName>
    <definedName name="Title" localSheetId="9">'E4a.y'!$H$8</definedName>
    <definedName name="Title" localSheetId="6">'E6.y'!$H$9</definedName>
    <definedName name="Title" localSheetId="5">'L_prop'!$H$8</definedName>
    <definedName name="Type" localSheetId="7">'E3.x'!#REF!</definedName>
    <definedName name="Type" localSheetId="8">'E3.y'!#REF!</definedName>
    <definedName name="Type" localSheetId="6">'E6.y'!#REF!</definedName>
    <definedName name="Type" localSheetId="4">'in'!#REF!</definedName>
    <definedName name="Units" localSheetId="10">'2L_prop'!$H$11</definedName>
    <definedName name="Units" localSheetId="7">'E3.x'!$H$12</definedName>
    <definedName name="Units" localSheetId="8">'E3.y'!$H$12</definedName>
    <definedName name="Units" localSheetId="9">'E4a.y'!$H$14</definedName>
    <definedName name="Units" localSheetId="6">'E6.y'!$H$13</definedName>
    <definedName name="Units" localSheetId="11">'Grade'!$H$15</definedName>
    <definedName name="Units" localSheetId="4">'in'!$H$10</definedName>
    <definedName name="Units" localSheetId="13">'L'!$B$8</definedName>
    <definedName name="Units" localSheetId="5">'L_prop'!$H$12</definedName>
    <definedName name="Units" localSheetId="12">'Steel.Grade'!$B$8</definedName>
    <definedName name="x" localSheetId="10">'2L_prop'!$H$37</definedName>
    <definedName name="X" localSheetId="13">'L'!$J$12:$J$138</definedName>
    <definedName name="x" localSheetId="5">'L_prop'!$H$22</definedName>
    <definedName name="x_cg" localSheetId="10">'2L_prop'!$N$38</definedName>
    <definedName name="x_cg" localSheetId="6">'E6.y'!$H$18</definedName>
    <definedName name="x_sec" localSheetId="10">'2L_prop'!$H$21</definedName>
    <definedName name="x_sec2" localSheetId="10">'2L_prop'!$H$31</definedName>
    <definedName name="xo" localSheetId="10">'2L_prop'!$N$46</definedName>
    <definedName name="xo" localSheetId="5">'L_prop'!$N$40</definedName>
    <definedName name="Xp" localSheetId="13">'L'!$M$12:$M$138</definedName>
    <definedName name="y" localSheetId="10">'2L_prop'!$N$36</definedName>
    <definedName name="Y" localSheetId="13">'L'!$K$12:$K$138</definedName>
    <definedName name="y" localSheetId="5">'L_prop'!$H$19</definedName>
    <definedName name="y_sec" localSheetId="10">'2L_prop'!$H$18</definedName>
    <definedName name="y_sec2" localSheetId="10">'2L_prop'!$H$28</definedName>
    <definedName name="yo" localSheetId="10">'2L_prop'!$N$47</definedName>
    <definedName name="yo" localSheetId="5">'L_prop'!$N$42</definedName>
    <definedName name="Yp" localSheetId="13">'L'!$N$12:$N$138</definedName>
    <definedName name="α" localSheetId="6">'E6.y'!$N$34</definedName>
    <definedName name="Φ_c" localSheetId="7">'E3.x'!$H$32</definedName>
    <definedName name="Φ_c" localSheetId="8">'E3.y'!$H$32</definedName>
    <definedName name="Φ_c" localSheetId="9">'E4a.y'!$H$27</definedName>
    <definedName name="ΦcPn" localSheetId="7">'E3.x'!$N$34</definedName>
    <definedName name="ΦcPn" localSheetId="8">'E3.y'!$N$34</definedName>
    <definedName name="ΦcPn" localSheetId="9">'E4a.y'!$N$29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<sst xmlns="http://schemas.openxmlformats.org/spreadsheetml/2006/main" count="1302" uniqueCount="627">
  <si>
    <t>References</t>
  </si>
  <si>
    <t>Units</t>
  </si>
  <si>
    <t>=</t>
  </si>
  <si>
    <t>Input Values</t>
  </si>
  <si>
    <t>Sheet Information</t>
  </si>
  <si>
    <t>Version</t>
  </si>
  <si>
    <t>Created</t>
  </si>
  <si>
    <t>Creator</t>
  </si>
  <si>
    <t>Luke Cowper-Smith</t>
  </si>
  <si>
    <t>0.0.1.0</t>
  </si>
  <si>
    <t>General Notes</t>
  </si>
  <si>
    <t>Green Cells are always user entered cells</t>
  </si>
  <si>
    <t>Notations</t>
  </si>
  <si>
    <t>Assumptions</t>
  </si>
  <si>
    <t>DATE</t>
  </si>
  <si>
    <t>CONT. NO.</t>
  </si>
  <si>
    <t>BY</t>
  </si>
  <si>
    <t>SHEET NO.</t>
  </si>
  <si>
    <t>CHK'D</t>
  </si>
  <si>
    <t>CALC.</t>
  </si>
  <si>
    <t>Sheet Name</t>
  </si>
  <si>
    <t>Sheet Title</t>
  </si>
  <si>
    <t>Workbook Information</t>
  </si>
  <si>
    <t>Calculation</t>
  </si>
  <si>
    <t>End</t>
  </si>
  <si>
    <t>Macros must be enabled to view this file</t>
  </si>
  <si>
    <t>Macros Security should be on Medium: Click on Tools-Macro-Security-Medium, exit this file then re-open.</t>
  </si>
  <si>
    <t>Click on Tools-Macro-Visual Basic Editor  to view macros.</t>
  </si>
  <si>
    <t>In Excel 2000 to 2003</t>
  </si>
  <si>
    <t>This file will only show Sheet1 if macros are disabled.</t>
  </si>
  <si>
    <t>In Excel 2007</t>
  </si>
  <si>
    <t>Workbook Title</t>
  </si>
  <si>
    <t>Imperial</t>
  </si>
  <si>
    <t>A2ZC</t>
  </si>
  <si>
    <t>LCS</t>
  </si>
  <si>
    <t>On the Security Warning Strip click on Options… then Enable this content</t>
  </si>
  <si>
    <t>Calculation Type</t>
  </si>
  <si>
    <t>Automatic</t>
  </si>
  <si>
    <t>Inputs</t>
  </si>
  <si>
    <t>Names</t>
  </si>
  <si>
    <t>G</t>
  </si>
  <si>
    <t>Default</t>
  </si>
  <si>
    <t>Steel Properties</t>
  </si>
  <si>
    <t>h_1</t>
  </si>
  <si>
    <t>=d-t/2</t>
  </si>
  <si>
    <t>=76.2mm-12.7mm/2</t>
  </si>
  <si>
    <t>69.9mm</t>
  </si>
  <si>
    <t>h_2</t>
  </si>
  <si>
    <t>=b-t/2</t>
  </si>
  <si>
    <t>=63.5mm-12.7mm/2</t>
  </si>
  <si>
    <t>57.2mm</t>
  </si>
  <si>
    <t>Iy_1</t>
  </si>
  <si>
    <t>=h_1*t^3/12</t>
  </si>
  <si>
    <t>=69.9mm*12.7mm^3/12</t>
  </si>
  <si>
    <t>1.19E+4mm^4</t>
  </si>
  <si>
    <t>Iy_2</t>
  </si>
  <si>
    <t>=t*h_2^3/12</t>
  </si>
  <si>
    <t>=12.7mm*57.2mm^3/12</t>
  </si>
  <si>
    <t>1.98E+5mm^4</t>
  </si>
  <si>
    <t>ey</t>
  </si>
  <si>
    <t>=(h_1/2)*Iy_1/(Iy_1+Iy_2)</t>
  </si>
  <si>
    <t>=(69.9mm/2)*1.19E+4mm^4/(1.19E+4mm^4+1.98E+5mm^4)</t>
  </si>
  <si>
    <t>2.0mm</t>
  </si>
  <si>
    <t>Ix_1</t>
  </si>
  <si>
    <t>=t*h_1^3/12</t>
  </si>
  <si>
    <t>=12.7mm*69.9mm^3/12</t>
  </si>
  <si>
    <t>3.61E+5mm^4</t>
  </si>
  <si>
    <t>Ix_2</t>
  </si>
  <si>
    <t>=h_2*t^3/12</t>
  </si>
  <si>
    <t>=57.2mm*12.7mm^3/12</t>
  </si>
  <si>
    <t>9.76E+3mm^4</t>
  </si>
  <si>
    <t>ex</t>
  </si>
  <si>
    <t>=(h_2/2)*Ix_1/(Ix_1+Ix_2)</t>
  </si>
  <si>
    <t>=(57.2mm/2)*3.61E+5mm^4/(3.61E+5mm^4+9.76E+3mm^4)</t>
  </si>
  <si>
    <t>27.8mm</t>
  </si>
  <si>
    <t>xo</t>
  </si>
  <si>
    <t>=x-(ex+t/2)</t>
  </si>
  <si>
    <t>=18.9mm-(27.8mm+12.7mm/2)</t>
  </si>
  <si>
    <t>-15.2mm</t>
  </si>
  <si>
    <t>yo</t>
  </si>
  <si>
    <t>=y-(ey+t/2)</t>
  </si>
  <si>
    <t>=25.3mm-(2.0mm+12.7mm/2)</t>
  </si>
  <si>
    <t>16.9mm</t>
  </si>
  <si>
    <t>ro</t>
  </si>
  <si>
    <t>=SQRT(xo^2+yo^2+(Ix+Iy)/Ag)</t>
  </si>
  <si>
    <t>=SQRT(-15.2mm^2+16.9mm^2+(8.62E+5mm^4+5.37E+5mm^4)/1612.9mm²)</t>
  </si>
  <si>
    <t>37.2mm</t>
  </si>
  <si>
    <t>H</t>
  </si>
  <si>
    <t>=1-(xo^2+yo^2)/ro^2</t>
  </si>
  <si>
    <t>=1-(-15.2mm^2+16.9mm^2)/37.2mm^2</t>
  </si>
  <si>
    <t>Single angle axis flip?</t>
  </si>
  <si>
    <t>Ix_sec2</t>
  </si>
  <si>
    <t>8.62E+5mm^4</t>
  </si>
  <si>
    <t>y_sec2</t>
  </si>
  <si>
    <t>25.3mm</t>
  </si>
  <si>
    <t>rx_sec2</t>
  </si>
  <si>
    <t>23.1mm</t>
  </si>
  <si>
    <t>Iy_sec2</t>
  </si>
  <si>
    <t>5.37E+5mm^4</t>
  </si>
  <si>
    <t>x_sec2</t>
  </si>
  <si>
    <t>18.9mm</t>
  </si>
  <si>
    <t>ry_sec2</t>
  </si>
  <si>
    <t>18.2mm</t>
  </si>
  <si>
    <t>Ag</t>
  </si>
  <si>
    <t>=Ag_sec*2</t>
  </si>
  <si>
    <t>=1612.9mm²*2</t>
  </si>
  <si>
    <t>3225.8mm²</t>
  </si>
  <si>
    <t>J</t>
  </si>
  <si>
    <t>=J_sec*2</t>
  </si>
  <si>
    <t>=8.87E+4mm^4*2</t>
  </si>
  <si>
    <t>1.77E+5mm^4</t>
  </si>
  <si>
    <t>y</t>
  </si>
  <si>
    <t>=y_sec2</t>
  </si>
  <si>
    <t>=25.3mm</t>
  </si>
  <si>
    <t>x</t>
  </si>
  <si>
    <t>0.0mm</t>
  </si>
  <si>
    <t>x_cg</t>
  </si>
  <si>
    <t>=x_sec2+C_s/2</t>
  </si>
  <si>
    <t>=18.9mm+9.5mm/2</t>
  </si>
  <si>
    <t>23.7mm</t>
  </si>
  <si>
    <t>Ix</t>
  </si>
  <si>
    <t>=2*Ix_sec2</t>
  </si>
  <si>
    <t>=2*8.62E+5mm^4</t>
  </si>
  <si>
    <t>1.72E+6mm^4</t>
  </si>
  <si>
    <t>ly</t>
  </si>
  <si>
    <t>=2*(Iy_sec2+Ag_sec*x_cg^2)</t>
  </si>
  <si>
    <t>=2*(5.37E+5mm^4+1612.9mm²*23.7mm^2)</t>
  </si>
  <si>
    <t>2.89E+6mm^4</t>
  </si>
  <si>
    <t>rx</t>
  </si>
  <si>
    <t>=SQRT(Ix/Ag)</t>
  </si>
  <si>
    <t>=SQRT(1.72E+6mm^4/3225.8mm²)</t>
  </si>
  <si>
    <t>ry</t>
  </si>
  <si>
    <t>=SQRT(Iy/Ag)</t>
  </si>
  <si>
    <t>=SQRT(2.89E+6mm^4/3225.8mm²)</t>
  </si>
  <si>
    <t>29.9mm</t>
  </si>
  <si>
    <t>=y-t_sec/2</t>
  </si>
  <si>
    <t>=25.3mm-12.7mm/2</t>
  </si>
  <si>
    <t>=SQRT(18.9mm^2+0^2+(1.72E+6mm^4+2.89E+6mm^4)/3225.8mm²)</t>
  </si>
  <si>
    <t>42.3mm</t>
  </si>
  <si>
    <t>=1-(18.9mm^2+0^2)/42.3mm^2</t>
  </si>
  <si>
    <t>slender_o</t>
  </si>
  <si>
    <t>=Ky*Ly*1*1000/ry</t>
  </si>
  <si>
    <t>=1*1.5m*1*1000/29.9mm</t>
  </si>
  <si>
    <t>For intermediate connectors that are snug-tight bolted:</t>
  </si>
  <si>
    <t>min radius of gyra., ri</t>
  </si>
  <si>
    <t>=MIN(ry_sec,rx_sec,rz_sec)</t>
  </si>
  <si>
    <t>=MIN(18.2mm,23.1mm,13.1mm)</t>
  </si>
  <si>
    <t>13.1mm</t>
  </si>
  <si>
    <t>slender_m1</t>
  </si>
  <si>
    <t>=SQRT(slender_o^2+(a/ri)^2)</t>
  </si>
  <si>
    <t>=SQRT(50.1^2+(6.0mm/13.1mm)^2)</t>
  </si>
  <si>
    <t>For Intermediate connectors that are welded or pretensioned bolted:</t>
  </si>
  <si>
    <t>separation ratio, α</t>
  </si>
  <si>
    <t>=x_cg/ry_sec</t>
  </si>
  <si>
    <t>=23.7mm/18.2mm</t>
  </si>
  <si>
    <t>slender_m2</t>
  </si>
  <si>
    <t>=SQRT(slender_o^2+0.82*α^2/(1+α^2)*(a/ry_sec)^2)</t>
  </si>
  <si>
    <t>=SQRT(50.1^2+0.82*1.30^2/(1+1.30^2)*(6.0mm/18.2mm)^2)</t>
  </si>
  <si>
    <t>slender_m</t>
  </si>
  <si>
    <t>=IF(Conn="Snug-Tight Bolted",slender_m1,slender_m2)</t>
  </si>
  <si>
    <t>=IF(pretensioned bolted="Snug-Tight Bolted",50.1,50.1)</t>
  </si>
  <si>
    <t>modified ry, ry_m</t>
  </si>
  <si>
    <t>=ry*slender_o/slender_m</t>
  </si>
  <si>
    <t>=29.9mm*50.1/50.1</t>
  </si>
  <si>
    <t>based on E6.2 Ky*a/ri must be less then 0.75 K*L/r governing (assumed to be KyLy/ry here)</t>
  </si>
  <si>
    <t>slender_a</t>
  </si>
  <si>
    <t>=Ky*a/ri</t>
  </si>
  <si>
    <t>=1*6.0mm/13.1mm</t>
  </si>
  <si>
    <t>=0.75*slender_m</t>
  </si>
  <si>
    <t>=0.75*50.1</t>
  </si>
  <si>
    <t>slender.condition met?</t>
  </si>
  <si>
    <t>slender</t>
  </si>
  <si>
    <t>=1*1.5m*1000*1/23.1mm</t>
  </si>
  <si>
    <t>Elastic Stress, Fe</t>
  </si>
  <si>
    <t>=PI()^2*E/(slender)^2</t>
  </si>
  <si>
    <t>=PI()^2*200000.0MPa/(64.9)^2</t>
  </si>
  <si>
    <t>468.6MPa</t>
  </si>
  <si>
    <t>Critical Stress, Fcr is one of the following</t>
  </si>
  <si>
    <t>for Fe≥0.44*Fy</t>
  </si>
  <si>
    <t>=0.658^(Fy/Fe)*Fy</t>
  </si>
  <si>
    <t>=0.658^(248.2MPa/468.6MPa)*248.2MPa</t>
  </si>
  <si>
    <t>198.9MPa</t>
  </si>
  <si>
    <t>for Fe&lt;0.44*Fy</t>
  </si>
  <si>
    <t>=0.877*Fe</t>
  </si>
  <si>
    <t>=0.877*468.6MPa</t>
  </si>
  <si>
    <t>411.0MPa</t>
  </si>
  <si>
    <t>Fe ≥ 0.44*Fy ?</t>
  </si>
  <si>
    <t>=Fe&gt;=0.44*Fy</t>
  </si>
  <si>
    <t>=468.6MPa&gt;=0.44*248.2MPa</t>
  </si>
  <si>
    <t>Critical Stress, Fcr</t>
  </si>
  <si>
    <t>Φ_c</t>
  </si>
  <si>
    <t>comp strength, ΦcPn</t>
  </si>
  <si>
    <t>=Φ_c*Fcr*Ag</t>
  </si>
  <si>
    <t>=0.9*198.9MPa*3225.8mm²*0.001</t>
  </si>
  <si>
    <t>577.3kN</t>
  </si>
  <si>
    <t>=1*1.5m*1000*1/29.9mm</t>
  </si>
  <si>
    <t>=PI()^2*200000.0MPa/(50.1)^2</t>
  </si>
  <si>
    <t>785.3MPa</t>
  </si>
  <si>
    <t>=0.658^(248.2MPa/785.3MPa)*248.2MPa</t>
  </si>
  <si>
    <t>217.5MPa</t>
  </si>
  <si>
    <t>=0.877*785.3MPa</t>
  </si>
  <si>
    <t>688.7MPa</t>
  </si>
  <si>
    <t>=785.3MPa&gt;=0.44*248.2MPa</t>
  </si>
  <si>
    <t>=0.9*217.5MPa*3225.8mm²*0.001</t>
  </si>
  <si>
    <t>631.3kN</t>
  </si>
  <si>
    <t>Fcrz</t>
  </si>
  <si>
    <t>=G*J/(Ag*ro^2)</t>
  </si>
  <si>
    <t>=77221.3MPa*1.77E+5mm^4/(3225.8mm²*42.3mm^2)</t>
  </si>
  <si>
    <t>2374.8MPa</t>
  </si>
  <si>
    <t>=(Fcry+Fcrz)/(2*H)*(1-SQRT(1-4*Fcry*Fcrz*H/(Fcry+Fcrz)^2))</t>
  </si>
  <si>
    <t>=(217.5MPa+2374.8MPa)/(2*0.80)*(1-SQRT(1-4*217.5MPa*2374.8MPa*0.80/(217.5MPa+2374.8MPa)^2))</t>
  </si>
  <si>
    <t>213.2MPa</t>
  </si>
  <si>
    <t>=0.9*213.2MPa*3225.8mm²*0.001</t>
  </si>
  <si>
    <t>619.1kN</t>
  </si>
  <si>
    <t>%L_prop&amp;Title</t>
  </si>
  <si>
    <t>%L_prop&amp;Calculation</t>
  </si>
  <si>
    <t>%2L_prop&amp;Title</t>
  </si>
  <si>
    <t>%2L_prop&amp;Calculation</t>
  </si>
  <si>
    <t>%E6.y&amp;Title</t>
  </si>
  <si>
    <t>%E6.y&amp;Calculation</t>
  </si>
  <si>
    <t>%E3.x&amp;Title</t>
  </si>
  <si>
    <t>%E3.x&amp;Calculation</t>
  </si>
  <si>
    <t>%E3.y&amp;Title</t>
  </si>
  <si>
    <t>%E3.y&amp;Calculation</t>
  </si>
  <si>
    <t>%E4a.y&amp;Title</t>
  </si>
  <si>
    <t>%E4a.y&amp;Calculation</t>
  </si>
  <si>
    <t>Type</t>
  </si>
  <si>
    <t>WorkSheet</t>
  </si>
  <si>
    <t>Range</t>
  </si>
  <si>
    <t>Metric</t>
  </si>
  <si>
    <t>Section</t>
  </si>
  <si>
    <t>L3X2-1/2X1/2</t>
  </si>
  <si>
    <t>L</t>
  </si>
  <si>
    <t>SectionI</t>
  </si>
  <si>
    <t>row#</t>
  </si>
  <si>
    <t>Con. Flange, C_type</t>
  </si>
  <si>
    <t>Long Edge</t>
  </si>
  <si>
    <t>Con. Separation., C_s</t>
  </si>
  <si>
    <t>Effective Length, Kx</t>
  </si>
  <si>
    <t>Length, Lx</t>
  </si>
  <si>
    <t>Effective Length, Ky</t>
  </si>
  <si>
    <t>Length, Ly</t>
  </si>
  <si>
    <t>Connection Type, Conn</t>
  </si>
  <si>
    <t>pretensioned bolted</t>
  </si>
  <si>
    <t>Connection Dist., a</t>
  </si>
  <si>
    <t>ΦcPn</t>
  </si>
  <si>
    <t>E3.x</t>
  </si>
  <si>
    <t>E3.y</t>
  </si>
  <si>
    <t>E4a.y</t>
  </si>
  <si>
    <t>E6.y</t>
  </si>
  <si>
    <t>slender.condition</t>
  </si>
  <si>
    <t>Equations for shear center have been derived from Roark's Formulas for Stress and Strain pg 258</t>
  </si>
  <si>
    <t>Worksheet</t>
  </si>
  <si>
    <t>in</t>
  </si>
  <si>
    <t>Area, Ag</t>
  </si>
  <si>
    <t>d</t>
  </si>
  <si>
    <t>b</t>
  </si>
  <si>
    <t>Iy</t>
  </si>
  <si>
    <t>rz</t>
  </si>
  <si>
    <t>t</t>
  </si>
  <si>
    <t>Spreadsheet finds modified r for built up members</t>
  </si>
  <si>
    <t>Based on AISC360-05 Section E6</t>
  </si>
  <si>
    <t>Ky</t>
  </si>
  <si>
    <t>Length, ly</t>
  </si>
  <si>
    <t>Ly</t>
  </si>
  <si>
    <t>Conn</t>
  </si>
  <si>
    <t>a</t>
  </si>
  <si>
    <t>member CG, x_cg</t>
  </si>
  <si>
    <t>2L_prop</t>
  </si>
  <si>
    <t>ry_sec</t>
  </si>
  <si>
    <t>rx_sec</t>
  </si>
  <si>
    <t>rz_sec</t>
  </si>
  <si>
    <t>L_prop</t>
  </si>
  <si>
    <t>Based on AISC360-05 Section E3</t>
  </si>
  <si>
    <t>Effective Length, K</t>
  </si>
  <si>
    <t>Kx</t>
  </si>
  <si>
    <t>Lx</t>
  </si>
  <si>
    <t>Radius of Gyration, ra</t>
  </si>
  <si>
    <t>Yield Strength, Fy</t>
  </si>
  <si>
    <t>A36</t>
  </si>
  <si>
    <t>Fy</t>
  </si>
  <si>
    <t>Modulus of Elasticity, E</t>
  </si>
  <si>
    <t>E</t>
  </si>
  <si>
    <t>Gross Area, Ag</t>
  </si>
  <si>
    <r>
      <t>for Fe</t>
    </r>
    <r>
      <rPr>
        <sz val="10"/>
        <rFont val="Arial"/>
        <family val="0"/>
      </rPr>
      <t>≥</t>
    </r>
    <r>
      <rPr>
        <sz val="10"/>
        <rFont val="Arial"/>
        <family val="2"/>
      </rPr>
      <t>0.44*Fy</t>
    </r>
  </si>
  <si>
    <r>
      <t>for Fe</t>
    </r>
    <r>
      <rPr>
        <sz val="10"/>
        <rFont val="Arial"/>
        <family val="0"/>
      </rPr>
      <t>&lt;</t>
    </r>
    <r>
      <rPr>
        <sz val="10"/>
        <rFont val="Arial"/>
        <family val="2"/>
      </rPr>
      <t>0.44*Fy</t>
    </r>
  </si>
  <si>
    <r>
      <t xml:space="preserve">Fe </t>
    </r>
    <r>
      <rPr>
        <sz val="10"/>
        <rFont val="Arial"/>
        <family val="0"/>
      </rPr>
      <t>≥</t>
    </r>
    <r>
      <rPr>
        <sz val="10"/>
        <rFont val="Arial"/>
        <family val="2"/>
      </rPr>
      <t xml:space="preserve"> 0.44*Fy ?</t>
    </r>
  </si>
  <si>
    <t>ry_m</t>
  </si>
  <si>
    <t>Based on the assumption that y-y axis is only axis with lateral torsional buckling</t>
  </si>
  <si>
    <t>Based on AISC360-05 Section E4a</t>
  </si>
  <si>
    <t>Fcry</t>
  </si>
  <si>
    <t>Fcr</t>
  </si>
  <si>
    <t>Polar Radius, ro</t>
  </si>
  <si>
    <t>Torsional Constant, J</t>
  </si>
  <si>
    <t>Shear modulus, G</t>
  </si>
  <si>
    <t>Calculates the important values for two double angles</t>
  </si>
  <si>
    <t>section</t>
  </si>
  <si>
    <t>C_type</t>
  </si>
  <si>
    <t>C_s</t>
  </si>
  <si>
    <t>Ag_sec</t>
  </si>
  <si>
    <t>t_sec</t>
  </si>
  <si>
    <t>Ix_sec</t>
  </si>
  <si>
    <t>y_sec</t>
  </si>
  <si>
    <t>Iy_sec</t>
  </si>
  <si>
    <t>x_sec</t>
  </si>
  <si>
    <t>J_sec</t>
  </si>
  <si>
    <t>grade</t>
  </si>
  <si>
    <t>The grade of steel</t>
  </si>
  <si>
    <t>Fu</t>
  </si>
  <si>
    <t>The Ultimate Strength of the steel (ksi or MPa)</t>
  </si>
  <si>
    <t>The Yield Strength of the Steel (ksi or MPa)</t>
  </si>
  <si>
    <t>Modulus of Elasticity</t>
  </si>
  <si>
    <t>Steel Grade, grade</t>
  </si>
  <si>
    <t>Steel.Grade</t>
  </si>
  <si>
    <t>Ultimate Strength, Fu</t>
  </si>
  <si>
    <t>Shear Modulus, G</t>
  </si>
  <si>
    <t>A992</t>
  </si>
  <si>
    <t>Name</t>
  </si>
  <si>
    <t>Data Sheet</t>
  </si>
  <si>
    <t>Title</t>
  </si>
  <si>
    <t>Grade</t>
  </si>
  <si>
    <t>A53 Gr. B</t>
  </si>
  <si>
    <t>A500 Gr. B</t>
  </si>
  <si>
    <t>A500 Gr. C</t>
  </si>
  <si>
    <t>A501</t>
  </si>
  <si>
    <t>A529 Gr. 50</t>
  </si>
  <si>
    <t>A529 Gr. 55</t>
  </si>
  <si>
    <t>A572 Gr.42</t>
  </si>
  <si>
    <t>A572 Gr. 50</t>
  </si>
  <si>
    <t>A572 Gr.55</t>
  </si>
  <si>
    <t>A572 Gr.60</t>
  </si>
  <si>
    <t>A572 Gr.65</t>
  </si>
  <si>
    <t>A618 Gr. I &amp; II</t>
  </si>
  <si>
    <t>A618 Gr. III</t>
  </si>
  <si>
    <t>A913 Gr. 50</t>
  </si>
  <si>
    <t>A913 Gr. 60</t>
  </si>
  <si>
    <t>A913 Gr. 65</t>
  </si>
  <si>
    <t>A913 Gr. 70</t>
  </si>
  <si>
    <t>A242</t>
  </si>
  <si>
    <t>A588</t>
  </si>
  <si>
    <t>A847</t>
  </si>
  <si>
    <t>Imperial Size</t>
  </si>
  <si>
    <t>Metric Size</t>
  </si>
  <si>
    <t>W</t>
  </si>
  <si>
    <t>KDES</t>
  </si>
  <si>
    <t>KDET</t>
  </si>
  <si>
    <t>X</t>
  </si>
  <si>
    <t>Y</t>
  </si>
  <si>
    <t>E0</t>
  </si>
  <si>
    <t>Xp</t>
  </si>
  <si>
    <t>Yp</t>
  </si>
  <si>
    <t>ZX</t>
  </si>
  <si>
    <t>SX</t>
  </si>
  <si>
    <t>Rx</t>
  </si>
  <si>
    <t>ZY</t>
  </si>
  <si>
    <t>SY</t>
  </si>
  <si>
    <t>Ry</t>
  </si>
  <si>
    <t>Rz</t>
  </si>
  <si>
    <t>CW</t>
  </si>
  <si>
    <t>Ro</t>
  </si>
  <si>
    <t>TAN_ALPHA</t>
  </si>
  <si>
    <t>QS</t>
  </si>
  <si>
    <t>L8X8X1-1/8</t>
  </si>
  <si>
    <t>L203X203X28.6</t>
  </si>
  <si>
    <t>L8X8X1</t>
  </si>
  <si>
    <t>L203X203X25.4</t>
  </si>
  <si>
    <t>L8X8X7/8</t>
  </si>
  <si>
    <t>L203X203X22.2</t>
  </si>
  <si>
    <t>L8X8X3/4</t>
  </si>
  <si>
    <t>L203X203X19</t>
  </si>
  <si>
    <t>L8X8X5/8</t>
  </si>
  <si>
    <t>L203X203X15.9</t>
  </si>
  <si>
    <t>L8X8X9/16</t>
  </si>
  <si>
    <t>L203X203X14.3</t>
  </si>
  <si>
    <t>L8X8X1/2</t>
  </si>
  <si>
    <t>L203X203X12.7</t>
  </si>
  <si>
    <t>L8X6X1</t>
  </si>
  <si>
    <t>L203X152X25.4</t>
  </si>
  <si>
    <t>L8X6X7/8</t>
  </si>
  <si>
    <t>L203X152X22.2</t>
  </si>
  <si>
    <t>L8X6X3/4</t>
  </si>
  <si>
    <t>L203X152X19</t>
  </si>
  <si>
    <t>L8X6X5/8</t>
  </si>
  <si>
    <t>L203X152X15.9</t>
  </si>
  <si>
    <t>L8X6X9/16</t>
  </si>
  <si>
    <t>L203X152X14.3</t>
  </si>
  <si>
    <t>L8X6X1/2</t>
  </si>
  <si>
    <t>L203X152X12.7</t>
  </si>
  <si>
    <t>L8X6X7/16</t>
  </si>
  <si>
    <t>L203X152X11.1</t>
  </si>
  <si>
    <t>L8X4X1</t>
  </si>
  <si>
    <t>L203X102X25.4</t>
  </si>
  <si>
    <t>L8X4X7/8</t>
  </si>
  <si>
    <t>L203X102X22.2</t>
  </si>
  <si>
    <t>L8X4X3/4</t>
  </si>
  <si>
    <t>L203X102X19</t>
  </si>
  <si>
    <t>L8X4X5/8</t>
  </si>
  <si>
    <t>L203X102X15.9</t>
  </si>
  <si>
    <t>L8X4X9/16</t>
  </si>
  <si>
    <t>L203X102X14.3</t>
  </si>
  <si>
    <t>L8X4X1/2</t>
  </si>
  <si>
    <t>L203X102X12.7</t>
  </si>
  <si>
    <t>L8X4X7/16</t>
  </si>
  <si>
    <t>L203X102X11.1</t>
  </si>
  <si>
    <t>L7X4X3/4</t>
  </si>
  <si>
    <t>L178X102X19</t>
  </si>
  <si>
    <t>L7X4X5/8</t>
  </si>
  <si>
    <t>L178X102X15.9</t>
  </si>
  <si>
    <t>L7X4X1/2</t>
  </si>
  <si>
    <t>L178X102X12.7</t>
  </si>
  <si>
    <t>L7X4X7/16</t>
  </si>
  <si>
    <t>L178X102X11.1</t>
  </si>
  <si>
    <t>L7X4X3/8</t>
  </si>
  <si>
    <t>L178X102X9.5</t>
  </si>
  <si>
    <t>L6X6X1</t>
  </si>
  <si>
    <t>L152X152X25.4</t>
  </si>
  <si>
    <t>L6X6X7/8</t>
  </si>
  <si>
    <t>L152X152X22.2</t>
  </si>
  <si>
    <t>L6X6X3/4</t>
  </si>
  <si>
    <t>L152X152X19</t>
  </si>
  <si>
    <t>L6X6X5/8</t>
  </si>
  <si>
    <t>L152X152X15.9</t>
  </si>
  <si>
    <t>L6X6X9/16</t>
  </si>
  <si>
    <t>L152X152X14.3</t>
  </si>
  <si>
    <t>L6X6X1/2</t>
  </si>
  <si>
    <t>L152X152X12.7</t>
  </si>
  <si>
    <t>L6X6X7/16</t>
  </si>
  <si>
    <t>L152X152X11.1</t>
  </si>
  <si>
    <t>L6X6X3/8</t>
  </si>
  <si>
    <t>L152X152X9.5</t>
  </si>
  <si>
    <t>L6X6X5/16</t>
  </si>
  <si>
    <t>L152X152X7.9</t>
  </si>
  <si>
    <t>L6X4X7/8</t>
  </si>
  <si>
    <t>L152X102X22.2</t>
  </si>
  <si>
    <t>L6X4X3/4</t>
  </si>
  <si>
    <t>L152X102X19</t>
  </si>
  <si>
    <t>L6X4X5/8</t>
  </si>
  <si>
    <t>L152X102X15.9</t>
  </si>
  <si>
    <t>L6X4X9/16</t>
  </si>
  <si>
    <t>L152X102X14.3</t>
  </si>
  <si>
    <t>L6X4X1/2</t>
  </si>
  <si>
    <t>L152X102X12.7</t>
  </si>
  <si>
    <t>L6X4X7/16</t>
  </si>
  <si>
    <t>L152X102X11.1</t>
  </si>
  <si>
    <t>L6X4X3/8</t>
  </si>
  <si>
    <t>L152X102X9.5</t>
  </si>
  <si>
    <t>L6X4X5/16</t>
  </si>
  <si>
    <t>L152X102X7.9</t>
  </si>
  <si>
    <t>L6X3-1/2X1/2</t>
  </si>
  <si>
    <t>L152X89X12.7</t>
  </si>
  <si>
    <t>L6X3-1/2X3/8</t>
  </si>
  <si>
    <t>L152X89X9.5</t>
  </si>
  <si>
    <t>L6X3-1/2X5/16</t>
  </si>
  <si>
    <t>L152X89X7.9</t>
  </si>
  <si>
    <t>L5X5X7/8</t>
  </si>
  <si>
    <t>L127X127X22.2</t>
  </si>
  <si>
    <t>L5X5X3/4</t>
  </si>
  <si>
    <t>L127X127X19</t>
  </si>
  <si>
    <t>L5X5X5/8</t>
  </si>
  <si>
    <t>L127X127X15.9</t>
  </si>
  <si>
    <t>L5X5X1/2</t>
  </si>
  <si>
    <t>L127X127X12.7</t>
  </si>
  <si>
    <t>L5X5X7/16</t>
  </si>
  <si>
    <t>L127X127X11.1</t>
  </si>
  <si>
    <t>L5X5X3/8</t>
  </si>
  <si>
    <t>L127X127X9.5</t>
  </si>
  <si>
    <t>L5X5X5/16</t>
  </si>
  <si>
    <t>L127X127X7.9</t>
  </si>
  <si>
    <t>L5X3-1/2X3/4</t>
  </si>
  <si>
    <t>L127X89X19</t>
  </si>
  <si>
    <t>L5X3-1/2X5/8</t>
  </si>
  <si>
    <t>L127X89X15.9</t>
  </si>
  <si>
    <t>L5X3-1/2X1/2</t>
  </si>
  <si>
    <t>L127X89X12.7</t>
  </si>
  <si>
    <t>L5X3-1/2X3/8</t>
  </si>
  <si>
    <t>L127X89X9.5</t>
  </si>
  <si>
    <t>L5X3-1/2X5/16</t>
  </si>
  <si>
    <t>L127X89X7.9</t>
  </si>
  <si>
    <t>L5X3-1/2X1/4</t>
  </si>
  <si>
    <t>L127X89X6.4</t>
  </si>
  <si>
    <t>L5X3X1/2</t>
  </si>
  <si>
    <t>L127X76X12.7</t>
  </si>
  <si>
    <t>L5X3X7/16</t>
  </si>
  <si>
    <t>L127X76X11.1</t>
  </si>
  <si>
    <t>L5X3X3/8</t>
  </si>
  <si>
    <t>L127X76X9.5</t>
  </si>
  <si>
    <t>L5X3X5/16</t>
  </si>
  <si>
    <t>L127X76X7.9</t>
  </si>
  <si>
    <t>L5X3X1/4</t>
  </si>
  <si>
    <t>L127X76X6.4</t>
  </si>
  <si>
    <t>L4X4X3/4</t>
  </si>
  <si>
    <t>L102X102X19</t>
  </si>
  <si>
    <t>L4X4X5/8</t>
  </si>
  <si>
    <t>L102X102X15.9</t>
  </si>
  <si>
    <t>L4X4X1/2</t>
  </si>
  <si>
    <t>L102X102X12.7</t>
  </si>
  <si>
    <t>L4X4X7/16</t>
  </si>
  <si>
    <t>L102X102X11.1</t>
  </si>
  <si>
    <t>L4X4X3/8</t>
  </si>
  <si>
    <t>L102X102X9.5</t>
  </si>
  <si>
    <t>L4X4X5/16</t>
  </si>
  <si>
    <t>L102X102X7.9</t>
  </si>
  <si>
    <t>L4X4X1/4</t>
  </si>
  <si>
    <t>L102X102X6.4</t>
  </si>
  <si>
    <t>L4X3-1/2X1/2</t>
  </si>
  <si>
    <t>L102X89X12.7</t>
  </si>
  <si>
    <t>L4X3-1/2X3/8</t>
  </si>
  <si>
    <t>L102X89X9.5</t>
  </si>
  <si>
    <t>L4X3-1/2X5/16</t>
  </si>
  <si>
    <t>L102X89X7.9</t>
  </si>
  <si>
    <t>L4X3-1/2X1/4</t>
  </si>
  <si>
    <t>L102X89X6.4</t>
  </si>
  <si>
    <t>L4X3X5/8</t>
  </si>
  <si>
    <t>L102X76X15.9</t>
  </si>
  <si>
    <t>L4X3X1/2</t>
  </si>
  <si>
    <t>L102X76X12.7</t>
  </si>
  <si>
    <t>L4X3X3/8</t>
  </si>
  <si>
    <t>L102X76X9.5</t>
  </si>
  <si>
    <t>L4X3X5/16</t>
  </si>
  <si>
    <t>L102X76X7.9</t>
  </si>
  <si>
    <t>L4X3X1/4</t>
  </si>
  <si>
    <t>L102X76X6.4</t>
  </si>
  <si>
    <t>L3-1/2X3-1/2X1/2</t>
  </si>
  <si>
    <t>L89X89X12.7</t>
  </si>
  <si>
    <t>L3-1/2X3-1/2X7/16</t>
  </si>
  <si>
    <t>L89X89X11.1</t>
  </si>
  <si>
    <t>L3-1/2X3-1/2X3/8</t>
  </si>
  <si>
    <t>L89X89X9.5</t>
  </si>
  <si>
    <t>L3-1/2X3-1/2X5/16</t>
  </si>
  <si>
    <t>L89X89X7.9</t>
  </si>
  <si>
    <t>L3-1/2X3-1/2X1/4</t>
  </si>
  <si>
    <t>L89X89X6.4</t>
  </si>
  <si>
    <t>L3-1/2X3X1/2</t>
  </si>
  <si>
    <t>L89X76X12.7</t>
  </si>
  <si>
    <t>L3-1/2X3X7/16</t>
  </si>
  <si>
    <t>L89X76X11.1</t>
  </si>
  <si>
    <t>L3-1/2X3X3/8</t>
  </si>
  <si>
    <t>L89X76X9.5</t>
  </si>
  <si>
    <t>L3-1/2X3X5/16</t>
  </si>
  <si>
    <t>L89X76X7.9</t>
  </si>
  <si>
    <t>L3-1/2X3X1/4</t>
  </si>
  <si>
    <t>L89X76X6.4</t>
  </si>
  <si>
    <t>L3-1/2X2-1/2X1/2</t>
  </si>
  <si>
    <t>L89X64X12.7</t>
  </si>
  <si>
    <t>L3-1/2X2-1/2X3/8</t>
  </si>
  <si>
    <t>L89X64X9.5</t>
  </si>
  <si>
    <t>L3-1/2X2-1/2X5/16</t>
  </si>
  <si>
    <t>L89X64X7.9</t>
  </si>
  <si>
    <t>L3-1/2X2-1/2X1/4</t>
  </si>
  <si>
    <t>L89X64X6.4</t>
  </si>
  <si>
    <t>L3X3X1/2</t>
  </si>
  <si>
    <t>L76X76X12.7</t>
  </si>
  <si>
    <t>L3X3X7/16</t>
  </si>
  <si>
    <t>L76X76X11.1</t>
  </si>
  <si>
    <t>L3X3X3/8</t>
  </si>
  <si>
    <t>L76X76X9.5</t>
  </si>
  <si>
    <t>L3X3X5/16</t>
  </si>
  <si>
    <t>L76X76X7.9</t>
  </si>
  <si>
    <t>L3X3X1/4</t>
  </si>
  <si>
    <t>L76X76X6.4</t>
  </si>
  <si>
    <t>L3X3X3/16</t>
  </si>
  <si>
    <t>L76X76X4.8</t>
  </si>
  <si>
    <t>L76X64X12.7</t>
  </si>
  <si>
    <t>L3X2-1/2X7/16</t>
  </si>
  <si>
    <t>L76X64X11.1</t>
  </si>
  <si>
    <t>L3X2-1/2X3/8</t>
  </si>
  <si>
    <t>L76X64X9.5</t>
  </si>
  <si>
    <t>L3X2-1/2X5/16</t>
  </si>
  <si>
    <t>L76X64X7.9</t>
  </si>
  <si>
    <t>L3X2-1/2X1/4</t>
  </si>
  <si>
    <t>L76X64X6.4</t>
  </si>
  <si>
    <t>L3X2-1/2X3/16</t>
  </si>
  <si>
    <t>L76X64X4.8</t>
  </si>
  <si>
    <t>L3X2X1/2</t>
  </si>
  <si>
    <t>L76X51X12.7</t>
  </si>
  <si>
    <t>L3X2X3/8</t>
  </si>
  <si>
    <t>L76X51X9.5</t>
  </si>
  <si>
    <t>L3X2X5/16</t>
  </si>
  <si>
    <t>L76X51X7.9</t>
  </si>
  <si>
    <t>L3X2X1/4</t>
  </si>
  <si>
    <t>L76X51X6.4</t>
  </si>
  <si>
    <t>L3X2X3/16</t>
  </si>
  <si>
    <t>L76X51X4.8</t>
  </si>
  <si>
    <t>L2-1/2X2-1/2X1/2</t>
  </si>
  <si>
    <t>L64X64X12.7</t>
  </si>
  <si>
    <t>L2-1/2X2-1/2X3/8</t>
  </si>
  <si>
    <t>L64X64X9.5</t>
  </si>
  <si>
    <t>L2-1/2X2-1/2X5/16</t>
  </si>
  <si>
    <t>L64X64X7.9</t>
  </si>
  <si>
    <t>L2-1/2X2-1/2X1/4</t>
  </si>
  <si>
    <t>L64X64X6.4</t>
  </si>
  <si>
    <t>L2-1/2X2-1/2X3/16</t>
  </si>
  <si>
    <t>L64X64X4.8</t>
  </si>
  <si>
    <t>L2-1/2X2X3/8</t>
  </si>
  <si>
    <t>L64X51X9.5</t>
  </si>
  <si>
    <t>L2-1/2X2X5/16</t>
  </si>
  <si>
    <t>L64X51X7.9</t>
  </si>
  <si>
    <t>L2-1/2X2X1/4</t>
  </si>
  <si>
    <t>L64X51X6.4</t>
  </si>
  <si>
    <t>L2-1/2X2X3/16</t>
  </si>
  <si>
    <t>L64X51X4.8</t>
  </si>
  <si>
    <t>L2-1/2X1-1/2X1/4</t>
  </si>
  <si>
    <t>L64X38X6.4</t>
  </si>
  <si>
    <t>L2-1/2X1-1/2X3/16</t>
  </si>
  <si>
    <t>L64X38X4.8</t>
  </si>
  <si>
    <t>L2X2X3/8</t>
  </si>
  <si>
    <t>L51X51X9.5</t>
  </si>
  <si>
    <t>L2X2X5/16</t>
  </si>
  <si>
    <t>L51X51X7.9</t>
  </si>
  <si>
    <t>L2X2X1/4</t>
  </si>
  <si>
    <t>L51X51X6.4</t>
  </si>
  <si>
    <t>L2X2X3/16</t>
  </si>
  <si>
    <t>L51X51X4.8</t>
  </si>
  <si>
    <t>L2X2X1/8</t>
  </si>
  <si>
    <t>L51X51X3.2</t>
  </si>
  <si>
    <t>0.0.2.0</t>
  </si>
  <si>
    <t>Single Angle Properties</t>
  </si>
  <si>
    <t>Reference</t>
  </si>
  <si>
    <t>Results</t>
  </si>
  <si>
    <t>KL/r for Built up Compressive Members</t>
  </si>
  <si>
    <t>Length, L</t>
  </si>
  <si>
    <t>Double Angle Properties</t>
  </si>
  <si>
    <t>=K*L*1000*1/ra</t>
  </si>
  <si>
    <t>Compressive Strength for Flexural Buickling for Nonslender Elements</t>
  </si>
  <si>
    <t>Compressive Strength for Flexural-Torsional Buckling for Nonslender Elements</t>
  </si>
  <si>
    <t>For bending about the y-y axis</t>
  </si>
  <si>
    <t>For bending about the x-x axis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</si>
</sst>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&quot;in²&quot;"/>
    <numFmt numFmtId="165" formatCode="0.0&quot;˚&quot;"/>
    <numFmt numFmtId="166" formatCode="[$-1009]d\-mmm\-yyyy;@"/>
    <numFmt numFmtId="167" formatCode="[$-1009]mmmm\ d\,\ yyyy;@"/>
    <numFmt numFmtId="168" formatCode="0.0"/>
    <numFmt numFmtId="169" formatCode="0&quot;mm&quot;"/>
    <numFmt numFmtId="170" formatCode="0&quot;MPa&quot;"/>
    <numFmt numFmtId="171" formatCode="0&quot;kN·m&quot;"/>
    <numFmt numFmtId="172" formatCode="&quot;&quot;"/>
    <numFmt numFmtId="173" formatCode="0.0&quot;mm&quot;"/>
    <numFmt numFmtId="174" formatCode="0.0&quot;mm²&quot;"/>
    <numFmt numFmtId="175" formatCode="0.0&quot;mm³&quot;"/>
    <numFmt numFmtId="176" formatCode="0.00E+0&quot;mm^4&quot;"/>
    <numFmt numFmtId="177" formatCode="0.00E+0&quot;mm^6&quot;"/>
    <numFmt numFmtId="178" formatCode="0.0&quot;MPa&quot;"/>
    <numFmt numFmtId="179" formatCode="0.0&quot;m&quot;"/>
    <numFmt numFmtId="180" formatCode="0.0&quot;kN&quot;"/>
    <numFmt numFmtId="181" formatCode="0.0&quot;kN/m&quot;"/>
    <numFmt numFmtId="182" formatCode="0.0&quot;N/mm&quot;"/>
    <numFmt numFmtId="183" formatCode=";;;"/>
    <numFmt numFmtId="184" formatCode="0.0&quot;kN/m³&quot;"/>
    <numFmt numFmtId="185" formatCode="0.0&quot;m²&quot;"/>
    <numFmt numFmtId="186" formatCode="0.0&quot;m³&quot;"/>
    <numFmt numFmtId="187" formatCode="0.0&quot;kPa&quot;"/>
    <numFmt numFmtId="188" formatCode="0.00&quot;in&quot;"/>
    <numFmt numFmtId="189" formatCode="0.00&quot;in³&quot;"/>
    <numFmt numFmtId="190" formatCode="0.00&quot;in^4&quot;"/>
    <numFmt numFmtId="191" formatCode="0.00E+0&quot;in^6&quot;"/>
    <numFmt numFmtId="192" formatCode="0.0&quot;ksi&quot;"/>
    <numFmt numFmtId="193" formatCode="0.0&quot;ksf&quot;"/>
    <numFmt numFmtId="194" formatCode="0.0&quot;ft&quot;"/>
    <numFmt numFmtId="195" formatCode="0.0&quot;ft²&quot;"/>
    <numFmt numFmtId="196" formatCode="0.0&quot;ft³&quot;"/>
    <numFmt numFmtId="197" formatCode="0.0&quot;kip&quot;"/>
    <numFmt numFmtId="198" formatCode="0.0&quot;kip·ft&quot;"/>
    <numFmt numFmtId="199" formatCode="0.0&quot;kip/ft&quot;"/>
    <numFmt numFmtId="200" formatCode="0.0&quot;kip/in&quot;"/>
    <numFmt numFmtId="201" formatCode="0.0&quot;pcf&quot;"/>
    <numFmt numFmtId="202" formatCode="0.0&quot;psf&quot;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7"/>
      <name val="Arial"/>
      <family val="2"/>
    </font>
    <font>
      <sz val="26"/>
      <color indexed="23"/>
      <name val="Arial"/>
      <family val="2"/>
    </font>
    <font>
      <b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3" fillId="2" borderId="0" applyNumberFormat="0" applyBorder="0" applyAlignment="0" applyProtection="0"/>
    <xf numFmtId="0" fontId="4" fillId="19" borderId="1" applyNumberFormat="0" applyAlignment="0" applyProtection="0"/>
    <xf numFmtId="0" fontId="5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 horizontal="left"/>
    </xf>
    <xf numFmtId="0" fontId="8" fillId="0" borderId="3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horizontal="left"/>
      <protection/>
    </xf>
    <xf numFmtId="0" fontId="19" fillId="0" borderId="0" applyNumberFormat="0" applyFill="0" applyBorder="0" applyAlignment="0" applyProtection="0"/>
    <xf numFmtId="0" fontId="11" fillId="6" borderId="1" applyNumberFormat="0" applyAlignment="0" applyProtection="0"/>
    <xf numFmtId="0" fontId="12" fillId="0" borderId="4" applyNumberFormat="0" applyFill="0" applyAlignment="0" applyProtection="0"/>
    <xf numFmtId="0" fontId="13" fillId="21" borderId="0" applyNumberFormat="0" applyBorder="0" applyAlignment="0" applyProtection="0"/>
    <xf numFmtId="0" fontId="0" fillId="22" borderId="5" applyNumberFormat="0" applyAlignment="0" applyProtection="0"/>
    <xf numFmtId="0" fontId="14" fillId="19" borderId="6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65" fontId="0" fillId="0" borderId="0" applyFont="0" applyFill="0" applyBorder="0" applyAlignment="0" applyProtection="0"/>
    <xf numFmtId="181" fontId="0" fillId="0" borderId="8" applyFont="0" applyFill="0" applyBorder="0" applyAlignment="0" applyProtection="0"/>
    <xf numFmtId="184" fontId="0" fillId="23" borderId="8" applyFont="0" applyFill="0" applyBorder="0" applyAlignment="0" applyProtection="0"/>
    <xf numFmtId="180" fontId="0" fillId="0" borderId="0" applyFill="0" applyBorder="0" applyAlignment="0" applyProtection="0"/>
    <xf numFmtId="171" fontId="0" fillId="0" borderId="0">
      <alignment horizontal="left"/>
      <protection/>
    </xf>
    <xf numFmtId="171" fontId="0" fillId="0" borderId="0" applyFill="0" applyBorder="0" applyAlignment="0" applyProtection="0"/>
    <xf numFmtId="187" fontId="0" fillId="0" borderId="8" applyFont="0" applyFill="0" applyBorder="0" applyAlignment="0" applyProtection="0"/>
    <xf numFmtId="179" fontId="0" fillId="0" borderId="0" applyFill="0" applyBorder="0" applyAlignment="0" applyProtection="0"/>
    <xf numFmtId="185" fontId="0" fillId="0" borderId="8" applyFont="0" applyFill="0" applyBorder="0" applyAlignment="0" applyProtection="0"/>
    <xf numFmtId="186" fontId="0" fillId="0" borderId="8" applyFont="0" applyFill="0" applyBorder="0" applyAlignment="0" applyProtection="0"/>
    <xf numFmtId="169" fontId="0" fillId="0" borderId="0">
      <alignment horizontal="left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0" fontId="0" fillId="0" borderId="0">
      <alignment horizontal="left"/>
      <protection/>
    </xf>
    <xf numFmtId="178" fontId="0" fillId="0" borderId="8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8" applyFont="0" applyFill="0" applyBorder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4" fontId="0" fillId="0" borderId="8" xfId="79" applyBorder="1" applyAlignment="1">
      <alignment/>
    </xf>
    <xf numFmtId="0" fontId="10" fillId="0" borderId="0" xfId="50" applyBorder="1">
      <alignment horizontal="left"/>
    </xf>
    <xf numFmtId="0" fontId="10" fillId="0" borderId="9" xfId="50" applyBorder="1">
      <alignment horizontal="left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5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/>
    </xf>
    <xf numFmtId="0" fontId="22" fillId="0" borderId="10" xfId="0" applyFont="1" applyBorder="1" applyAlignment="1">
      <alignment/>
    </xf>
    <xf numFmtId="0" fontId="22" fillId="0" borderId="9" xfId="0" applyFont="1" applyBorder="1" applyAlignment="1">
      <alignment/>
    </xf>
    <xf numFmtId="0" fontId="22" fillId="0" borderId="9" xfId="0" applyNumberFormat="1" applyFont="1" applyBorder="1" applyAlignment="1">
      <alignment/>
    </xf>
    <xf numFmtId="0" fontId="22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9" fillId="0" borderId="10" xfId="49" applyBorder="1">
      <alignment/>
    </xf>
    <xf numFmtId="0" fontId="10" fillId="0" borderId="10" xfId="50" applyBorder="1">
      <alignment horizontal="left"/>
    </xf>
    <xf numFmtId="0" fontId="9" fillId="0" borderId="9" xfId="49" applyBorder="1">
      <alignment/>
    </xf>
    <xf numFmtId="0" fontId="9" fillId="0" borderId="0" xfId="49" applyBorder="1">
      <alignment/>
    </xf>
    <xf numFmtId="0" fontId="10" fillId="0" borderId="0" xfId="50">
      <alignment horizontal="left"/>
    </xf>
    <xf numFmtId="0" fontId="22" fillId="0" borderId="9" xfId="0" applyNumberFormat="1" applyFont="1" applyBorder="1" applyAlignment="1">
      <alignment horizontal="left"/>
    </xf>
    <xf numFmtId="174" fontId="0" fillId="0" borderId="0" xfId="79" applyAlignment="1">
      <alignment/>
    </xf>
    <xf numFmtId="174" fontId="0" fillId="24" borderId="0" xfId="79" applyFill="1" applyAlignment="1">
      <alignment/>
    </xf>
    <xf numFmtId="174" fontId="0" fillId="0" borderId="8" xfId="79" applyFont="1" applyBorder="1" applyAlignment="1">
      <alignment/>
    </xf>
    <xf numFmtId="164" fontId="10" fillId="0" borderId="8" xfId="50" applyNumberFormat="1" applyBorder="1">
      <alignment horizontal="left"/>
    </xf>
    <xf numFmtId="180" fontId="0" fillId="0" borderId="8" xfId="68" applyBorder="1" applyAlignment="1">
      <alignment/>
    </xf>
    <xf numFmtId="0" fontId="9" fillId="0" borderId="0" xfId="49">
      <alignment/>
    </xf>
    <xf numFmtId="0" fontId="10" fillId="0" borderId="0" xfId="0" applyFont="1" applyBorder="1" applyAlignment="1">
      <alignment/>
    </xf>
    <xf numFmtId="0" fontId="10" fillId="0" borderId="8" xfId="50" applyBorder="1">
      <alignment horizontal="left"/>
    </xf>
    <xf numFmtId="0" fontId="0" fillId="0" borderId="8" xfId="0" applyBorder="1" applyAlignment="1">
      <alignment horizontal="left"/>
    </xf>
    <xf numFmtId="168" fontId="0" fillId="0" borderId="8" xfId="0" applyNumberFormat="1" applyBorder="1" applyAlignment="1">
      <alignment/>
    </xf>
    <xf numFmtId="0" fontId="0" fillId="0" borderId="0" xfId="0" applyAlignment="1">
      <alignment horizontal="left"/>
    </xf>
    <xf numFmtId="168" fontId="0" fillId="0" borderId="8" xfId="0" applyNumberFormat="1" applyBorder="1" applyAlignment="1">
      <alignment horizontal="left"/>
    </xf>
    <xf numFmtId="180" fontId="0" fillId="0" borderId="8" xfId="68" applyBorder="1" applyAlignment="1">
      <alignment horizontal="left"/>
    </xf>
    <xf numFmtId="173" fontId="0" fillId="0" borderId="8" xfId="78" applyBorder="1" applyAlignment="1">
      <alignment/>
    </xf>
    <xf numFmtId="179" fontId="0" fillId="0" borderId="8" xfId="72" applyFill="1" applyBorder="1" applyAlignment="1">
      <alignment horizontal="left"/>
    </xf>
    <xf numFmtId="179" fontId="0" fillId="23" borderId="8" xfId="72" applyFill="1" applyBorder="1" applyAlignment="1">
      <alignment horizontal="left"/>
    </xf>
    <xf numFmtId="176" fontId="0" fillId="0" borderId="0" xfId="76" applyAlignment="1">
      <alignment/>
    </xf>
    <xf numFmtId="173" fontId="0" fillId="0" borderId="8" xfId="78" applyFill="1" applyBorder="1" applyAlignment="1">
      <alignment horizontal="left"/>
    </xf>
    <xf numFmtId="173" fontId="0" fillId="0" borderId="8" xfId="78" applyBorder="1" applyAlignment="1">
      <alignment horizontal="left"/>
    </xf>
    <xf numFmtId="178" fontId="0" fillId="0" borderId="8" xfId="83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0" fillId="0" borderId="8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8" xfId="0" applyFont="1" applyBorder="1" applyAlignment="1">
      <alignment/>
    </xf>
    <xf numFmtId="0" fontId="24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3" borderId="0" xfId="0" applyFill="1" applyAlignment="1">
      <alignment horizontal="left"/>
    </xf>
    <xf numFmtId="0" fontId="0" fillId="23" borderId="8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0" fillId="0" borderId="0" xfId="55" applyBorder="1">
      <alignment horizontal="left"/>
      <protection/>
    </xf>
    <xf numFmtId="2" fontId="0" fillId="0" borderId="0" xfId="0" applyNumberFormat="1" applyFont="1" applyFill="1" applyBorder="1" applyAlignment="1">
      <alignment/>
    </xf>
    <xf numFmtId="49" fontId="10" fillId="25" borderId="12" xfId="0" applyNumberFormat="1" applyFont="1" applyFill="1" applyBorder="1" applyAlignment="1">
      <alignment horizontal="left"/>
    </xf>
    <xf numFmtId="1" fontId="10" fillId="25" borderId="12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15" fontId="0" fillId="0" borderId="0" xfId="0" applyNumberFormat="1" applyBorder="1" applyAlignment="1">
      <alignment horizontal="left"/>
    </xf>
    <xf numFmtId="15" fontId="0" fillId="0" borderId="8" xfId="0" applyNumberFormat="1" applyBorder="1" applyAlignment="1">
      <alignment horizontal="left"/>
    </xf>
    <xf numFmtId="0" fontId="10" fillId="0" borderId="8" xfId="50" applyFont="1" applyBorder="1">
      <alignment horizontal="left"/>
    </xf>
    <xf numFmtId="0" fontId="10" fillId="0" borderId="8" xfId="0" applyFont="1" applyBorder="1" applyAlignment="1">
      <alignment/>
    </xf>
    <xf numFmtId="49" fontId="10" fillId="0" borderId="12" xfId="0" applyNumberFormat="1" applyFont="1" applyFill="1" applyBorder="1" applyAlignment="1">
      <alignment horizontal="left"/>
    </xf>
    <xf numFmtId="183" fontId="10" fillId="0" borderId="12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0" fillId="0" borderId="8" xfId="55" applyBorder="1">
      <alignment horizontal="left"/>
      <protection/>
    </xf>
    <xf numFmtId="2" fontId="0" fillId="0" borderId="8" xfId="0" applyNumberFormat="1" applyFont="1" applyFill="1" applyBorder="1" applyAlignment="1">
      <alignment/>
    </xf>
    <xf numFmtId="15" fontId="0" fillId="0" borderId="8" xfId="0" applyNumberFormat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8" xfId="0" applyNumberFormat="1" applyBorder="1" applyAlignment="1">
      <alignment/>
    </xf>
    <xf numFmtId="0" fontId="10" fillId="25" borderId="0" xfId="0" applyFont="1" applyFill="1" applyAlignment="1">
      <alignment horizontal="center"/>
    </xf>
    <xf numFmtId="172" fontId="0" fillId="0" borderId="9" xfId="0" applyNumberFormat="1" applyBorder="1" applyAlignment="1">
      <alignment/>
    </xf>
    <xf numFmtId="172" fontId="25" fillId="0" borderId="9" xfId="0" applyNumberFormat="1" applyFont="1" applyBorder="1" applyAlignment="1">
      <alignment/>
    </xf>
    <xf numFmtId="173" fontId="0" fillId="23" borderId="8" xfId="78" applyFont="1" applyFill="1" applyBorder="1" applyAlignment="1">
      <alignment horizontal="left"/>
    </xf>
    <xf numFmtId="173" fontId="0" fillId="0" borderId="8" xfId="78" applyFont="1" applyFill="1" applyBorder="1" applyAlignment="1">
      <alignment horizontal="left"/>
    </xf>
    <xf numFmtId="173" fontId="0" fillId="23" borderId="8" xfId="78" applyFill="1" applyBorder="1" applyAlignment="1">
      <alignment horizontal="left"/>
    </xf>
    <xf numFmtId="173" fontId="0" fillId="0" borderId="0" xfId="78" applyAlignment="1">
      <alignment/>
    </xf>
    <xf numFmtId="174" fontId="0" fillId="0" borderId="8" xfId="79" applyFill="1" applyBorder="1" applyAlignment="1">
      <alignment horizontal="left"/>
    </xf>
    <xf numFmtId="178" fontId="0" fillId="0" borderId="12" xfId="83" applyFont="1" applyBorder="1" applyAlignment="1">
      <alignment horizontal="left"/>
    </xf>
    <xf numFmtId="167" fontId="0" fillId="0" borderId="8" xfId="0" applyNumberFormat="1" applyBorder="1" applyAlignment="1">
      <alignment horizontal="left"/>
    </xf>
    <xf numFmtId="176" fontId="0" fillId="0" borderId="8" xfId="76" applyBorder="1" applyAlignment="1">
      <alignment horizontal="left"/>
    </xf>
    <xf numFmtId="176" fontId="0" fillId="0" borderId="8" xfId="76" applyFill="1" applyBorder="1" applyAlignment="1">
      <alignment horizontal="left"/>
    </xf>
    <xf numFmtId="174" fontId="0" fillId="0" borderId="8" xfId="79" applyBorder="1" applyAlignment="1">
      <alignment horizontal="left"/>
    </xf>
    <xf numFmtId="166" fontId="22" fillId="0" borderId="10" xfId="0" applyNumberFormat="1" applyFont="1" applyBorder="1" applyAlignment="1">
      <alignment horizontal="left"/>
    </xf>
    <xf numFmtId="173" fontId="0" fillId="23" borderId="8" xfId="78" applyFont="1" applyFill="1" applyBorder="1" applyAlignment="1">
      <alignment horizontal="left"/>
    </xf>
    <xf numFmtId="0" fontId="0" fillId="0" borderId="8" xfId="0" applyBorder="1" applyAlignment="1">
      <alignment horizontal="left"/>
    </xf>
    <xf numFmtId="179" fontId="0" fillId="0" borderId="8" xfId="72" applyFill="1" applyBorder="1" applyAlignment="1">
      <alignment horizontal="left"/>
    </xf>
    <xf numFmtId="178" fontId="0" fillId="0" borderId="8" xfId="83" applyBorder="1" applyAlignment="1">
      <alignment horizontal="left"/>
    </xf>
    <xf numFmtId="174" fontId="0" fillId="0" borderId="8" xfId="79" applyFill="1" applyBorder="1" applyAlignment="1">
      <alignment horizontal="left"/>
    </xf>
    <xf numFmtId="173" fontId="0" fillId="0" borderId="8" xfId="78" applyFont="1" applyFill="1" applyBorder="1" applyAlignment="1">
      <alignment horizontal="left"/>
    </xf>
    <xf numFmtId="178" fontId="0" fillId="23" borderId="8" xfId="83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78" fontId="10" fillId="0" borderId="8" xfId="83" applyFont="1" applyBorder="1" applyAlignment="1">
      <alignment horizontal="left"/>
    </xf>
    <xf numFmtId="178" fontId="0" fillId="0" borderId="8" xfId="83" applyFill="1" applyBorder="1" applyAlignment="1">
      <alignment horizontal="left"/>
    </xf>
    <xf numFmtId="0" fontId="22" fillId="0" borderId="8" xfId="0" applyFont="1" applyBorder="1" applyAlignment="1">
      <alignment/>
    </xf>
    <xf numFmtId="0" fontId="10" fillId="0" borderId="0" xfId="50" applyFont="1" applyBorder="1">
      <alignment horizontal="left"/>
    </xf>
  </cellXfs>
  <cellStyles count="72">
    <cellStyle name="Normal" xfId="0"/>
    <cellStyle name="20% - Accent2" xfId="15"/>
    <cellStyle name="20% - Accent3" xfId="16"/>
    <cellStyle name="20% - Accent4" xfId="17"/>
    <cellStyle name="20% - Accent5" xfId="18"/>
    <cellStyle name="20% - Accent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Comma" xfId="41"/>
    <cellStyle name="Comma [0]" xfId="42"/>
    <cellStyle name="Currency" xfId="43"/>
    <cellStyle name="Currency [0]" xfId="44"/>
    <cellStyle name="Edit.Box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eading1" xfId="53"/>
    <cellStyle name="Heading1 1" xfId="54"/>
    <cellStyle name="Heading2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Unit-deg˚" xfId="65"/>
    <cellStyle name="Unit-kN/m|kip/ft" xfId="66"/>
    <cellStyle name="Unit-kN/m³|pcf" xfId="67"/>
    <cellStyle name="Unit-kN|kip" xfId="68"/>
    <cellStyle name="Unit-kN·m" xfId="69"/>
    <cellStyle name="Unit-kN·m|kip·ft" xfId="70"/>
    <cellStyle name="Unit-kPa|psf" xfId="71"/>
    <cellStyle name="Unit-m|ft" xfId="72"/>
    <cellStyle name="Unit-m²|ft²" xfId="73"/>
    <cellStyle name="Unit-m³|ft³" xfId="74"/>
    <cellStyle name="Unit-mm" xfId="75"/>
    <cellStyle name="Unit-mm^4|in^4" xfId="76"/>
    <cellStyle name="Unit-mm^6|in^6" xfId="77"/>
    <cellStyle name="Unit-mm|in" xfId="78"/>
    <cellStyle name="Unit-mm²|in²" xfId="79"/>
    <cellStyle name="Unit-mm³|in³" xfId="80"/>
    <cellStyle name="Unit-MPa" xfId="81"/>
    <cellStyle name="Unit-MPa|KSF" xfId="82"/>
    <cellStyle name="Unit-MPa|KSI" xfId="83"/>
    <cellStyle name="Unit-N/mm|kip/in" xfId="84"/>
    <cellStyle name="Warning Text" xfId="85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5</xdr:col>
      <xdr:colOff>438150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104775</xdr:rowOff>
    </xdr:from>
    <xdr:to>
      <xdr:col>6</xdr:col>
      <xdr:colOff>38100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28625"/>
          <a:ext cx="1676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30</xdr:row>
      <xdr:rowOff>38100</xdr:rowOff>
    </xdr:from>
    <xdr:to>
      <xdr:col>8</xdr:col>
      <xdr:colOff>19050</xdr:colOff>
      <xdr:row>42</xdr:row>
      <xdr:rowOff>76200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895850"/>
          <a:ext cx="2009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30</xdr:row>
      <xdr:rowOff>28575</xdr:rowOff>
    </xdr:from>
    <xdr:to>
      <xdr:col>14</xdr:col>
      <xdr:colOff>66675</xdr:colOff>
      <xdr:row>42</xdr:row>
      <xdr:rowOff>76200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4886325"/>
          <a:ext cx="22764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71</xdr:row>
      <xdr:rowOff>85725</xdr:rowOff>
    </xdr:from>
    <xdr:to>
      <xdr:col>14</xdr:col>
      <xdr:colOff>133350</xdr:colOff>
      <xdr:row>85</xdr:row>
      <xdr:rowOff>114300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62275" y="11582400"/>
          <a:ext cx="2505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71</xdr:row>
      <xdr:rowOff>0</xdr:rowOff>
    </xdr:from>
    <xdr:to>
      <xdr:col>8</xdr:col>
      <xdr:colOff>257175</xdr:colOff>
      <xdr:row>85</xdr:row>
      <xdr:rowOff>133350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1496675"/>
          <a:ext cx="24384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5</xdr:col>
      <xdr:colOff>438150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104775</xdr:rowOff>
    </xdr:from>
    <xdr:to>
      <xdr:col>6</xdr:col>
      <xdr:colOff>38100</xdr:colOff>
      <xdr:row>3</xdr:row>
      <xdr:rowOff>133350</xdr:rowOff>
    </xdr:to>
    <xdr:sp>
      <xdr:nvSpPr>
        <xdr:cNvPr id="2" name="Text Box 76"/>
        <xdr:cNvSpPr txBox="1">
          <a:spLocks noChangeArrowheads="1"/>
        </xdr:cNvSpPr>
      </xdr:nvSpPr>
      <xdr:spPr>
        <a:xfrm>
          <a:off x="114300" y="428625"/>
          <a:ext cx="167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Calculations and Sketches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47</xdr:row>
      <xdr:rowOff>38100</xdr:rowOff>
    </xdr:from>
    <xdr:to>
      <xdr:col>7</xdr:col>
      <xdr:colOff>400050</xdr:colOff>
      <xdr:row>59</xdr:row>
      <xdr:rowOff>76200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648575"/>
          <a:ext cx="20097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47</xdr:row>
      <xdr:rowOff>28575</xdr:rowOff>
    </xdr:from>
    <xdr:to>
      <xdr:col>13</xdr:col>
      <xdr:colOff>314325</xdr:colOff>
      <xdr:row>59</xdr:row>
      <xdr:rowOff>76200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7639050"/>
          <a:ext cx="22764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51</xdr:row>
      <xdr:rowOff>85725</xdr:rowOff>
    </xdr:from>
    <xdr:to>
      <xdr:col>13</xdr:col>
      <xdr:colOff>381000</xdr:colOff>
      <xdr:row>65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8343900"/>
          <a:ext cx="25050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51</xdr:row>
      <xdr:rowOff>0</xdr:rowOff>
    </xdr:from>
    <xdr:to>
      <xdr:col>7</xdr:col>
      <xdr:colOff>638175</xdr:colOff>
      <xdr:row>65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258175"/>
          <a:ext cx="24384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11"/>
  <sheetViews>
    <sheetView showGridLines="0" tabSelected="1" zoomScalePageLayoutView="0" workbookViewId="0" topLeftCell="A1">
      <selection activeCell="J19" sqref="J19"/>
    </sheetView>
  </sheetViews>
  <sheetFormatPr defaultColWidth="9.140625" defaultRowHeight="12.75"/>
  <sheetData>
    <row r="1" spans="1:12" s="9" customFormat="1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9" customFormat="1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5"/>
      <c r="B3" s="26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25"/>
      <c r="B4" s="26"/>
      <c r="C4" s="26" t="s">
        <v>29</v>
      </c>
      <c r="D4" s="26"/>
      <c r="E4" s="26"/>
      <c r="F4" s="26"/>
      <c r="G4" s="26"/>
      <c r="H4" s="26"/>
      <c r="I4" s="26"/>
      <c r="J4" s="26"/>
      <c r="K4" s="26"/>
      <c r="L4" s="26"/>
    </row>
    <row r="5" spans="1:12" ht="12.7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25"/>
      <c r="B6" s="26" t="s">
        <v>28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5"/>
      <c r="B7" s="26"/>
      <c r="C7" s="26" t="s">
        <v>26</v>
      </c>
      <c r="D7" s="26"/>
      <c r="E7" s="26"/>
      <c r="F7" s="26"/>
      <c r="G7" s="26"/>
      <c r="H7" s="26"/>
      <c r="I7" s="26"/>
      <c r="J7" s="26"/>
      <c r="K7" s="26"/>
      <c r="L7" s="26"/>
    </row>
    <row r="8" spans="1:12" ht="12.75">
      <c r="A8" s="25"/>
      <c r="B8" s="26"/>
      <c r="C8" s="26" t="s">
        <v>27</v>
      </c>
      <c r="D8" s="26"/>
      <c r="E8" s="26"/>
      <c r="F8" s="26"/>
      <c r="G8" s="26"/>
      <c r="H8" s="26"/>
      <c r="I8" s="26"/>
      <c r="J8" s="26"/>
      <c r="K8" s="26"/>
      <c r="L8" s="26"/>
    </row>
    <row r="9" spans="1:12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.75">
      <c r="A10" s="25"/>
      <c r="B10" s="26" t="s">
        <v>30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25"/>
      <c r="B11" s="26"/>
      <c r="C11" s="26" t="s">
        <v>35</v>
      </c>
      <c r="D11" s="26"/>
      <c r="E11" s="26"/>
      <c r="F11" s="26"/>
      <c r="G11" s="26"/>
      <c r="H11" s="26"/>
      <c r="I11" s="26"/>
      <c r="J11" s="26"/>
      <c r="K11" s="26"/>
      <c r="L11" s="2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indexed="34"/>
  </sheetPr>
  <dimension ref="A1:O30"/>
  <sheetViews>
    <sheetView showGridLines="0" showZeros="0" zoomScale="85" zoomScaleNormal="85" workbookViewId="0" topLeftCell="A1">
      <selection activeCell="R13" sqref="R13"/>
    </sheetView>
  </sheetViews>
  <sheetFormatPr defaultColWidth="9.140625" defaultRowHeight="12.75"/>
  <cols>
    <col min="1" max="1" width="1.7109375" style="4" customWidth="1"/>
    <col min="2" max="2" width="1.7109375" style="2" customWidth="1"/>
    <col min="3" max="4" width="1.7109375" style="4" customWidth="1"/>
    <col min="5" max="6" width="9.7109375" style="4" customWidth="1"/>
    <col min="7" max="7" width="1.7109375" style="4" customWidth="1"/>
    <col min="8" max="9" width="9.7109375" style="4" customWidth="1"/>
    <col min="10" max="10" width="1.7109375" style="4" customWidth="1"/>
    <col min="11" max="12" width="9.7109375" style="4" customWidth="1"/>
    <col min="13" max="13" width="1.7109375" style="4" customWidth="1"/>
    <col min="14" max="15" width="9.7109375" style="4" customWidth="1"/>
  </cols>
  <sheetData>
    <row r="1" spans="1:15" ht="12.75">
      <c r="A1" s="5"/>
      <c r="B1" s="32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32"/>
      <c r="C2" s="5"/>
      <c r="D2" s="5"/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32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32"/>
      <c r="C4" s="5"/>
      <c r="D4" s="5"/>
      <c r="E4" s="5" t="s">
        <v>5</v>
      </c>
      <c r="F4" s="5"/>
      <c r="G4" s="5" t="s">
        <v>2</v>
      </c>
      <c r="H4" s="5" t="s">
        <v>9</v>
      </c>
      <c r="I4" s="5"/>
      <c r="J4" s="5"/>
      <c r="K4" s="5"/>
      <c r="L4" s="5"/>
      <c r="M4" s="5"/>
      <c r="N4" s="5"/>
      <c r="O4" s="5"/>
    </row>
    <row r="5" spans="1:15" ht="12.75">
      <c r="A5" s="5"/>
      <c r="B5" s="32"/>
      <c r="C5" s="5"/>
      <c r="D5" s="5"/>
      <c r="E5" s="5" t="s">
        <v>6</v>
      </c>
      <c r="F5" s="5"/>
      <c r="G5" s="5" t="s">
        <v>2</v>
      </c>
      <c r="H5" s="6">
        <v>39707</v>
      </c>
      <c r="I5" s="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7</v>
      </c>
      <c r="F6" s="5"/>
      <c r="G6" s="5" t="s">
        <v>2</v>
      </c>
      <c r="H6" s="5" t="s">
        <v>8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20</v>
      </c>
      <c r="F7" s="5"/>
      <c r="G7" s="5" t="s">
        <v>2</v>
      </c>
      <c r="H7" s="5" t="str">
        <f>wsname(E7)</f>
        <v>E4a.y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21</v>
      </c>
      <c r="F8" s="5"/>
      <c r="G8" s="5" t="s">
        <v>2</v>
      </c>
      <c r="H8" s="100" t="s">
        <v>624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32"/>
      <c r="C10" s="5"/>
      <c r="D10" s="5"/>
      <c r="E10" s="5" t="s">
        <v>288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32" t="s"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32"/>
      <c r="C12" s="5"/>
      <c r="D12" s="5"/>
      <c r="E12" s="5" t="s">
        <v>289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32" t="s">
        <v>3</v>
      </c>
      <c r="C13" s="5"/>
      <c r="D13" s="5"/>
      <c r="E13" s="5"/>
      <c r="F13" s="5"/>
      <c r="G13" s="5"/>
      <c r="H13" s="5"/>
      <c r="I13" s="5"/>
      <c r="J13" s="5"/>
      <c r="K13" s="5" t="s">
        <v>252</v>
      </c>
      <c r="L13" s="5" t="s">
        <v>228</v>
      </c>
      <c r="M13" s="5"/>
      <c r="N13" s="5"/>
      <c r="O13" s="5"/>
    </row>
    <row r="14" spans="1:15" ht="12.75">
      <c r="A14" s="5"/>
      <c r="B14" s="32"/>
      <c r="C14" s="5"/>
      <c r="D14" s="5"/>
      <c r="E14" s="5" t="s">
        <v>1</v>
      </c>
      <c r="F14" s="5"/>
      <c r="G14" s="5" t="s">
        <v>2</v>
      </c>
      <c r="H14" s="33" t="str">
        <f aca="true" t="shared" si="0" ref="H14:H20">getinput(K14,L14)</f>
        <v>Metric</v>
      </c>
      <c r="I14" s="33"/>
      <c r="J14" s="5"/>
      <c r="K14" s="5" t="s">
        <v>253</v>
      </c>
      <c r="L14" s="5" t="s">
        <v>1</v>
      </c>
      <c r="M14" s="5"/>
      <c r="N14" s="5"/>
      <c r="O14" s="5"/>
    </row>
    <row r="15" spans="1:15" ht="12.75">
      <c r="A15" s="5"/>
      <c r="B15" s="32"/>
      <c r="C15" s="5"/>
      <c r="D15" s="5"/>
      <c r="E15" s="5" t="s">
        <v>290</v>
      </c>
      <c r="F15" s="5"/>
      <c r="G15" s="5" t="s">
        <v>2</v>
      </c>
      <c r="H15" s="44">
        <f t="shared" si="0"/>
        <v>217.452795200235</v>
      </c>
      <c r="I15" s="33"/>
      <c r="J15" s="5"/>
      <c r="K15" s="5" t="s">
        <v>247</v>
      </c>
      <c r="L15" s="5" t="s">
        <v>291</v>
      </c>
      <c r="M15" s="5"/>
      <c r="N15" s="5"/>
      <c r="O15" s="5"/>
    </row>
    <row r="16" spans="1:15" ht="12.75">
      <c r="A16" s="5"/>
      <c r="B16" s="32"/>
      <c r="C16" s="5"/>
      <c r="D16" s="5"/>
      <c r="E16" s="5" t="s">
        <v>292</v>
      </c>
      <c r="F16" s="5"/>
      <c r="G16" s="5" t="s">
        <v>2</v>
      </c>
      <c r="H16" s="43">
        <f t="shared" si="0"/>
        <v>42.2774378103735</v>
      </c>
      <c r="I16" s="33"/>
      <c r="J16" s="5"/>
      <c r="K16" s="5" t="s">
        <v>268</v>
      </c>
      <c r="L16" s="5" t="s">
        <v>83</v>
      </c>
      <c r="M16" s="5"/>
      <c r="N16" s="5"/>
      <c r="O16" s="5"/>
    </row>
    <row r="17" spans="1:15" ht="12.75">
      <c r="A17" s="5"/>
      <c r="B17" s="32"/>
      <c r="C17" s="5"/>
      <c r="D17" s="5"/>
      <c r="E17" s="5" t="s">
        <v>87</v>
      </c>
      <c r="F17" s="5"/>
      <c r="G17" s="5" t="s">
        <v>2</v>
      </c>
      <c r="H17" s="46">
        <f t="shared" si="0"/>
        <v>0.799662310841688</v>
      </c>
      <c r="I17" s="33"/>
      <c r="J17" s="5"/>
      <c r="K17" s="5" t="s">
        <v>268</v>
      </c>
      <c r="L17" s="5" t="s">
        <v>87</v>
      </c>
      <c r="M17" s="5"/>
      <c r="N17" s="5"/>
      <c r="O17" s="5"/>
    </row>
    <row r="18" spans="1:15" ht="12.75">
      <c r="A18" s="5"/>
      <c r="B18" s="32"/>
      <c r="C18" s="5"/>
      <c r="D18" s="5"/>
      <c r="E18" s="5" t="s">
        <v>293</v>
      </c>
      <c r="F18" s="5"/>
      <c r="G18" s="5" t="s">
        <v>2</v>
      </c>
      <c r="H18" s="86">
        <f t="shared" si="0"/>
        <v>177314.5873056</v>
      </c>
      <c r="I18" s="86"/>
      <c r="J18" s="5"/>
      <c r="K18" s="5" t="s">
        <v>268</v>
      </c>
      <c r="L18" s="5" t="s">
        <v>107</v>
      </c>
      <c r="M18" s="5"/>
      <c r="N18" s="5"/>
      <c r="O18" s="5"/>
    </row>
    <row r="19" spans="1:15" ht="12.75">
      <c r="A19" s="5"/>
      <c r="B19" s="32"/>
      <c r="C19" s="5"/>
      <c r="D19" s="5"/>
      <c r="E19" s="5" t="s">
        <v>294</v>
      </c>
      <c r="F19" s="5"/>
      <c r="G19" s="5" t="s">
        <v>2</v>
      </c>
      <c r="H19" s="93">
        <f t="shared" si="0"/>
        <v>77221.3017718841</v>
      </c>
      <c r="I19" s="93"/>
      <c r="J19" s="5"/>
      <c r="K19" s="5" t="s">
        <v>320</v>
      </c>
      <c r="L19" s="5" t="s">
        <v>40</v>
      </c>
      <c r="M19" s="5"/>
      <c r="N19" s="5"/>
      <c r="O19" s="5"/>
    </row>
    <row r="20" spans="1:15" ht="12.75">
      <c r="A20" s="5"/>
      <c r="B20" s="32"/>
      <c r="C20" s="5"/>
      <c r="D20" s="5"/>
      <c r="E20" s="5" t="s">
        <v>283</v>
      </c>
      <c r="F20" s="5"/>
      <c r="G20" s="5" t="s">
        <v>2</v>
      </c>
      <c r="H20" s="88">
        <f t="shared" si="0"/>
        <v>3225.8</v>
      </c>
      <c r="I20" s="88"/>
      <c r="J20" s="5"/>
      <c r="K20" s="5" t="s">
        <v>268</v>
      </c>
      <c r="L20" s="5" t="s">
        <v>103</v>
      </c>
      <c r="M20" s="5"/>
      <c r="N20" s="5"/>
      <c r="O20" s="5"/>
    </row>
    <row r="21" spans="1:15" ht="12.75">
      <c r="A21" s="5"/>
      <c r="B21" s="32" t="s">
        <v>23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32"/>
      <c r="C22" s="5"/>
      <c r="D22" s="5"/>
      <c r="E22" s="5" t="s">
        <v>205</v>
      </c>
      <c r="F22" s="5"/>
      <c r="G22" s="5" t="str">
        <f>fn(N23)</f>
        <v>=G*J/(Ag*ro^2)</v>
      </c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32"/>
      <c r="C23" s="5"/>
      <c r="D23" s="5"/>
      <c r="E23" s="5"/>
      <c r="F23" s="5"/>
      <c r="G23" s="100">
        <f>fm(N23)</f>
        <v>0</v>
      </c>
      <c r="H23" s="100"/>
      <c r="I23" s="5"/>
      <c r="J23" s="5"/>
      <c r="K23" s="5"/>
      <c r="L23" s="5"/>
      <c r="M23" s="5" t="s">
        <v>2</v>
      </c>
      <c r="N23" s="44">
        <f>G*J/(Ag*ro^2)</f>
        <v>2374.7988383336046</v>
      </c>
      <c r="O23" s="5"/>
    </row>
    <row r="24" spans="1:15" ht="12.75">
      <c r="A24" s="5"/>
      <c r="B24" s="32"/>
      <c r="C24" s="5"/>
      <c r="D24" s="5"/>
      <c r="E24" s="5" t="s">
        <v>189</v>
      </c>
      <c r="F24" s="5"/>
      <c r="G24" s="5" t="str">
        <f>fn(N26)</f>
        <v>=(Fcry+Fcrz)/(2*H)*(1-SQRT(1-4*Fcry*Fcrz*H/(Fcry+Fcrz)^2))</v>
      </c>
      <c r="H24" s="5"/>
      <c r="I24" s="5"/>
      <c r="J24" s="5"/>
      <c r="K24" s="5"/>
      <c r="L24" s="5"/>
      <c r="M24" s="5"/>
      <c r="N24" s="33"/>
      <c r="O24" s="5"/>
    </row>
    <row r="25" spans="1:15" ht="12.75">
      <c r="A25" s="5"/>
      <c r="B25" s="32"/>
      <c r="C25" s="5"/>
      <c r="D25" s="5"/>
      <c r="E25" s="5"/>
      <c r="F25" s="5"/>
      <c r="G25" s="50">
        <f>fm(N26)</f>
        <v>0</v>
      </c>
      <c r="H25" s="5"/>
      <c r="I25" s="5"/>
      <c r="J25" s="5"/>
      <c r="K25" s="5"/>
      <c r="L25" s="5"/>
      <c r="M25" s="5"/>
      <c r="N25" s="33"/>
      <c r="O25" s="5"/>
    </row>
    <row r="26" spans="1:15" ht="12.75">
      <c r="A26" s="5"/>
      <c r="B26" s="32"/>
      <c r="C26" s="5"/>
      <c r="D26" s="5"/>
      <c r="E26" s="5"/>
      <c r="F26" s="5"/>
      <c r="G26" s="5"/>
      <c r="H26" s="5"/>
      <c r="I26" s="5"/>
      <c r="J26" s="5"/>
      <c r="K26" s="5"/>
      <c r="L26" s="5"/>
      <c r="M26" s="5" t="s">
        <v>2</v>
      </c>
      <c r="N26" s="44">
        <f>(Fcry+Fcrz)/(2*H)*(1-SQRT(1-4*Fcry*Fcrz*H/(Fcry+Fcrz)^2))</f>
        <v>213.23848526760256</v>
      </c>
      <c r="O26" s="5"/>
    </row>
    <row r="27" spans="1:15" ht="12.75">
      <c r="A27" s="5"/>
      <c r="B27" s="32"/>
      <c r="C27" s="5"/>
      <c r="D27" s="5"/>
      <c r="E27" s="5"/>
      <c r="F27" s="12" t="s">
        <v>190</v>
      </c>
      <c r="G27" s="5" t="s">
        <v>2</v>
      </c>
      <c r="H27" s="33">
        <v>0.9</v>
      </c>
      <c r="I27" s="5"/>
      <c r="J27" s="5"/>
      <c r="K27" s="5"/>
      <c r="L27" s="5"/>
      <c r="M27" s="5"/>
      <c r="N27" s="33"/>
      <c r="O27" s="5"/>
    </row>
    <row r="28" spans="1:15" ht="12.75">
      <c r="A28" s="5"/>
      <c r="B28" s="32"/>
      <c r="C28" s="5"/>
      <c r="D28" s="5"/>
      <c r="E28" s="5" t="s">
        <v>191</v>
      </c>
      <c r="F28" s="5"/>
      <c r="G28" s="5" t="str">
        <f>fn(N29,,21)</f>
        <v>=Φ_c*Fcr*Ag</v>
      </c>
      <c r="H28" s="5"/>
      <c r="I28" s="5"/>
      <c r="J28" s="5"/>
      <c r="K28" s="5"/>
      <c r="L28" s="5"/>
      <c r="M28" s="5"/>
      <c r="N28" s="33"/>
      <c r="O28" s="5"/>
    </row>
    <row r="29" spans="1:15" ht="12.75">
      <c r="A29" s="5"/>
      <c r="B29" s="32"/>
      <c r="C29" s="5"/>
      <c r="D29" s="5"/>
      <c r="E29" s="5"/>
      <c r="F29" s="5"/>
      <c r="G29" s="5">
        <f>fm(N29,"unit")</f>
        <v>0</v>
      </c>
      <c r="H29" s="5"/>
      <c r="I29" s="5"/>
      <c r="J29" s="5"/>
      <c r="K29" s="5"/>
      <c r="L29" s="5"/>
      <c r="M29" s="5" t="s">
        <v>2</v>
      </c>
      <c r="N29" s="37">
        <f>Φ_c*Fcr*Ag*unit("N","kN",Units)</f>
        <v>619.078235198609</v>
      </c>
      <c r="O29" s="5"/>
    </row>
    <row r="30" spans="1:15" ht="12.75">
      <c r="A30" s="5"/>
      <c r="B30" s="32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sheetProtection/>
  <mergeCells count="3">
    <mergeCell ref="H18:I18"/>
    <mergeCell ref="H19:I19"/>
    <mergeCell ref="H20:I20"/>
  </mergeCells>
  <dataValidations count="1">
    <dataValidation type="list" allowBlank="1" showErrorMessage="1" sqref="H14">
      <formula1>"Imperial,Metric"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>
    <tabColor indexed="34"/>
  </sheetPr>
  <dimension ref="A1:O67"/>
  <sheetViews>
    <sheetView showGridLines="0" zoomScale="85" zoomScaleNormal="85" workbookViewId="0" topLeftCell="A1">
      <selection activeCell="H26" sqref="H26"/>
    </sheetView>
  </sheetViews>
  <sheetFormatPr defaultColWidth="9.140625" defaultRowHeight="12.75"/>
  <cols>
    <col min="1" max="1" width="1.7109375" style="4" customWidth="1"/>
    <col min="2" max="2" width="1.7109375" style="2" customWidth="1"/>
    <col min="3" max="4" width="1.7109375" style="4" customWidth="1"/>
    <col min="5" max="6" width="11.7109375" style="4" customWidth="1"/>
    <col min="7" max="7" width="1.7109375" style="4" customWidth="1"/>
    <col min="8" max="9" width="11.7109375" style="4" customWidth="1"/>
    <col min="10" max="10" width="1.7109375" style="4" customWidth="1"/>
    <col min="11" max="12" width="11.7109375" style="4" customWidth="1"/>
    <col min="13" max="13" width="1.7109375" style="4" customWidth="1"/>
    <col min="14" max="15" width="11.7109375" style="4" customWidth="1"/>
  </cols>
  <sheetData>
    <row r="1" spans="1:15" ht="12.75">
      <c r="A1" s="5"/>
      <c r="B1" s="32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32"/>
      <c r="C2" s="5"/>
      <c r="D2" s="5"/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32"/>
      <c r="C3" s="5"/>
      <c r="D3" s="5"/>
      <c r="E3" s="5" t="s">
        <v>295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32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32"/>
      <c r="C5" s="5"/>
      <c r="D5" s="5"/>
      <c r="E5" s="5" t="s">
        <v>5</v>
      </c>
      <c r="F5" s="5"/>
      <c r="G5" s="5" t="s">
        <v>2</v>
      </c>
      <c r="H5" s="5" t="s">
        <v>9</v>
      </c>
      <c r="I5" s="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6</v>
      </c>
      <c r="F6" s="5"/>
      <c r="G6" s="5" t="s">
        <v>2</v>
      </c>
      <c r="H6" s="6">
        <v>39707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7</v>
      </c>
      <c r="F7" s="5"/>
      <c r="G7" s="5" t="s">
        <v>2</v>
      </c>
      <c r="H7" s="5" t="s">
        <v>8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20</v>
      </c>
      <c r="F8" s="5"/>
      <c r="G8" s="5" t="s">
        <v>2</v>
      </c>
      <c r="H8" s="5" t="str">
        <f>wsname(E8)</f>
        <v>2L_prop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/>
      <c r="C9" s="5"/>
      <c r="D9" s="5"/>
      <c r="E9" s="5" t="s">
        <v>21</v>
      </c>
      <c r="F9" s="5"/>
      <c r="G9" s="5" t="s">
        <v>2</v>
      </c>
      <c r="H9" s="5" t="s">
        <v>621</v>
      </c>
      <c r="I9" s="5"/>
      <c r="J9" s="5"/>
      <c r="K9" s="5"/>
      <c r="L9" s="5"/>
      <c r="M9" s="5"/>
      <c r="N9" s="5"/>
      <c r="O9" s="5"/>
    </row>
    <row r="10" spans="1:15" ht="12.75">
      <c r="A10" s="5"/>
      <c r="B10" s="32" t="s">
        <v>3</v>
      </c>
      <c r="C10" s="5"/>
      <c r="D10" s="5"/>
      <c r="E10" s="5"/>
      <c r="F10" s="5"/>
      <c r="G10" s="5"/>
      <c r="H10" s="5"/>
      <c r="I10" s="5"/>
      <c r="J10" s="5"/>
      <c r="K10" s="5" t="s">
        <v>252</v>
      </c>
      <c r="L10" s="5" t="s">
        <v>228</v>
      </c>
      <c r="M10" s="5"/>
      <c r="N10" s="5"/>
      <c r="O10" s="5"/>
    </row>
    <row r="11" spans="1:15" ht="12.75">
      <c r="A11" s="5"/>
      <c r="B11" s="32"/>
      <c r="C11" s="5"/>
      <c r="D11" s="5"/>
      <c r="E11" s="5"/>
      <c r="F11" s="12" t="s">
        <v>1</v>
      </c>
      <c r="G11" s="5" t="s">
        <v>2</v>
      </c>
      <c r="H11" s="35" t="str">
        <f aca="true" t="shared" si="0" ref="H11:H24">getinput(K11,L11)</f>
        <v>Metric</v>
      </c>
      <c r="I11" s="5"/>
      <c r="J11" s="5"/>
      <c r="K11" s="5" t="s">
        <v>253</v>
      </c>
      <c r="L11" s="5" t="s">
        <v>1</v>
      </c>
      <c r="M11" s="5"/>
      <c r="N11" s="5"/>
      <c r="O11" s="5"/>
    </row>
    <row r="12" spans="1:15" ht="12.75">
      <c r="A12" s="5"/>
      <c r="B12" s="32"/>
      <c r="C12" s="5"/>
      <c r="D12" s="5"/>
      <c r="E12" s="5"/>
      <c r="F12" s="12" t="s">
        <v>230</v>
      </c>
      <c r="G12" s="5" t="s">
        <v>2</v>
      </c>
      <c r="H12" s="95" t="str">
        <f t="shared" si="0"/>
        <v>L3X2-1/2X1/2</v>
      </c>
      <c r="I12" s="95"/>
      <c r="J12" s="5"/>
      <c r="K12" s="5" t="s">
        <v>272</v>
      </c>
      <c r="L12" s="5" t="s">
        <v>296</v>
      </c>
      <c r="M12" s="5"/>
      <c r="N12" s="12"/>
      <c r="O12" s="5"/>
    </row>
    <row r="13" spans="1:15" ht="12.75">
      <c r="A13" s="5"/>
      <c r="B13" s="32"/>
      <c r="C13" s="5"/>
      <c r="D13" s="5"/>
      <c r="E13" s="5"/>
      <c r="F13" s="12" t="s">
        <v>235</v>
      </c>
      <c r="G13" s="5" t="s">
        <v>2</v>
      </c>
      <c r="H13" s="80" t="str">
        <f t="shared" si="0"/>
        <v>Long Edge</v>
      </c>
      <c r="I13" s="80"/>
      <c r="J13" s="5"/>
      <c r="K13" s="5" t="s">
        <v>253</v>
      </c>
      <c r="L13" s="5" t="s">
        <v>297</v>
      </c>
      <c r="M13" s="5"/>
      <c r="N13" s="12"/>
      <c r="O13" s="5"/>
    </row>
    <row r="14" spans="1:15" ht="12.75">
      <c r="A14" s="5"/>
      <c r="B14" s="32"/>
      <c r="C14" s="5"/>
      <c r="D14" s="5"/>
      <c r="E14" s="5"/>
      <c r="F14" s="12" t="s">
        <v>237</v>
      </c>
      <c r="G14" s="5" t="s">
        <v>2</v>
      </c>
      <c r="H14" s="80">
        <f t="shared" si="0"/>
        <v>9.525</v>
      </c>
      <c r="I14" s="5"/>
      <c r="J14" s="5"/>
      <c r="K14" s="5" t="s">
        <v>253</v>
      </c>
      <c r="L14" s="5" t="s">
        <v>298</v>
      </c>
      <c r="M14" s="5"/>
      <c r="N14" s="12"/>
      <c r="O14" s="5"/>
    </row>
    <row r="15" spans="1:15" ht="12.75">
      <c r="A15" s="5"/>
      <c r="B15" s="32"/>
      <c r="C15" s="5"/>
      <c r="D15" s="5"/>
      <c r="E15" s="5"/>
      <c r="F15" s="12" t="s">
        <v>299</v>
      </c>
      <c r="G15" s="5" t="s">
        <v>2</v>
      </c>
      <c r="H15" s="94">
        <f t="shared" si="0"/>
        <v>1612.9</v>
      </c>
      <c r="I15" s="94"/>
      <c r="J15" s="5"/>
      <c r="K15" s="5" t="s">
        <v>272</v>
      </c>
      <c r="L15" s="5" t="s">
        <v>103</v>
      </c>
      <c r="M15" s="5"/>
      <c r="N15" s="12"/>
      <c r="O15" s="5"/>
    </row>
    <row r="16" spans="1:15" ht="12.75">
      <c r="A16" s="5"/>
      <c r="B16" s="32"/>
      <c r="C16" s="5"/>
      <c r="D16" s="5"/>
      <c r="E16" s="5"/>
      <c r="F16" s="12" t="s">
        <v>300</v>
      </c>
      <c r="G16" s="5" t="s">
        <v>2</v>
      </c>
      <c r="H16" s="42">
        <f t="shared" si="0"/>
        <v>12.7</v>
      </c>
      <c r="I16" s="5"/>
      <c r="J16" s="5"/>
      <c r="K16" s="5" t="s">
        <v>272</v>
      </c>
      <c r="L16" s="5" t="s">
        <v>259</v>
      </c>
      <c r="M16" s="5"/>
      <c r="N16" s="12"/>
      <c r="O16" s="5"/>
    </row>
    <row r="17" spans="1:15" ht="12.75">
      <c r="A17" s="5"/>
      <c r="B17" s="32"/>
      <c r="C17" s="5"/>
      <c r="D17" s="5"/>
      <c r="E17" s="5"/>
      <c r="F17" s="12" t="s">
        <v>301</v>
      </c>
      <c r="G17" s="5" t="s">
        <v>2</v>
      </c>
      <c r="H17" s="87">
        <f t="shared" si="0"/>
        <v>861599.050992</v>
      </c>
      <c r="I17" s="87"/>
      <c r="J17" s="5"/>
      <c r="K17" s="5" t="s">
        <v>272</v>
      </c>
      <c r="L17" s="5" t="s">
        <v>120</v>
      </c>
      <c r="M17" s="5"/>
      <c r="N17" s="12"/>
      <c r="O17" s="5"/>
    </row>
    <row r="18" spans="1:15" ht="12.75">
      <c r="A18" s="5"/>
      <c r="B18" s="32"/>
      <c r="C18" s="5"/>
      <c r="D18" s="5"/>
      <c r="E18" s="5"/>
      <c r="F18" s="12" t="s">
        <v>302</v>
      </c>
      <c r="G18" s="5" t="s">
        <v>2</v>
      </c>
      <c r="H18" s="42">
        <f t="shared" si="0"/>
        <v>25.273</v>
      </c>
      <c r="I18" s="5"/>
      <c r="J18" s="5"/>
      <c r="K18" s="5" t="s">
        <v>272</v>
      </c>
      <c r="L18" s="5" t="s">
        <v>111</v>
      </c>
      <c r="M18" s="5"/>
      <c r="N18" s="12"/>
      <c r="O18" s="5"/>
    </row>
    <row r="19" spans="1:15" ht="12.75">
      <c r="A19" s="5"/>
      <c r="B19" s="32"/>
      <c r="C19" s="5"/>
      <c r="D19" s="5"/>
      <c r="E19" s="5"/>
      <c r="F19" s="12" t="s">
        <v>270</v>
      </c>
      <c r="G19" s="5" t="s">
        <v>2</v>
      </c>
      <c r="H19" s="42">
        <f t="shared" si="0"/>
        <v>23.114</v>
      </c>
      <c r="I19" s="5"/>
      <c r="J19" s="5"/>
      <c r="K19" s="5" t="s">
        <v>272</v>
      </c>
      <c r="L19" s="5" t="s">
        <v>128</v>
      </c>
      <c r="M19" s="5"/>
      <c r="N19" s="12"/>
      <c r="O19" s="5"/>
    </row>
    <row r="20" spans="1:15" ht="12.75">
      <c r="A20" s="5"/>
      <c r="B20" s="32"/>
      <c r="C20" s="5"/>
      <c r="D20" s="5"/>
      <c r="E20" s="5"/>
      <c r="F20" s="12" t="s">
        <v>303</v>
      </c>
      <c r="G20" s="5" t="s">
        <v>2</v>
      </c>
      <c r="H20" s="87">
        <f t="shared" si="0"/>
        <v>536938.539024</v>
      </c>
      <c r="I20" s="87"/>
      <c r="J20" s="5"/>
      <c r="K20" s="5" t="s">
        <v>272</v>
      </c>
      <c r="L20" s="5" t="s">
        <v>257</v>
      </c>
      <c r="M20" s="5"/>
      <c r="N20" s="12"/>
      <c r="O20" s="5"/>
    </row>
    <row r="21" spans="1:15" ht="12.75">
      <c r="A21" s="5"/>
      <c r="B21" s="32"/>
      <c r="C21" s="5"/>
      <c r="D21" s="5"/>
      <c r="E21" s="5"/>
      <c r="F21" s="12" t="s">
        <v>304</v>
      </c>
      <c r="G21" s="5" t="s">
        <v>2</v>
      </c>
      <c r="H21" s="42">
        <f t="shared" si="0"/>
        <v>18.9484</v>
      </c>
      <c r="I21" s="5"/>
      <c r="J21" s="5"/>
      <c r="K21" s="5" t="s">
        <v>272</v>
      </c>
      <c r="L21" s="5" t="s">
        <v>114</v>
      </c>
      <c r="M21" s="5"/>
      <c r="N21" s="12"/>
      <c r="O21" s="5"/>
    </row>
    <row r="22" spans="1:15" ht="12.75">
      <c r="A22" s="5"/>
      <c r="B22" s="32"/>
      <c r="C22" s="5"/>
      <c r="D22" s="5"/>
      <c r="E22" s="5"/>
      <c r="F22" s="12" t="s">
        <v>269</v>
      </c>
      <c r="G22" s="5" t="s">
        <v>2</v>
      </c>
      <c r="H22" s="42">
        <f t="shared" si="0"/>
        <v>18.2372</v>
      </c>
      <c r="I22" s="5"/>
      <c r="J22" s="5"/>
      <c r="K22" s="5" t="s">
        <v>272</v>
      </c>
      <c r="L22" s="5" t="s">
        <v>131</v>
      </c>
      <c r="M22" s="5"/>
      <c r="N22" s="12"/>
      <c r="O22" s="5"/>
    </row>
    <row r="23" spans="1:15" ht="12.75">
      <c r="A23" s="5"/>
      <c r="B23" s="32"/>
      <c r="C23" s="5"/>
      <c r="D23" s="5"/>
      <c r="E23" s="5"/>
      <c r="F23" s="12" t="s">
        <v>271</v>
      </c>
      <c r="G23" s="5" t="s">
        <v>2</v>
      </c>
      <c r="H23" s="42">
        <f t="shared" si="0"/>
        <v>13.1064</v>
      </c>
      <c r="I23" s="5"/>
      <c r="J23" s="5"/>
      <c r="K23" s="5" t="s">
        <v>272</v>
      </c>
      <c r="L23" s="5" t="s">
        <v>258</v>
      </c>
      <c r="M23" s="5"/>
      <c r="N23" s="12"/>
      <c r="O23" s="5"/>
    </row>
    <row r="24" spans="1:15" ht="12.75">
      <c r="A24" s="5"/>
      <c r="B24" s="32"/>
      <c r="C24" s="5"/>
      <c r="D24" s="5"/>
      <c r="E24" s="5"/>
      <c r="F24" s="12" t="s">
        <v>305</v>
      </c>
      <c r="G24" s="5" t="s">
        <v>2</v>
      </c>
      <c r="H24" s="87">
        <f t="shared" si="0"/>
        <v>88657.2936528</v>
      </c>
      <c r="I24" s="87"/>
      <c r="J24" s="5"/>
      <c r="K24" s="5" t="s">
        <v>272</v>
      </c>
      <c r="L24" s="5" t="s">
        <v>107</v>
      </c>
      <c r="M24" s="5"/>
      <c r="N24" s="12"/>
      <c r="O24" s="5"/>
    </row>
    <row r="25" spans="1:15" ht="12.75">
      <c r="A25" s="5"/>
      <c r="B25" s="32" t="s">
        <v>23</v>
      </c>
      <c r="C25" s="5"/>
      <c r="D25" s="5"/>
      <c r="E25" s="5"/>
      <c r="F25" s="12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32"/>
      <c r="C26" s="5"/>
      <c r="D26" s="5" t="s">
        <v>90</v>
      </c>
      <c r="E26" s="5"/>
      <c r="F26" s="12"/>
      <c r="G26" s="5" t="s">
        <v>2</v>
      </c>
      <c r="H26" s="33" t="b">
        <f>IF(C_type="Long Edge",FALSE,TRUE)</f>
        <v>0</v>
      </c>
      <c r="I26" s="5"/>
      <c r="J26" s="5"/>
      <c r="K26" s="5"/>
      <c r="L26" s="5"/>
      <c r="M26" s="5"/>
      <c r="N26" s="5"/>
      <c r="O26" s="5"/>
    </row>
    <row r="27" spans="1:15" ht="12.75">
      <c r="A27" s="5"/>
      <c r="B27" s="32"/>
      <c r="C27" s="5"/>
      <c r="D27" s="5"/>
      <c r="E27" s="5"/>
      <c r="F27" s="12" t="s">
        <v>91</v>
      </c>
      <c r="G27" s="5" t="s">
        <v>2</v>
      </c>
      <c r="H27" s="87">
        <f>IF(flip,Iy_sec,Ix_sec)</f>
        <v>861599.050992</v>
      </c>
      <c r="I27" s="87"/>
      <c r="J27" s="5"/>
      <c r="K27" s="5"/>
      <c r="L27" s="5"/>
      <c r="M27" s="5"/>
      <c r="N27" s="5"/>
      <c r="O27" s="5"/>
    </row>
    <row r="28" spans="1:15" ht="12.75">
      <c r="A28" s="5"/>
      <c r="B28" s="32"/>
      <c r="C28" s="5"/>
      <c r="D28" s="5"/>
      <c r="E28" s="5"/>
      <c r="F28" s="12" t="s">
        <v>93</v>
      </c>
      <c r="G28" s="5" t="s">
        <v>2</v>
      </c>
      <c r="H28" s="42">
        <f>IF(flip,x_sec,y_sec)</f>
        <v>25.273</v>
      </c>
      <c r="I28" s="5"/>
      <c r="J28" s="5"/>
      <c r="K28" s="5"/>
      <c r="L28" s="5"/>
      <c r="M28" s="5"/>
      <c r="N28" s="5"/>
      <c r="O28" s="5"/>
    </row>
    <row r="29" spans="1:15" ht="12.75">
      <c r="A29" s="5"/>
      <c r="B29" s="32"/>
      <c r="C29" s="5"/>
      <c r="D29" s="5"/>
      <c r="E29" s="5"/>
      <c r="F29" s="12" t="s">
        <v>95</v>
      </c>
      <c r="G29" s="5" t="s">
        <v>2</v>
      </c>
      <c r="H29" s="42">
        <f>IF(flip,ry_sec,rx_sec)</f>
        <v>23.114</v>
      </c>
      <c r="I29" s="5"/>
      <c r="J29" s="5"/>
      <c r="K29" s="5"/>
      <c r="L29" s="5"/>
      <c r="M29" s="5"/>
      <c r="N29" s="5"/>
      <c r="O29" s="5"/>
    </row>
    <row r="30" spans="1:15" ht="12.75">
      <c r="A30" s="5"/>
      <c r="B30" s="32"/>
      <c r="C30" s="5"/>
      <c r="D30" s="5"/>
      <c r="E30" s="5"/>
      <c r="F30" s="12" t="s">
        <v>97</v>
      </c>
      <c r="G30" s="5" t="s">
        <v>2</v>
      </c>
      <c r="H30" s="87">
        <f>IF(flip,Ix_sec,Iy_sec)</f>
        <v>536938.539024</v>
      </c>
      <c r="I30" s="87"/>
      <c r="J30" s="5"/>
      <c r="K30" s="5"/>
      <c r="L30" s="5"/>
      <c r="M30" s="5"/>
      <c r="N30" s="5"/>
      <c r="O30" s="5"/>
    </row>
    <row r="31" spans="1:15" ht="12.75">
      <c r="A31" s="5"/>
      <c r="B31" s="32"/>
      <c r="C31" s="5"/>
      <c r="D31" s="5"/>
      <c r="E31" s="5"/>
      <c r="F31" s="12" t="s">
        <v>99</v>
      </c>
      <c r="G31" s="5" t="s">
        <v>2</v>
      </c>
      <c r="H31" s="42">
        <f>IF(flip,y_sec,x_sec)</f>
        <v>18.9484</v>
      </c>
      <c r="I31" s="5"/>
      <c r="J31" s="5"/>
      <c r="K31" s="5"/>
      <c r="L31" s="5"/>
      <c r="M31" s="5"/>
      <c r="N31" s="5"/>
      <c r="O31" s="5"/>
    </row>
    <row r="32" spans="1:15" ht="12.75">
      <c r="A32" s="5"/>
      <c r="B32" s="32"/>
      <c r="C32" s="5"/>
      <c r="D32" s="5"/>
      <c r="E32" s="5"/>
      <c r="F32" s="12" t="s">
        <v>101</v>
      </c>
      <c r="G32" s="5" t="s">
        <v>2</v>
      </c>
      <c r="H32" s="42">
        <f>IF(flip,rx_sec,ry_sec)</f>
        <v>18.2372</v>
      </c>
      <c r="I32" s="5"/>
      <c r="J32" s="5"/>
      <c r="K32" s="5"/>
      <c r="L32" s="5"/>
      <c r="M32" s="5"/>
      <c r="N32" s="5"/>
      <c r="O32" s="5"/>
    </row>
    <row r="33" spans="1:15" ht="12.75">
      <c r="A33" s="5"/>
      <c r="B33" s="32"/>
      <c r="C33" s="5"/>
      <c r="D33" s="5"/>
      <c r="E33" s="5"/>
      <c r="F33" s="12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32"/>
      <c r="C34" s="5"/>
      <c r="D34" s="5"/>
      <c r="E34" s="5"/>
      <c r="F34" s="12" t="s">
        <v>103</v>
      </c>
      <c r="G34" s="5" t="str">
        <f>fn(N34)</f>
        <v>=Ag_sec*2</v>
      </c>
      <c r="H34" s="5"/>
      <c r="I34" s="5"/>
      <c r="J34" s="5">
        <f>fm(N34)</f>
        <v>0</v>
      </c>
      <c r="K34" s="5"/>
      <c r="L34" s="5"/>
      <c r="M34" s="5" t="s">
        <v>2</v>
      </c>
      <c r="N34" s="88">
        <f>Ag_sec*2</f>
        <v>3225.8</v>
      </c>
      <c r="O34" s="88"/>
    </row>
    <row r="35" spans="1:15" ht="12.75">
      <c r="A35" s="5"/>
      <c r="B35" s="32"/>
      <c r="C35" s="5"/>
      <c r="D35" s="5"/>
      <c r="E35" s="5"/>
      <c r="F35" s="12" t="s">
        <v>107</v>
      </c>
      <c r="G35" s="5" t="str">
        <f>fn(N35)</f>
        <v>=J_sec*2</v>
      </c>
      <c r="H35" s="5"/>
      <c r="I35" s="5"/>
      <c r="J35" s="5">
        <f>fm(N35)</f>
        <v>0</v>
      </c>
      <c r="K35" s="5"/>
      <c r="L35" s="5"/>
      <c r="M35" s="5" t="s">
        <v>2</v>
      </c>
      <c r="N35" s="86">
        <f>J_sec*2</f>
        <v>177314.5873056</v>
      </c>
      <c r="O35" s="86"/>
    </row>
    <row r="36" spans="1:15" ht="12.75">
      <c r="A36" s="5"/>
      <c r="B36" s="32"/>
      <c r="C36" s="5"/>
      <c r="D36" s="5"/>
      <c r="E36" s="5"/>
      <c r="F36" s="12" t="s">
        <v>111</v>
      </c>
      <c r="G36" s="5" t="str">
        <f>fn(N36)</f>
        <v>=y_sec2</v>
      </c>
      <c r="H36" s="5"/>
      <c r="I36" s="5"/>
      <c r="J36" s="5">
        <f>fm(N36)</f>
        <v>0</v>
      </c>
      <c r="K36" s="5"/>
      <c r="L36" s="5"/>
      <c r="M36" s="5" t="s">
        <v>2</v>
      </c>
      <c r="N36" s="43">
        <f>y_sec2</f>
        <v>25.273</v>
      </c>
      <c r="O36" s="33"/>
    </row>
    <row r="37" spans="1:15" ht="12.75">
      <c r="A37" s="5"/>
      <c r="B37" s="32"/>
      <c r="C37" s="5"/>
      <c r="D37" s="5"/>
      <c r="E37" s="5"/>
      <c r="F37" s="12" t="s">
        <v>114</v>
      </c>
      <c r="G37" s="5" t="s">
        <v>2</v>
      </c>
      <c r="H37" s="43">
        <f>0*unit("in","mm",Units)</f>
        <v>0</v>
      </c>
      <c r="I37" s="5"/>
      <c r="J37" s="5"/>
      <c r="K37" s="5"/>
      <c r="L37" s="5"/>
      <c r="O37" s="33"/>
    </row>
    <row r="38" spans="1:15" ht="12.75">
      <c r="A38" s="5"/>
      <c r="B38" s="32"/>
      <c r="C38" s="5"/>
      <c r="D38" s="5"/>
      <c r="E38" s="5"/>
      <c r="F38" s="12" t="s">
        <v>116</v>
      </c>
      <c r="G38" s="5" t="str">
        <f>fn(N38)</f>
        <v>=x_sec2+C_s/2</v>
      </c>
      <c r="H38" s="5"/>
      <c r="I38" s="5"/>
      <c r="J38" s="5">
        <f>fm(N38)</f>
        <v>0</v>
      </c>
      <c r="K38" s="5"/>
      <c r="L38" s="5"/>
      <c r="M38" s="5" t="s">
        <v>2</v>
      </c>
      <c r="N38" s="43">
        <f>x_sec2+C_s/2</f>
        <v>23.7109</v>
      </c>
      <c r="O38" s="33"/>
    </row>
    <row r="39" spans="1:15" ht="12.75">
      <c r="A39" s="5"/>
      <c r="B39" s="32"/>
      <c r="C39" s="5"/>
      <c r="D39" s="5"/>
      <c r="E39" s="5"/>
      <c r="F39" s="12" t="s">
        <v>120</v>
      </c>
      <c r="G39" s="5" t="str">
        <f>fn(N39)</f>
        <v>=2*Ix_sec2</v>
      </c>
      <c r="H39" s="5"/>
      <c r="I39" s="5"/>
      <c r="J39" s="5">
        <f>fm(N39)</f>
        <v>0</v>
      </c>
      <c r="K39" s="5"/>
      <c r="L39" s="5"/>
      <c r="M39" s="5" t="s">
        <v>2</v>
      </c>
      <c r="N39" s="86">
        <f>2*Ix_sec2</f>
        <v>1723198.101984</v>
      </c>
      <c r="O39" s="86"/>
    </row>
    <row r="40" spans="1:15" ht="12.75">
      <c r="A40" s="5"/>
      <c r="B40" s="32"/>
      <c r="C40" s="5"/>
      <c r="D40" s="5"/>
      <c r="E40" s="5"/>
      <c r="F40" s="12" t="s">
        <v>124</v>
      </c>
      <c r="G40" s="5" t="str">
        <f>fn(N41)</f>
        <v>=2*(Iy_sec2+Ag_sec*x_cg^2)</v>
      </c>
      <c r="H40" s="5"/>
      <c r="I40" s="5"/>
      <c r="J40" s="5"/>
      <c r="K40" s="5"/>
      <c r="L40" s="5"/>
      <c r="M40" s="5"/>
      <c r="N40" s="33"/>
      <c r="O40" s="33"/>
    </row>
    <row r="41" spans="1:15" ht="12.75">
      <c r="A41" s="5"/>
      <c r="B41" s="32"/>
      <c r="C41" s="5"/>
      <c r="D41" s="5"/>
      <c r="E41" s="5"/>
      <c r="F41" s="12"/>
      <c r="G41" s="5">
        <f>fm(N41)</f>
        <v>0</v>
      </c>
      <c r="H41" s="5"/>
      <c r="I41" s="5"/>
      <c r="J41" s="5"/>
      <c r="K41" s="5"/>
      <c r="L41" s="5"/>
      <c r="M41" s="5" t="s">
        <v>2</v>
      </c>
      <c r="N41" s="86">
        <f>2*(Iy_sec2+Ag_sec*x_cg^2)</f>
        <v>2887443.705133298</v>
      </c>
      <c r="O41" s="86"/>
    </row>
    <row r="42" spans="1:15" ht="12.75">
      <c r="A42" s="5"/>
      <c r="B42" s="32"/>
      <c r="C42" s="5"/>
      <c r="D42" s="5"/>
      <c r="E42" s="5"/>
      <c r="F42" s="12" t="s">
        <v>128</v>
      </c>
      <c r="G42" s="5" t="str">
        <f>fn(N43)</f>
        <v>=SQRT(Ix/Ag)</v>
      </c>
      <c r="H42" s="5"/>
      <c r="I42" s="5"/>
      <c r="J42" s="5"/>
      <c r="K42" s="5"/>
      <c r="L42" s="5"/>
      <c r="M42" s="5"/>
      <c r="N42" s="33"/>
      <c r="O42" s="33"/>
    </row>
    <row r="43" spans="1:15" ht="12.75">
      <c r="A43" s="5"/>
      <c r="B43" s="32"/>
      <c r="C43" s="5"/>
      <c r="D43" s="5"/>
      <c r="E43" s="5"/>
      <c r="F43" s="12"/>
      <c r="G43" s="5">
        <f>fm(N43)</f>
        <v>0</v>
      </c>
      <c r="H43" s="5"/>
      <c r="I43" s="5"/>
      <c r="J43" s="5"/>
      <c r="K43" s="5"/>
      <c r="L43" s="5"/>
      <c r="M43" s="5" t="s">
        <v>2</v>
      </c>
      <c r="N43" s="43">
        <f>SQRT(Ix/Ag)</f>
        <v>23.112604353469127</v>
      </c>
      <c r="O43" s="33"/>
    </row>
    <row r="44" spans="1:15" ht="12.75">
      <c r="A44" s="5"/>
      <c r="B44" s="32"/>
      <c r="C44" s="5"/>
      <c r="D44" s="5"/>
      <c r="E44" s="5"/>
      <c r="F44" s="12" t="s">
        <v>131</v>
      </c>
      <c r="G44" s="5" t="str">
        <f>fn(N45)</f>
        <v>=SQRT(Iy/Ag)</v>
      </c>
      <c r="H44" s="5"/>
      <c r="I44" s="5"/>
      <c r="J44" s="5"/>
      <c r="K44" s="5"/>
      <c r="L44" s="5"/>
      <c r="M44" s="5"/>
      <c r="N44" s="33"/>
      <c r="O44" s="33"/>
    </row>
    <row r="45" spans="1:15" ht="12.75">
      <c r="A45" s="5"/>
      <c r="B45" s="32"/>
      <c r="C45" s="5"/>
      <c r="D45" s="5"/>
      <c r="E45" s="5"/>
      <c r="F45" s="12"/>
      <c r="G45" s="5">
        <f>fm(N45)</f>
        <v>0</v>
      </c>
      <c r="H45" s="5"/>
      <c r="I45" s="5"/>
      <c r="J45" s="5"/>
      <c r="K45" s="5"/>
      <c r="L45" s="5"/>
      <c r="M45" s="5" t="s">
        <v>2</v>
      </c>
      <c r="N45" s="43">
        <f>SQRT(Iy/Ag)</f>
        <v>29.918377944166693</v>
      </c>
      <c r="O45" s="33"/>
    </row>
    <row r="46" spans="1:15" ht="12.75">
      <c r="A46" s="5"/>
      <c r="B46" s="32"/>
      <c r="C46" s="5"/>
      <c r="D46" s="5"/>
      <c r="E46" s="5"/>
      <c r="F46" s="12" t="s">
        <v>75</v>
      </c>
      <c r="G46" s="5" t="str">
        <f>fn(N46)</f>
        <v>=y-t_sec/2</v>
      </c>
      <c r="H46" s="5"/>
      <c r="I46" s="5"/>
      <c r="J46" s="5">
        <f>fm(N46)</f>
        <v>0</v>
      </c>
      <c r="K46" s="5"/>
      <c r="L46" s="5"/>
      <c r="M46" s="5" t="s">
        <v>2</v>
      </c>
      <c r="N46" s="43">
        <f>y-t_sec/2</f>
        <v>18.923000000000002</v>
      </c>
      <c r="O46" s="33"/>
    </row>
    <row r="47" spans="1:15" ht="12.75">
      <c r="A47" s="5"/>
      <c r="B47" s="32"/>
      <c r="C47" s="5"/>
      <c r="D47" s="5"/>
      <c r="E47" s="5"/>
      <c r="F47" s="12" t="s">
        <v>79</v>
      </c>
      <c r="G47" s="5"/>
      <c r="H47" s="5"/>
      <c r="I47" s="5"/>
      <c r="J47" s="5"/>
      <c r="K47" s="5"/>
      <c r="L47" s="5"/>
      <c r="M47" s="5" t="s">
        <v>2</v>
      </c>
      <c r="N47" s="33">
        <v>0</v>
      </c>
      <c r="O47" s="33"/>
    </row>
    <row r="48" spans="1:15" ht="12.75">
      <c r="A48" s="5"/>
      <c r="B48" s="32"/>
      <c r="C48" s="5"/>
      <c r="D48" s="5"/>
      <c r="E48" s="5"/>
      <c r="F48" s="12" t="s">
        <v>83</v>
      </c>
      <c r="G48" s="5" t="str">
        <f>fn(N49)</f>
        <v>=SQRT(xo^2+yo^2+(Ix+Iy)/Ag)</v>
      </c>
      <c r="H48" s="5"/>
      <c r="I48" s="5"/>
      <c r="J48" s="5"/>
      <c r="K48" s="5"/>
      <c r="L48" s="5"/>
      <c r="M48" s="5"/>
      <c r="N48" s="33"/>
      <c r="O48" s="33"/>
    </row>
    <row r="49" spans="1:15" ht="12.75">
      <c r="A49" s="5"/>
      <c r="B49" s="32"/>
      <c r="C49" s="5"/>
      <c r="D49" s="5"/>
      <c r="E49" s="5"/>
      <c r="F49" s="12"/>
      <c r="G49" s="5">
        <f>fm(N49)</f>
        <v>0</v>
      </c>
      <c r="H49" s="5"/>
      <c r="I49" s="5"/>
      <c r="J49" s="5"/>
      <c r="K49" s="5"/>
      <c r="L49" s="5"/>
      <c r="M49" s="5" t="s">
        <v>2</v>
      </c>
      <c r="N49" s="43">
        <f>SQRT(xo^2+yo^2+(Ix+Iy)/Ag)</f>
        <v>42.27743781037351</v>
      </c>
      <c r="O49" s="33"/>
    </row>
    <row r="50" spans="1:15" ht="12.75">
      <c r="A50" s="5"/>
      <c r="B50" s="32"/>
      <c r="C50" s="5"/>
      <c r="D50" s="5"/>
      <c r="E50" s="5"/>
      <c r="F50" s="12" t="s">
        <v>87</v>
      </c>
      <c r="G50" s="5" t="str">
        <f>fn(N51)</f>
        <v>=1-(xo^2+yo^2)/ro^2</v>
      </c>
      <c r="H50" s="5"/>
      <c r="I50" s="5"/>
      <c r="J50" s="5"/>
      <c r="K50" s="5"/>
      <c r="L50" s="5"/>
      <c r="M50" s="5"/>
      <c r="N50" s="33"/>
      <c r="O50" s="33"/>
    </row>
    <row r="51" spans="1:15" ht="12.75">
      <c r="A51" s="5"/>
      <c r="B51" s="32"/>
      <c r="C51" s="5"/>
      <c r="D51" s="5"/>
      <c r="E51" s="5"/>
      <c r="F51" s="5"/>
      <c r="G51" s="5">
        <f>fm(N51)</f>
        <v>0</v>
      </c>
      <c r="H51" s="5"/>
      <c r="I51" s="5"/>
      <c r="J51" s="5"/>
      <c r="K51" s="5"/>
      <c r="L51" s="5"/>
      <c r="M51" s="5" t="s">
        <v>2</v>
      </c>
      <c r="N51" s="46">
        <f>1-(xo^2+yo^2)/ro^2</f>
        <v>0.799662310841688</v>
      </c>
      <c r="O51" s="33"/>
    </row>
    <row r="52" spans="1:15" ht="12.75">
      <c r="A52" s="5"/>
      <c r="B52" s="3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8"/>
      <c r="O52" s="5"/>
    </row>
    <row r="53" spans="1:15" ht="12.75">
      <c r="A53" s="5"/>
      <c r="B53" s="3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3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B55" s="3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3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B57" s="3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3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3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3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3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3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3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3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3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7"/>
    </row>
    <row r="66" spans="1:15" ht="12.75">
      <c r="A66" s="5"/>
      <c r="B66" s="3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32" t="s">
        <v>24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</sheetData>
  <sheetProtection/>
  <mergeCells count="11">
    <mergeCell ref="N41:O41"/>
    <mergeCell ref="H27:I27"/>
    <mergeCell ref="H30:I30"/>
    <mergeCell ref="N34:O34"/>
    <mergeCell ref="N35:O35"/>
    <mergeCell ref="H24:I24"/>
    <mergeCell ref="N39:O39"/>
    <mergeCell ref="H15:I15"/>
    <mergeCell ref="H12:I12"/>
    <mergeCell ref="H17:I17"/>
    <mergeCell ref="H20:I20"/>
  </mergeCells>
  <dataValidations count="1">
    <dataValidation type="list" allowBlank="1" showErrorMessage="1" sqref="H11">
      <formula1>"Imperial,Metric"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34"/>
  </sheetPr>
  <dimension ref="A1:O21"/>
  <sheetViews>
    <sheetView showGridLines="0" zoomScale="85" zoomScaleNormal="85" workbookViewId="0" topLeftCell="A1">
      <selection activeCell="A1" sqref="A1:IV1"/>
    </sheetView>
  </sheetViews>
  <sheetFormatPr defaultColWidth="9.140625" defaultRowHeight="12.75"/>
  <cols>
    <col min="1" max="1" width="1.7109375" style="4" customWidth="1"/>
    <col min="2" max="2" width="1.7109375" style="2" customWidth="1"/>
    <col min="3" max="4" width="1.7109375" style="4" customWidth="1"/>
    <col min="5" max="6" width="9.7109375" style="4" customWidth="1"/>
    <col min="7" max="7" width="1.7109375" style="4" customWidth="1"/>
    <col min="8" max="9" width="9.7109375" style="4" customWidth="1"/>
    <col min="10" max="10" width="1.7109375" style="4" customWidth="1"/>
    <col min="11" max="12" width="9.7109375" style="4" customWidth="1"/>
    <col min="13" max="13" width="1.7109375" style="4" customWidth="1"/>
    <col min="14" max="15" width="9.7109375" style="4" customWidth="1"/>
  </cols>
  <sheetData>
    <row r="1" spans="1:15" ht="12.75">
      <c r="A1" s="5"/>
      <c r="B1" s="32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32"/>
      <c r="C2" s="5"/>
      <c r="D2" s="5"/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32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32"/>
      <c r="C4" s="5"/>
      <c r="D4" s="5"/>
      <c r="E4" s="5" t="s">
        <v>5</v>
      </c>
      <c r="F4" s="5"/>
      <c r="G4" s="5" t="s">
        <v>2</v>
      </c>
      <c r="H4" s="5" t="s">
        <v>9</v>
      </c>
      <c r="I4" s="5"/>
      <c r="J4" s="5"/>
      <c r="K4" s="5"/>
      <c r="L4" s="5"/>
      <c r="M4" s="5"/>
      <c r="N4" s="5"/>
      <c r="O4" s="5"/>
    </row>
    <row r="5" spans="1:15" ht="12.75">
      <c r="A5" s="5"/>
      <c r="B5" s="32"/>
      <c r="C5" s="5"/>
      <c r="D5" s="5"/>
      <c r="E5" s="5" t="s">
        <v>6</v>
      </c>
      <c r="F5" s="5"/>
      <c r="G5" s="5" t="s">
        <v>2</v>
      </c>
      <c r="H5" s="6">
        <v>39707</v>
      </c>
      <c r="I5" s="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7</v>
      </c>
      <c r="F6" s="5"/>
      <c r="G6" s="5" t="s">
        <v>2</v>
      </c>
      <c r="H6" s="5" t="s">
        <v>8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20</v>
      </c>
      <c r="F7" s="5"/>
      <c r="G7" s="5" t="s">
        <v>2</v>
      </c>
      <c r="H7" s="5" t="str">
        <f>wsname(E7)</f>
        <v>Grade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21</v>
      </c>
      <c r="F8" s="5"/>
      <c r="G8" s="5" t="s">
        <v>2</v>
      </c>
      <c r="H8" s="5" t="s">
        <v>42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 t="s">
        <v>12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32"/>
      <c r="C10" s="5"/>
      <c r="D10" s="5"/>
      <c r="E10" s="5" t="s">
        <v>306</v>
      </c>
      <c r="F10" s="5" t="s">
        <v>307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32"/>
      <c r="C11" s="5"/>
      <c r="D11" s="5"/>
      <c r="E11" s="5" t="s">
        <v>308</v>
      </c>
      <c r="F11" s="5" t="s">
        <v>309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32"/>
      <c r="C12" s="5"/>
      <c r="D12" s="5"/>
      <c r="E12" s="5" t="s">
        <v>280</v>
      </c>
      <c r="F12" s="5" t="s">
        <v>310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5"/>
      <c r="B13" s="32"/>
      <c r="C13" s="5"/>
      <c r="D13" s="5"/>
      <c r="E13" s="5" t="s">
        <v>282</v>
      </c>
      <c r="F13" s="5" t="s">
        <v>311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5"/>
      <c r="B14" s="32" t="s">
        <v>3</v>
      </c>
      <c r="C14" s="5"/>
      <c r="D14" s="5"/>
      <c r="E14" s="5"/>
      <c r="F14" s="5"/>
      <c r="G14" s="5"/>
      <c r="H14" s="5"/>
      <c r="I14" s="5"/>
      <c r="J14" s="5"/>
      <c r="K14" s="5" t="s">
        <v>252</v>
      </c>
      <c r="L14" s="5" t="s">
        <v>228</v>
      </c>
      <c r="M14" s="5"/>
      <c r="N14" s="5"/>
      <c r="O14" s="5"/>
    </row>
    <row r="15" spans="1:15" ht="12.75">
      <c r="A15" s="5"/>
      <c r="B15" s="32"/>
      <c r="C15" s="5"/>
      <c r="D15" s="5"/>
      <c r="E15" s="5" t="s">
        <v>1</v>
      </c>
      <c r="F15" s="5"/>
      <c r="G15" s="5" t="s">
        <v>2</v>
      </c>
      <c r="H15" t="str">
        <f>getinput(K15,L15)</f>
        <v>Metric</v>
      </c>
      <c r="I15" s="5"/>
      <c r="J15" s="5"/>
      <c r="K15" s="5" t="s">
        <v>253</v>
      </c>
      <c r="L15" s="5" t="s">
        <v>1</v>
      </c>
      <c r="M15" s="5"/>
      <c r="N15" s="5"/>
      <c r="O15" s="5"/>
    </row>
    <row r="16" spans="1:15" ht="12.75">
      <c r="A16" s="5"/>
      <c r="B16" s="32"/>
      <c r="C16" s="5"/>
      <c r="D16" s="5"/>
      <c r="E16" s="5" t="s">
        <v>312</v>
      </c>
      <c r="F16" s="5"/>
      <c r="G16" s="5" t="s">
        <v>2</v>
      </c>
      <c r="H16" s="80" t="str">
        <f>getinput(K16,L16)</f>
        <v>A36</v>
      </c>
      <c r="I16" s="5"/>
      <c r="J16" s="5"/>
      <c r="K16" s="5" t="s">
        <v>253</v>
      </c>
      <c r="L16" s="5" t="s">
        <v>306</v>
      </c>
      <c r="M16" s="5"/>
      <c r="N16" s="12" t="s">
        <v>234</v>
      </c>
      <c r="O16" s="5">
        <f>getrow("Steel.Grade",L16,H16)</f>
        <v>0</v>
      </c>
    </row>
    <row r="17" spans="1:15" ht="12.75">
      <c r="A17" s="5"/>
      <c r="B17" s="32"/>
      <c r="C17" s="5"/>
      <c r="D17" s="5"/>
      <c r="E17" s="5" t="s">
        <v>314</v>
      </c>
      <c r="F17" s="5"/>
      <c r="G17" s="5" t="s">
        <v>2</v>
      </c>
      <c r="H17" s="99">
        <f>getinput(K17,L17,$O$16)</f>
        <v>399.89602703297146</v>
      </c>
      <c r="I17" s="33"/>
      <c r="J17" s="5"/>
      <c r="K17" s="5" t="s">
        <v>313</v>
      </c>
      <c r="L17" s="5" t="s">
        <v>308</v>
      </c>
      <c r="M17" s="5"/>
      <c r="N17" s="5"/>
      <c r="O17" s="5"/>
    </row>
    <row r="18" spans="1:15" ht="12.75">
      <c r="A18" s="5"/>
      <c r="B18" s="32"/>
      <c r="C18" s="5"/>
      <c r="D18" s="5"/>
      <c r="E18" s="5" t="s">
        <v>278</v>
      </c>
      <c r="F18" s="5"/>
      <c r="G18" s="5" t="s">
        <v>2</v>
      </c>
      <c r="H18" s="99">
        <f>getinput(K18,L18,$O$16)</f>
        <v>248.2113271239133</v>
      </c>
      <c r="I18" s="33"/>
      <c r="J18" s="5"/>
      <c r="K18" s="5" t="s">
        <v>313</v>
      </c>
      <c r="L18" s="5" t="s">
        <v>280</v>
      </c>
      <c r="M18" s="5"/>
      <c r="N18" s="5"/>
      <c r="O18" s="5"/>
    </row>
    <row r="19" spans="1:15" ht="12.75">
      <c r="A19" s="5"/>
      <c r="B19" s="32"/>
      <c r="C19" s="5"/>
      <c r="D19" s="5"/>
      <c r="E19" s="5" t="s">
        <v>281</v>
      </c>
      <c r="F19" s="5"/>
      <c r="G19" s="5" t="s">
        <v>2</v>
      </c>
      <c r="H19" s="96">
        <f>200000*unit("MPa","ksi",Units)</f>
        <v>200000</v>
      </c>
      <c r="I19" s="96"/>
      <c r="J19" s="5"/>
      <c r="K19" s="5"/>
      <c r="L19" s="5"/>
      <c r="M19" s="5"/>
      <c r="N19" s="5"/>
      <c r="O19" s="5"/>
    </row>
    <row r="20" spans="1:15" ht="12.75">
      <c r="A20" s="5"/>
      <c r="B20" s="32"/>
      <c r="C20" s="5"/>
      <c r="D20" s="5"/>
      <c r="E20" s="5" t="s">
        <v>315</v>
      </c>
      <c r="F20" s="5"/>
      <c r="G20" s="5" t="s">
        <v>2</v>
      </c>
      <c r="H20" s="96">
        <f>11200*unit("ksi","MPa",Units)</f>
        <v>77221.30177188414</v>
      </c>
      <c r="I20" s="96"/>
      <c r="J20" s="5"/>
      <c r="K20" s="5"/>
      <c r="L20" s="5"/>
      <c r="M20" s="5"/>
      <c r="N20" s="5"/>
      <c r="O20" s="5"/>
    </row>
    <row r="21" spans="1:15" ht="12.75">
      <c r="A21" s="5"/>
      <c r="B21" s="32" t="s">
        <v>24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</sheetData>
  <sheetProtection/>
  <mergeCells count="2">
    <mergeCell ref="H19:I19"/>
    <mergeCell ref="H20:I20"/>
  </mergeCells>
  <dataValidations count="2">
    <dataValidation type="list" allowBlank="1" showInputMessage="1" showErrorMessage="1" sqref="H16">
      <formula1>list</formula1>
    </dataValidation>
    <dataValidation type="list" allowBlank="1" showErrorMessage="1" sqref="H15">
      <formula1>"Imperial,Metric"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F33"/>
  <sheetViews>
    <sheetView workbookViewId="0" topLeftCell="A1">
      <selection activeCell="N10" sqref="N10"/>
    </sheetView>
  </sheetViews>
  <sheetFormatPr defaultColWidth="9.140625" defaultRowHeight="12.75"/>
  <cols>
    <col min="1" max="1" width="14.00390625" style="69" bestFit="1" customWidth="1"/>
    <col min="2" max="2" width="9.8515625" style="70" customWidth="1"/>
    <col min="3" max="3" width="10.7109375" style="70" customWidth="1"/>
    <col min="4" max="16384" width="9.140625" style="4" customWidth="1"/>
  </cols>
  <sheetData>
    <row r="1" spans="1:3" ht="12.75">
      <c r="A1" s="56" t="s">
        <v>4</v>
      </c>
      <c r="B1" s="57"/>
      <c r="C1" s="4"/>
    </row>
    <row r="2" spans="1:6" ht="12.75">
      <c r="A2" s="4" t="s">
        <v>5</v>
      </c>
      <c r="B2" s="4" t="s">
        <v>9</v>
      </c>
      <c r="C2" s="4"/>
      <c r="F2" s="52"/>
    </row>
    <row r="3" spans="1:6" ht="12.75">
      <c r="A3" s="4" t="s">
        <v>6</v>
      </c>
      <c r="B3" s="61">
        <v>39707</v>
      </c>
      <c r="C3" s="61"/>
      <c r="F3" s="52"/>
    </row>
    <row r="4" spans="1:6" ht="12.75">
      <c r="A4" s="4" t="s">
        <v>7</v>
      </c>
      <c r="B4" s="4" t="s">
        <v>8</v>
      </c>
      <c r="C4" s="4"/>
      <c r="F4" s="52"/>
    </row>
    <row r="5" spans="1:6" ht="12.75">
      <c r="A5" s="4" t="s">
        <v>317</v>
      </c>
      <c r="B5" s="4" t="str">
        <f>wsname(A5)</f>
        <v>Steel.Grade</v>
      </c>
      <c r="C5" s="4"/>
      <c r="F5" s="52"/>
    </row>
    <row r="6" spans="1:6" ht="12.75">
      <c r="A6" s="4" t="s">
        <v>226</v>
      </c>
      <c r="B6" s="4" t="s">
        <v>318</v>
      </c>
      <c r="C6" s="4"/>
      <c r="F6" s="52"/>
    </row>
    <row r="7" spans="1:6" ht="12.75">
      <c r="A7" s="4" t="s">
        <v>319</v>
      </c>
      <c r="B7" s="4" t="s">
        <v>42</v>
      </c>
      <c r="C7" s="4"/>
      <c r="F7" s="52"/>
    </row>
    <row r="8" spans="1:6" ht="12.75">
      <c r="A8" s="51" t="s">
        <v>1</v>
      </c>
      <c r="B8" s="45" t="s">
        <v>32</v>
      </c>
      <c r="C8" s="45"/>
      <c r="F8" s="52"/>
    </row>
    <row r="9" spans="1:6" ht="12.75">
      <c r="A9" s="4"/>
      <c r="B9" s="4"/>
      <c r="C9" s="4"/>
      <c r="F9" s="52"/>
    </row>
    <row r="10" spans="1:3" s="60" customFormat="1" ht="12.75">
      <c r="A10" s="58" t="s">
        <v>320</v>
      </c>
      <c r="B10" s="59" t="s">
        <v>280</v>
      </c>
      <c r="C10" s="59" t="s">
        <v>308</v>
      </c>
    </row>
    <row r="11" spans="1:3" s="67" customFormat="1" ht="12.75">
      <c r="A11" s="65"/>
      <c r="B11" s="66">
        <f>unit("ksi","Mpa",Units)</f>
        <v>1</v>
      </c>
      <c r="C11" s="66">
        <f>unit("ksi","Mpa",Units)</f>
        <v>1</v>
      </c>
    </row>
    <row r="12" spans="1:3" ht="12.75">
      <c r="A12" s="68" t="s">
        <v>279</v>
      </c>
      <c r="B12" s="84">
        <f>36*$B$11</f>
        <v>36</v>
      </c>
      <c r="C12" s="84">
        <f>($C$11)*58</f>
        <v>58</v>
      </c>
    </row>
    <row r="13" spans="1:3" ht="12.75">
      <c r="A13" s="68" t="s">
        <v>321</v>
      </c>
      <c r="B13" s="84">
        <f>($B$11)*35</f>
        <v>35</v>
      </c>
      <c r="C13" s="84">
        <f>($C$11)*60</f>
        <v>60</v>
      </c>
    </row>
    <row r="14" spans="1:3" ht="12.75">
      <c r="A14" s="68" t="s">
        <v>322</v>
      </c>
      <c r="B14" s="84">
        <f>($B$11)*42</f>
        <v>42</v>
      </c>
      <c r="C14" s="84">
        <f>($C$11)*58</f>
        <v>58</v>
      </c>
    </row>
    <row r="15" spans="1:3" ht="12.75">
      <c r="A15" s="68" t="s">
        <v>323</v>
      </c>
      <c r="B15" s="84">
        <f>($B$11)*46</f>
        <v>46</v>
      </c>
      <c r="C15" s="84">
        <f>($C$11)*62</f>
        <v>62</v>
      </c>
    </row>
    <row r="16" spans="1:3" ht="12.75">
      <c r="A16" s="68" t="s">
        <v>324</v>
      </c>
      <c r="B16" s="84">
        <f>($B$11)*36</f>
        <v>36</v>
      </c>
      <c r="C16" s="84">
        <f>($C$11)*58</f>
        <v>58</v>
      </c>
    </row>
    <row r="17" spans="1:3" ht="12.75">
      <c r="A17" s="68" t="s">
        <v>325</v>
      </c>
      <c r="B17" s="84">
        <f>($B$11)*50</f>
        <v>50</v>
      </c>
      <c r="C17" s="84">
        <f>($C$11)*65</f>
        <v>65</v>
      </c>
    </row>
    <row r="18" spans="1:3" ht="12.75">
      <c r="A18" s="68" t="s">
        <v>326</v>
      </c>
      <c r="B18" s="84">
        <f>($B$11)*55</f>
        <v>55</v>
      </c>
      <c r="C18" s="84">
        <f>($C$11)*70</f>
        <v>70</v>
      </c>
    </row>
    <row r="19" spans="1:3" ht="12.75">
      <c r="A19" s="68" t="s">
        <v>327</v>
      </c>
      <c r="B19" s="84">
        <f>($B$11)*42</f>
        <v>42</v>
      </c>
      <c r="C19" s="84">
        <f>($C$11)*60</f>
        <v>60</v>
      </c>
    </row>
    <row r="20" spans="1:3" ht="12.75">
      <c r="A20" s="68" t="s">
        <v>328</v>
      </c>
      <c r="B20" s="84">
        <f>($B$11)*50</f>
        <v>50</v>
      </c>
      <c r="C20" s="84">
        <f>($C$11)*65</f>
        <v>65</v>
      </c>
    </row>
    <row r="21" spans="1:3" ht="12.75">
      <c r="A21" s="68" t="s">
        <v>329</v>
      </c>
      <c r="B21" s="84">
        <f>($B$11)*55</f>
        <v>55</v>
      </c>
      <c r="C21" s="84">
        <f>($C$11)*70</f>
        <v>70</v>
      </c>
    </row>
    <row r="22" spans="1:3" ht="12.75">
      <c r="A22" s="68" t="s">
        <v>330</v>
      </c>
      <c r="B22" s="84">
        <f>($B$11)*60</f>
        <v>60</v>
      </c>
      <c r="C22" s="84">
        <f>($C$11)*75</f>
        <v>75</v>
      </c>
    </row>
    <row r="23" spans="1:3" ht="12.75">
      <c r="A23" s="68" t="s">
        <v>331</v>
      </c>
      <c r="B23" s="84">
        <f>($B$11)*65</f>
        <v>65</v>
      </c>
      <c r="C23" s="84">
        <f>($C$11)*80</f>
        <v>80</v>
      </c>
    </row>
    <row r="24" spans="1:3" ht="12.75">
      <c r="A24" s="68" t="s">
        <v>332</v>
      </c>
      <c r="B24" s="84">
        <f>($B$11)*50</f>
        <v>50</v>
      </c>
      <c r="C24" s="84">
        <f>($C$11)*70</f>
        <v>70</v>
      </c>
    </row>
    <row r="25" spans="1:3" ht="12.75">
      <c r="A25" s="68" t="s">
        <v>333</v>
      </c>
      <c r="B25" s="84">
        <f>($B$11)*50</f>
        <v>50</v>
      </c>
      <c r="C25" s="84">
        <f>($C$11)*65</f>
        <v>65</v>
      </c>
    </row>
    <row r="26" spans="1:3" ht="12.75">
      <c r="A26" s="68" t="s">
        <v>334</v>
      </c>
      <c r="B26" s="84">
        <f>($B$11)*50</f>
        <v>50</v>
      </c>
      <c r="C26" s="84">
        <f>($C$11)*60</f>
        <v>60</v>
      </c>
    </row>
    <row r="27" spans="1:3" ht="12.75">
      <c r="A27" s="68" t="s">
        <v>335</v>
      </c>
      <c r="B27" s="84">
        <f>($B$11)*60</f>
        <v>60</v>
      </c>
      <c r="C27" s="84">
        <f>($C$11)*75</f>
        <v>75</v>
      </c>
    </row>
    <row r="28" spans="1:3" ht="12.75">
      <c r="A28" s="68" t="s">
        <v>336</v>
      </c>
      <c r="B28" s="84">
        <f>($B$11)*65</f>
        <v>65</v>
      </c>
      <c r="C28" s="84">
        <f>($C$11)*80</f>
        <v>80</v>
      </c>
    </row>
    <row r="29" spans="1:3" ht="12.75">
      <c r="A29" s="68" t="s">
        <v>337</v>
      </c>
      <c r="B29" s="84">
        <f>($B$11)*70</f>
        <v>70</v>
      </c>
      <c r="C29" s="84">
        <f>($C$11)*90</f>
        <v>90</v>
      </c>
    </row>
    <row r="30" spans="1:3" ht="12.75">
      <c r="A30" s="68" t="s">
        <v>316</v>
      </c>
      <c r="B30" s="84">
        <f>($B$11)*50</f>
        <v>50</v>
      </c>
      <c r="C30" s="84">
        <f>($C$11)*65</f>
        <v>65</v>
      </c>
    </row>
    <row r="31" spans="1:3" ht="12.75">
      <c r="A31" s="68" t="s">
        <v>338</v>
      </c>
      <c r="B31" s="84">
        <f>($B$11)*42</f>
        <v>42</v>
      </c>
      <c r="C31" s="84">
        <f>($C$11)*63</f>
        <v>63</v>
      </c>
    </row>
    <row r="32" spans="1:3" ht="12.75">
      <c r="A32" s="68" t="s">
        <v>339</v>
      </c>
      <c r="B32" s="84">
        <f>($B$11)*50</f>
        <v>50</v>
      </c>
      <c r="C32" s="84">
        <f>($C$11)*70</f>
        <v>70</v>
      </c>
    </row>
    <row r="33" spans="1:3" ht="12.75">
      <c r="A33" s="68" t="s">
        <v>340</v>
      </c>
      <c r="B33" s="84">
        <f>($B$11)*50</f>
        <v>50</v>
      </c>
      <c r="C33" s="84">
        <f>($C$11)*70</f>
        <v>70</v>
      </c>
    </row>
  </sheetData>
  <sheetProtection/>
  <mergeCells count="1">
    <mergeCell ref="B3:C3"/>
  </mergeCells>
  <dataValidations count="1">
    <dataValidation type="list" allowBlank="1" showInputMessage="1" showErrorMessage="1" sqref="B8:C8">
      <formula1>"Imperial,Metric"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tabColor indexed="34"/>
  </sheetPr>
  <dimension ref="A1:AB138"/>
  <sheetViews>
    <sheetView workbookViewId="0" topLeftCell="A1">
      <pane ySplit="10" topLeftCell="BM89" activePane="bottomLeft" state="frozen"/>
      <selection pane="topLeft" activeCell="N10" sqref="N10"/>
      <selection pane="bottomLeft" activeCell="N10" sqref="N10"/>
    </sheetView>
  </sheetViews>
  <sheetFormatPr defaultColWidth="9.140625" defaultRowHeight="12.75"/>
  <cols>
    <col min="1" max="1" width="17.28125" style="0" customWidth="1"/>
    <col min="2" max="2" width="17.57421875" style="0" customWidth="1"/>
    <col min="4" max="4" width="11.00390625" style="0" customWidth="1"/>
    <col min="15" max="15" width="14.57421875" style="0" customWidth="1"/>
    <col min="19" max="19" width="12.57421875" style="0" customWidth="1"/>
    <col min="24" max="24" width="13.28125" style="0" customWidth="1"/>
  </cols>
  <sheetData>
    <row r="1" spans="1:7" s="4" customFormat="1" ht="12.75">
      <c r="A1" s="71" t="s">
        <v>4</v>
      </c>
      <c r="B1" s="72"/>
      <c r="C1" s="5"/>
      <c r="D1" s="5"/>
      <c r="E1" s="5"/>
      <c r="F1" s="5"/>
      <c r="G1" s="5"/>
    </row>
    <row r="2" spans="1:8" s="4" customFormat="1" ht="12.75">
      <c r="A2" s="5" t="s">
        <v>5</v>
      </c>
      <c r="B2" s="5" t="s">
        <v>9</v>
      </c>
      <c r="C2" s="5"/>
      <c r="D2" s="5"/>
      <c r="E2" s="72"/>
      <c r="F2" s="5"/>
      <c r="G2" s="5"/>
      <c r="H2" s="52"/>
    </row>
    <row r="3" spans="1:8" s="4" customFormat="1" ht="12.75">
      <c r="A3" s="5" t="s">
        <v>6</v>
      </c>
      <c r="B3" s="62">
        <v>39707</v>
      </c>
      <c r="C3" s="62"/>
      <c r="D3" s="62"/>
      <c r="E3" s="72"/>
      <c r="F3" s="5"/>
      <c r="G3" s="5"/>
      <c r="H3" s="52"/>
    </row>
    <row r="4" spans="1:8" s="4" customFormat="1" ht="12.75">
      <c r="A4" s="5" t="s">
        <v>7</v>
      </c>
      <c r="B4" s="5" t="s">
        <v>8</v>
      </c>
      <c r="C4" s="5"/>
      <c r="D4" s="5"/>
      <c r="E4" s="72"/>
      <c r="F4" s="5"/>
      <c r="G4" s="5"/>
      <c r="H4" s="52"/>
    </row>
    <row r="5" spans="1:8" s="4" customFormat="1" ht="12.75">
      <c r="A5" s="5" t="s">
        <v>317</v>
      </c>
      <c r="B5" s="5" t="str">
        <f>wsname(A5)</f>
        <v>L</v>
      </c>
      <c r="C5" s="5"/>
      <c r="D5" s="5"/>
      <c r="E5" s="72"/>
      <c r="F5" s="5"/>
      <c r="G5" s="5"/>
      <c r="H5" s="52"/>
    </row>
    <row r="6" spans="1:8" s="4" customFormat="1" ht="12.75">
      <c r="A6" s="5" t="s">
        <v>226</v>
      </c>
      <c r="B6" s="5" t="s">
        <v>318</v>
      </c>
      <c r="C6" s="5"/>
      <c r="D6" s="5"/>
      <c r="E6" s="72"/>
      <c r="F6" s="5"/>
      <c r="G6" s="5"/>
      <c r="H6" s="52"/>
    </row>
    <row r="7" spans="1:8" s="4" customFormat="1" ht="12.75">
      <c r="A7" s="5" t="s">
        <v>319</v>
      </c>
      <c r="B7" s="5" t="s">
        <v>232</v>
      </c>
      <c r="C7" s="5"/>
      <c r="D7" s="5"/>
      <c r="E7" s="72"/>
      <c r="F7" s="5"/>
      <c r="G7" s="5"/>
      <c r="H7" s="52"/>
    </row>
    <row r="8" spans="1:8" s="4" customFormat="1" ht="12.75">
      <c r="A8" s="74" t="s">
        <v>1</v>
      </c>
      <c r="B8" s="75" t="s">
        <v>32</v>
      </c>
      <c r="C8" s="33"/>
      <c r="D8" s="5"/>
      <c r="E8" s="72"/>
      <c r="F8" s="5"/>
      <c r="G8" s="5"/>
      <c r="H8" s="52"/>
    </row>
    <row r="10" spans="1:28" s="76" customFormat="1" ht="18" customHeight="1">
      <c r="A10" s="76" t="s">
        <v>341</v>
      </c>
      <c r="B10" s="76" t="s">
        <v>342</v>
      </c>
      <c r="C10" s="76" t="s">
        <v>343</v>
      </c>
      <c r="D10" s="76" t="s">
        <v>103</v>
      </c>
      <c r="E10" s="76" t="s">
        <v>255</v>
      </c>
      <c r="F10" s="76" t="s">
        <v>256</v>
      </c>
      <c r="G10" s="76" t="s">
        <v>259</v>
      </c>
      <c r="H10" s="76" t="s">
        <v>344</v>
      </c>
      <c r="I10" s="76" t="s">
        <v>345</v>
      </c>
      <c r="J10" s="76" t="s">
        <v>346</v>
      </c>
      <c r="K10" s="76" t="s">
        <v>347</v>
      </c>
      <c r="L10" s="76" t="s">
        <v>348</v>
      </c>
      <c r="M10" s="76" t="s">
        <v>349</v>
      </c>
      <c r="N10" s="76" t="s">
        <v>350</v>
      </c>
      <c r="O10" s="76" t="s">
        <v>120</v>
      </c>
      <c r="P10" s="76" t="s">
        <v>351</v>
      </c>
      <c r="Q10" s="76" t="s">
        <v>352</v>
      </c>
      <c r="R10" s="76" t="s">
        <v>353</v>
      </c>
      <c r="S10" s="76" t="s">
        <v>257</v>
      </c>
      <c r="T10" s="76" t="s">
        <v>354</v>
      </c>
      <c r="U10" s="76" t="s">
        <v>355</v>
      </c>
      <c r="V10" s="76" t="s">
        <v>356</v>
      </c>
      <c r="W10" s="76" t="s">
        <v>357</v>
      </c>
      <c r="X10" s="76" t="s">
        <v>107</v>
      </c>
      <c r="Y10" s="76" t="s">
        <v>358</v>
      </c>
      <c r="Z10" s="76" t="s">
        <v>359</v>
      </c>
      <c r="AA10" s="76" t="s">
        <v>360</v>
      </c>
      <c r="AB10" s="76" t="s">
        <v>361</v>
      </c>
    </row>
    <row r="11" spans="2:28" s="77" customFormat="1" ht="17.25" customHeight="1">
      <c r="B11" s="78"/>
      <c r="C11" s="77">
        <v>1</v>
      </c>
      <c r="D11" s="77">
        <f>unit("in","mm",Units)^2</f>
        <v>1</v>
      </c>
      <c r="E11" s="77">
        <f>unit("in","mm",Units)</f>
        <v>1</v>
      </c>
      <c r="F11" s="77">
        <f>unit("in","mm",Units)</f>
        <v>1</v>
      </c>
      <c r="G11" s="77">
        <f>unit("in","mm",Units)</f>
        <v>1</v>
      </c>
      <c r="H11" s="77">
        <v>1</v>
      </c>
      <c r="I11" s="77">
        <v>1</v>
      </c>
      <c r="J11" s="77">
        <f>unit("in","mm",Units)</f>
        <v>1</v>
      </c>
      <c r="K11" s="77">
        <f>unit("in","mm",Units)</f>
        <v>1</v>
      </c>
      <c r="L11" s="77">
        <v>1</v>
      </c>
      <c r="M11" s="77">
        <f>unit("in","mm",Units)</f>
        <v>1</v>
      </c>
      <c r="N11" s="77">
        <f>unit("in","mm",Units)</f>
        <v>1</v>
      </c>
      <c r="O11" s="77">
        <f>unit("in","mm",Units)^4</f>
        <v>1</v>
      </c>
      <c r="P11" s="77">
        <v>1</v>
      </c>
      <c r="Q11" s="77">
        <v>1</v>
      </c>
      <c r="R11" s="77">
        <f>unit("in","mm",Units)</f>
        <v>1</v>
      </c>
      <c r="S11" s="77">
        <f>unit("in","mm",Units)^4</f>
        <v>1</v>
      </c>
      <c r="T11" s="77">
        <v>1</v>
      </c>
      <c r="U11" s="77">
        <v>1</v>
      </c>
      <c r="V11" s="77">
        <f>unit("in","mm",Units)</f>
        <v>1</v>
      </c>
      <c r="W11" s="77">
        <f>unit("in","mm",Units)</f>
        <v>1</v>
      </c>
      <c r="X11" s="77">
        <f>unit("in","mm",Units)^4</f>
        <v>1</v>
      </c>
      <c r="Y11" s="77">
        <v>1</v>
      </c>
      <c r="Z11" s="77">
        <f>unit("in","mm",Units)</f>
        <v>1</v>
      </c>
      <c r="AA11" s="77">
        <v>1</v>
      </c>
      <c r="AB11" s="77">
        <v>1</v>
      </c>
    </row>
    <row r="12" spans="1:28" ht="12.75">
      <c r="A12" t="s">
        <v>362</v>
      </c>
      <c r="B12" t="s">
        <v>363</v>
      </c>
      <c r="C12">
        <v>56.9</v>
      </c>
      <c r="D12" s="25">
        <f>(16.7)*$D$11</f>
        <v>16.7</v>
      </c>
      <c r="E12" s="82">
        <f aca="true" t="shared" si="0" ref="E12:F18">(8)*E$11</f>
        <v>8</v>
      </c>
      <c r="F12" s="82">
        <f t="shared" si="0"/>
        <v>8</v>
      </c>
      <c r="G12" s="82">
        <f>(1.125)*G$11</f>
        <v>1.125</v>
      </c>
      <c r="H12">
        <v>1.75</v>
      </c>
      <c r="I12">
        <v>1.75</v>
      </c>
      <c r="J12" s="82">
        <f>(2.4)*$J$11</f>
        <v>2.4</v>
      </c>
      <c r="K12" s="82">
        <f>(2.4)*$K$11</f>
        <v>2.4</v>
      </c>
      <c r="L12">
        <v>1.05</v>
      </c>
      <c r="M12" s="82">
        <f>(1.05)*M$11</f>
        <v>1.05</v>
      </c>
      <c r="N12" s="82">
        <f>(1.05)*N$11</f>
        <v>1.05</v>
      </c>
      <c r="O12" s="41">
        <f>(98.1)*$O$11</f>
        <v>98.1</v>
      </c>
      <c r="P12">
        <v>31.6</v>
      </c>
      <c r="Q12">
        <v>17.5</v>
      </c>
      <c r="R12" s="82">
        <f>(2.41)*R$11</f>
        <v>2.41</v>
      </c>
      <c r="S12" s="41">
        <f>(98.1)*S$11</f>
        <v>98.1</v>
      </c>
      <c r="T12">
        <v>31.6</v>
      </c>
      <c r="U12">
        <v>17.5</v>
      </c>
      <c r="V12" s="82">
        <f>(2.41)*V$11</f>
        <v>2.41</v>
      </c>
      <c r="W12" s="82">
        <f>(1.56)*W$11</f>
        <v>1.56</v>
      </c>
      <c r="X12" s="41">
        <f>(7.13)*X$11</f>
        <v>7.13</v>
      </c>
      <c r="Y12">
        <f>(32.5)*Y$11</f>
        <v>32.5</v>
      </c>
      <c r="Z12" s="82">
        <f>(4.29)*Z$11</f>
        <v>4.29</v>
      </c>
      <c r="AA12">
        <v>1</v>
      </c>
      <c r="AB12">
        <v>1</v>
      </c>
    </row>
    <row r="13" spans="1:28" ht="12.75">
      <c r="A13" t="s">
        <v>364</v>
      </c>
      <c r="B13" t="s">
        <v>365</v>
      </c>
      <c r="C13">
        <v>51</v>
      </c>
      <c r="D13" s="25">
        <f>(15)*$D$11</f>
        <v>15</v>
      </c>
      <c r="E13" s="82">
        <f t="shared" si="0"/>
        <v>8</v>
      </c>
      <c r="F13" s="82">
        <f t="shared" si="0"/>
        <v>8</v>
      </c>
      <c r="G13" s="82">
        <f>(1)*G$11</f>
        <v>1</v>
      </c>
      <c r="H13">
        <v>1.63</v>
      </c>
      <c r="I13">
        <v>1.625</v>
      </c>
      <c r="J13" s="82">
        <f>(2.36)*$J$11</f>
        <v>2.36</v>
      </c>
      <c r="K13" s="82">
        <f>(2.36)*$K$11</f>
        <v>2.36</v>
      </c>
      <c r="L13">
        <v>0.943</v>
      </c>
      <c r="M13" s="82">
        <f>(0.943)*M$11</f>
        <v>0.943</v>
      </c>
      <c r="N13" s="82">
        <f>(0.943)*N$11</f>
        <v>0.943</v>
      </c>
      <c r="O13" s="41">
        <f>(89.1)*$O$11</f>
        <v>89.1</v>
      </c>
      <c r="P13">
        <v>28.5</v>
      </c>
      <c r="Q13">
        <v>15.8</v>
      </c>
      <c r="R13" s="82">
        <f>(2.43)*R$11</f>
        <v>2.43</v>
      </c>
      <c r="S13" s="41">
        <f>(89.1)*S$11</f>
        <v>89.1</v>
      </c>
      <c r="T13">
        <v>28.5</v>
      </c>
      <c r="U13">
        <v>15.8</v>
      </c>
      <c r="V13" s="82">
        <f>(2.43)*V$11</f>
        <v>2.43</v>
      </c>
      <c r="W13" s="82">
        <f>(1.56)*W$11</f>
        <v>1.56</v>
      </c>
      <c r="X13" s="41">
        <f>(5.08)*X$11</f>
        <v>5.08</v>
      </c>
      <c r="Y13">
        <f>(23.4)*Y$11</f>
        <v>23.4</v>
      </c>
      <c r="Z13" s="82">
        <f>(4.32)*Z$11</f>
        <v>4.32</v>
      </c>
      <c r="AA13">
        <v>1</v>
      </c>
      <c r="AB13">
        <v>1</v>
      </c>
    </row>
    <row r="14" spans="1:28" ht="12.75">
      <c r="A14" t="s">
        <v>366</v>
      </c>
      <c r="B14" t="s">
        <v>367</v>
      </c>
      <c r="C14">
        <v>45</v>
      </c>
      <c r="D14" s="25">
        <f>(13.2)*$D$11</f>
        <v>13.2</v>
      </c>
      <c r="E14" s="82">
        <f t="shared" si="0"/>
        <v>8</v>
      </c>
      <c r="F14" s="82">
        <f t="shared" si="0"/>
        <v>8</v>
      </c>
      <c r="G14" s="82">
        <f>(0.875)*G$11</f>
        <v>0.875</v>
      </c>
      <c r="H14">
        <v>1.5</v>
      </c>
      <c r="I14">
        <v>1.5</v>
      </c>
      <c r="J14" s="82">
        <f>(2.31)*$J$11</f>
        <v>2.31</v>
      </c>
      <c r="K14" s="82">
        <f>(2.31)*$K$11</f>
        <v>2.31</v>
      </c>
      <c r="L14">
        <v>0.832</v>
      </c>
      <c r="M14" s="82">
        <f>(0.832)*M$11</f>
        <v>0.832</v>
      </c>
      <c r="N14" s="82">
        <f>(0.832)*N$11</f>
        <v>0.832</v>
      </c>
      <c r="O14" s="41">
        <f>(79.7)*$O$11</f>
        <v>79.7</v>
      </c>
      <c r="P14">
        <v>25.3</v>
      </c>
      <c r="Q14">
        <v>14</v>
      </c>
      <c r="R14" s="82">
        <f>(2.45)*R$11</f>
        <v>2.45</v>
      </c>
      <c r="S14" s="41">
        <f>(79.7)*S$11</f>
        <v>79.7</v>
      </c>
      <c r="T14">
        <v>25.3</v>
      </c>
      <c r="U14">
        <v>14</v>
      </c>
      <c r="V14" s="82">
        <f>(2.45)*V$11</f>
        <v>2.45</v>
      </c>
      <c r="W14" s="82">
        <f>(1.57)*W$11</f>
        <v>1.57</v>
      </c>
      <c r="X14" s="41">
        <f>(3.46)*X$11</f>
        <v>3.46</v>
      </c>
      <c r="Y14">
        <f>(16.1)*Y$11</f>
        <v>16.1</v>
      </c>
      <c r="Z14" s="82">
        <f>(4.36)*Z$11</f>
        <v>4.36</v>
      </c>
      <c r="AA14">
        <v>1</v>
      </c>
      <c r="AB14">
        <v>1</v>
      </c>
    </row>
    <row r="15" spans="1:28" ht="12.75">
      <c r="A15" t="s">
        <v>368</v>
      </c>
      <c r="B15" t="s">
        <v>369</v>
      </c>
      <c r="C15">
        <v>38.9</v>
      </c>
      <c r="D15" s="25">
        <f>(11.4)*$D$11</f>
        <v>11.4</v>
      </c>
      <c r="E15" s="82">
        <f t="shared" si="0"/>
        <v>8</v>
      </c>
      <c r="F15" s="82">
        <f t="shared" si="0"/>
        <v>8</v>
      </c>
      <c r="G15" s="82">
        <f>(0.75)*G$11</f>
        <v>0.75</v>
      </c>
      <c r="H15">
        <v>1.38</v>
      </c>
      <c r="I15">
        <v>1.375</v>
      </c>
      <c r="J15" s="82">
        <f>(2.26)*$J$11</f>
        <v>2.26</v>
      </c>
      <c r="K15" s="82">
        <f>(2.26)*$K$11</f>
        <v>2.26</v>
      </c>
      <c r="L15">
        <v>0.72</v>
      </c>
      <c r="M15" s="82">
        <f>(0.72)*M$11</f>
        <v>0.72</v>
      </c>
      <c r="N15" s="82">
        <f>(0.72)*N$11</f>
        <v>0.72</v>
      </c>
      <c r="O15" s="41">
        <f>(69.9)*$O$11</f>
        <v>69.9</v>
      </c>
      <c r="P15">
        <v>22</v>
      </c>
      <c r="Q15">
        <v>12.2</v>
      </c>
      <c r="R15" s="82">
        <f>(2.46)*R$11</f>
        <v>2.46</v>
      </c>
      <c r="S15" s="41">
        <f>(69.9)*S$11</f>
        <v>69.9</v>
      </c>
      <c r="T15">
        <v>22</v>
      </c>
      <c r="U15">
        <v>12.2</v>
      </c>
      <c r="V15" s="82">
        <f>(2.46)*V$11</f>
        <v>2.46</v>
      </c>
      <c r="W15" s="82">
        <f>(1.57)*W$11</f>
        <v>1.57</v>
      </c>
      <c r="X15" s="41">
        <f>(2.21)*X$11</f>
        <v>2.21</v>
      </c>
      <c r="Y15">
        <f>(10.4)*Y$11</f>
        <v>10.4</v>
      </c>
      <c r="Z15" s="82">
        <f>(4.39)*Z$11</f>
        <v>4.39</v>
      </c>
      <c r="AA15">
        <v>1</v>
      </c>
      <c r="AB15">
        <v>1</v>
      </c>
    </row>
    <row r="16" spans="1:28" ht="12.75">
      <c r="A16" t="s">
        <v>370</v>
      </c>
      <c r="B16" t="s">
        <v>371</v>
      </c>
      <c r="C16">
        <v>32.7</v>
      </c>
      <c r="D16" s="25">
        <f>(9.61)*$D$11</f>
        <v>9.61</v>
      </c>
      <c r="E16" s="82">
        <f t="shared" si="0"/>
        <v>8</v>
      </c>
      <c r="F16" s="82">
        <f t="shared" si="0"/>
        <v>8</v>
      </c>
      <c r="G16" s="82">
        <f>(0.625)*G$11</f>
        <v>0.625</v>
      </c>
      <c r="H16">
        <v>1.25</v>
      </c>
      <c r="I16">
        <v>1.25</v>
      </c>
      <c r="J16" s="82">
        <f>(2.21)*$J$11</f>
        <v>2.21</v>
      </c>
      <c r="K16" s="82">
        <f>(2.21)*$K$11</f>
        <v>2.21</v>
      </c>
      <c r="L16">
        <v>0.606</v>
      </c>
      <c r="M16" s="82">
        <f>(0.606)*M$11</f>
        <v>0.606</v>
      </c>
      <c r="N16" s="82">
        <f>(0.606)*N$11</f>
        <v>0.606</v>
      </c>
      <c r="O16" s="41">
        <f>(59.6)*$O$11</f>
        <v>59.6</v>
      </c>
      <c r="P16">
        <v>18.6</v>
      </c>
      <c r="Q16">
        <v>10.3</v>
      </c>
      <c r="R16" s="82">
        <f>(2.48)*R$11</f>
        <v>2.48</v>
      </c>
      <c r="S16" s="41">
        <f>(59.6)*S$11</f>
        <v>59.6</v>
      </c>
      <c r="T16">
        <v>18.6</v>
      </c>
      <c r="U16">
        <v>10.3</v>
      </c>
      <c r="V16" s="82">
        <f>(2.48)*V$11</f>
        <v>2.48</v>
      </c>
      <c r="W16" s="82">
        <f>(1.58)*W$11</f>
        <v>1.58</v>
      </c>
      <c r="X16" s="41">
        <f>(1.3)*X$11</f>
        <v>1.3</v>
      </c>
      <c r="Y16">
        <f>(6.16)*Y$11</f>
        <v>6.16</v>
      </c>
      <c r="Z16" s="82">
        <f>(4.42)*Z$11</f>
        <v>4.42</v>
      </c>
      <c r="AA16">
        <v>1</v>
      </c>
      <c r="AB16">
        <v>1</v>
      </c>
    </row>
    <row r="17" spans="1:28" ht="12.75">
      <c r="A17" t="s">
        <v>372</v>
      </c>
      <c r="B17" t="s">
        <v>373</v>
      </c>
      <c r="C17">
        <v>29.6</v>
      </c>
      <c r="D17" s="25">
        <f>(8.68)*$D$11</f>
        <v>8.68</v>
      </c>
      <c r="E17" s="82">
        <f t="shared" si="0"/>
        <v>8</v>
      </c>
      <c r="F17" s="82">
        <f t="shared" si="0"/>
        <v>8</v>
      </c>
      <c r="G17" s="82">
        <f>(0.5625)*G$11</f>
        <v>0.5625</v>
      </c>
      <c r="H17">
        <v>1.19</v>
      </c>
      <c r="I17">
        <v>1.1875</v>
      </c>
      <c r="J17" s="82">
        <f>(2.19)*$J$11</f>
        <v>2.19</v>
      </c>
      <c r="K17" s="82">
        <f>(2.19)*$K$11</f>
        <v>2.19</v>
      </c>
      <c r="L17">
        <v>0.548</v>
      </c>
      <c r="M17" s="82">
        <f>(0.548)*M$11</f>
        <v>0.548</v>
      </c>
      <c r="N17" s="82">
        <f>(0.548)*N$11</f>
        <v>0.548</v>
      </c>
      <c r="O17" s="41">
        <f>(54.2)*$O$11</f>
        <v>54.2</v>
      </c>
      <c r="P17">
        <v>16.8</v>
      </c>
      <c r="Q17">
        <v>9.33</v>
      </c>
      <c r="R17" s="82">
        <f>(2.49)*R$11</f>
        <v>2.49</v>
      </c>
      <c r="S17" s="41">
        <f>(54.2)*S$11</f>
        <v>54.2</v>
      </c>
      <c r="T17">
        <v>16.8</v>
      </c>
      <c r="U17">
        <v>9.33</v>
      </c>
      <c r="V17" s="82">
        <f>(2.49)*V$11</f>
        <v>2.49</v>
      </c>
      <c r="W17" s="82">
        <f>(1.58)*W$11</f>
        <v>1.58</v>
      </c>
      <c r="X17" s="41">
        <f>(0.961)*X$11</f>
        <v>0.961</v>
      </c>
      <c r="Y17">
        <f>(4.55)*Y$11</f>
        <v>4.55</v>
      </c>
      <c r="Z17" s="82">
        <f>(4.43)*Z$11</f>
        <v>4.43</v>
      </c>
      <c r="AA17">
        <v>1</v>
      </c>
      <c r="AB17">
        <v>0.96</v>
      </c>
    </row>
    <row r="18" spans="1:28" ht="12.75">
      <c r="A18" t="s">
        <v>374</v>
      </c>
      <c r="B18" t="s">
        <v>375</v>
      </c>
      <c r="C18">
        <v>26.4</v>
      </c>
      <c r="D18" s="25">
        <f>(7.75)*$D$11</f>
        <v>7.75</v>
      </c>
      <c r="E18" s="82">
        <f t="shared" si="0"/>
        <v>8</v>
      </c>
      <c r="F18" s="82">
        <f t="shared" si="0"/>
        <v>8</v>
      </c>
      <c r="G18" s="82">
        <f>(0.5)*G$11</f>
        <v>0.5</v>
      </c>
      <c r="H18">
        <v>1.13</v>
      </c>
      <c r="I18">
        <v>1.125</v>
      </c>
      <c r="J18" s="82">
        <f>(2.17)*$J$11</f>
        <v>2.17</v>
      </c>
      <c r="K18" s="82">
        <f>(2.17)*$K$11</f>
        <v>2.17</v>
      </c>
      <c r="L18">
        <v>0.49</v>
      </c>
      <c r="M18" s="82">
        <f>(0.49)*M$11</f>
        <v>0.49</v>
      </c>
      <c r="N18" s="82">
        <f>(0.49)*N$11</f>
        <v>0.49</v>
      </c>
      <c r="O18" s="41">
        <f>(48.8)*$O$11</f>
        <v>48.8</v>
      </c>
      <c r="P18">
        <v>15.1</v>
      </c>
      <c r="Q18">
        <v>8.36</v>
      </c>
      <c r="R18" s="82">
        <f>(2.49)*R$11</f>
        <v>2.49</v>
      </c>
      <c r="S18" s="41">
        <f>(48.8)*S$11</f>
        <v>48.8</v>
      </c>
      <c r="T18">
        <v>15.1</v>
      </c>
      <c r="U18">
        <v>8.36</v>
      </c>
      <c r="V18" s="82">
        <f>(2.49)*V$11</f>
        <v>2.49</v>
      </c>
      <c r="W18" s="82">
        <f>(1.59)*W$11</f>
        <v>1.59</v>
      </c>
      <c r="X18" s="41">
        <f>(0.683)*X$11</f>
        <v>0.683</v>
      </c>
      <c r="Y18">
        <f>(3.23)*Y$11</f>
        <v>3.23</v>
      </c>
      <c r="Z18" s="82">
        <f>(4.45)*Z$11</f>
        <v>4.45</v>
      </c>
      <c r="AA18">
        <v>1</v>
      </c>
      <c r="AB18">
        <v>0.91</v>
      </c>
    </row>
    <row r="19" spans="1:28" ht="12.75">
      <c r="A19" t="s">
        <v>376</v>
      </c>
      <c r="B19" t="s">
        <v>377</v>
      </c>
      <c r="C19">
        <v>44.2</v>
      </c>
      <c r="D19" s="25">
        <f>(13)*$D$11</f>
        <v>13</v>
      </c>
      <c r="E19" s="82">
        <f aca="true" t="shared" si="1" ref="E19:E32">(8)*E$11</f>
        <v>8</v>
      </c>
      <c r="F19" s="82">
        <f aca="true" t="shared" si="2" ref="F19:F25">(6)*F$11</f>
        <v>6</v>
      </c>
      <c r="G19" s="82">
        <f>(1)*G$11</f>
        <v>1</v>
      </c>
      <c r="H19">
        <v>1.5</v>
      </c>
      <c r="I19">
        <v>1.5</v>
      </c>
      <c r="J19" s="82">
        <f>(1.65)*$J$11</f>
        <v>1.65</v>
      </c>
      <c r="K19" s="82">
        <f>(2.65)*$K$11</f>
        <v>2.65</v>
      </c>
      <c r="L19">
        <v>0.816</v>
      </c>
      <c r="M19" s="82">
        <f>(0.816)*M$11</f>
        <v>0.816</v>
      </c>
      <c r="N19" s="82">
        <f>(1.47)*N$11</f>
        <v>1.47</v>
      </c>
      <c r="O19" s="41">
        <f>(80.9)*$O$11</f>
        <v>80.9</v>
      </c>
      <c r="P19">
        <v>27.3</v>
      </c>
      <c r="Q19">
        <v>15.1</v>
      </c>
      <c r="R19" s="82">
        <f>(2.49)*R$11</f>
        <v>2.49</v>
      </c>
      <c r="S19" s="41">
        <f>(38.8)*S$11</f>
        <v>38.8</v>
      </c>
      <c r="T19">
        <v>16.2</v>
      </c>
      <c r="U19">
        <v>8.92</v>
      </c>
      <c r="V19" s="82">
        <f>(1.72)*V$11</f>
        <v>1.72</v>
      </c>
      <c r="W19" s="82">
        <f>(1.28)*W$11</f>
        <v>1.28</v>
      </c>
      <c r="X19" s="41">
        <f>(4.34)*X$11</f>
        <v>4.34</v>
      </c>
      <c r="Y19">
        <f>(16.3)*Y$11</f>
        <v>16.3</v>
      </c>
      <c r="Z19" s="82">
        <f>(3.88)*Z$11</f>
        <v>3.88</v>
      </c>
      <c r="AA19">
        <v>0.542</v>
      </c>
      <c r="AB19">
        <v>1</v>
      </c>
    </row>
    <row r="20" spans="1:28" ht="12.75">
      <c r="A20" t="s">
        <v>378</v>
      </c>
      <c r="B20" t="s">
        <v>379</v>
      </c>
      <c r="C20">
        <v>39.1</v>
      </c>
      <c r="D20" s="25">
        <f>(11.5)*$D$11</f>
        <v>11.5</v>
      </c>
      <c r="E20" s="82">
        <f t="shared" si="1"/>
        <v>8</v>
      </c>
      <c r="F20" s="82">
        <f t="shared" si="2"/>
        <v>6</v>
      </c>
      <c r="G20" s="82">
        <f>(0.875)*G$11</f>
        <v>0.875</v>
      </c>
      <c r="H20">
        <v>1.38</v>
      </c>
      <c r="I20">
        <v>1.375</v>
      </c>
      <c r="J20" s="82">
        <f>(1.6)*$J$11</f>
        <v>1.6</v>
      </c>
      <c r="K20" s="82">
        <f>(2.6)*$K$11</f>
        <v>2.6</v>
      </c>
      <c r="L20">
        <v>0.721</v>
      </c>
      <c r="M20" s="82">
        <f>(0.721)*M$11</f>
        <v>0.721</v>
      </c>
      <c r="N20" s="82">
        <f>(1.41)*N$11</f>
        <v>1.41</v>
      </c>
      <c r="O20" s="41">
        <f>(72.4)*$O$11</f>
        <v>72.4</v>
      </c>
      <c r="P20">
        <v>24.3</v>
      </c>
      <c r="Q20">
        <v>13.4</v>
      </c>
      <c r="R20" s="82">
        <f>(2.5)*R$11</f>
        <v>2.5</v>
      </c>
      <c r="S20" s="41">
        <f>(34.9)*S$11</f>
        <v>34.9</v>
      </c>
      <c r="T20">
        <v>14.4</v>
      </c>
      <c r="U20">
        <v>7.94</v>
      </c>
      <c r="V20" s="82">
        <f>(1.74)*V$11</f>
        <v>1.74</v>
      </c>
      <c r="W20" s="82">
        <f>(1.28)*W$11</f>
        <v>1.28</v>
      </c>
      <c r="X20" s="41">
        <f>(2.96)*X$11</f>
        <v>2.96</v>
      </c>
      <c r="Y20">
        <f>(11.3)*Y$11</f>
        <v>11.3</v>
      </c>
      <c r="Z20" s="82">
        <f>(3.92)*Z$11</f>
        <v>3.92</v>
      </c>
      <c r="AA20">
        <v>0.546</v>
      </c>
      <c r="AB20">
        <v>1</v>
      </c>
    </row>
    <row r="21" spans="1:28" ht="12.75">
      <c r="A21" t="s">
        <v>380</v>
      </c>
      <c r="B21" t="s">
        <v>381</v>
      </c>
      <c r="C21">
        <v>33.8</v>
      </c>
      <c r="D21" s="25">
        <f>(9.94)*$D$11</f>
        <v>9.94</v>
      </c>
      <c r="E21" s="82">
        <f t="shared" si="1"/>
        <v>8</v>
      </c>
      <c r="F21" s="82">
        <f t="shared" si="2"/>
        <v>6</v>
      </c>
      <c r="G21" s="82">
        <f>(0.75)*G$11</f>
        <v>0.75</v>
      </c>
      <c r="H21">
        <v>1.25</v>
      </c>
      <c r="I21">
        <v>1.25</v>
      </c>
      <c r="J21" s="82">
        <f>(1.56)*$J$11</f>
        <v>1.56</v>
      </c>
      <c r="K21" s="82">
        <f>(2.55)*$K$11</f>
        <v>2.55</v>
      </c>
      <c r="L21">
        <v>0.624</v>
      </c>
      <c r="M21" s="82">
        <f>(0.624)*M$11</f>
        <v>0.624</v>
      </c>
      <c r="N21" s="82">
        <f>(1.34)*N$11</f>
        <v>1.34</v>
      </c>
      <c r="O21" s="41">
        <f>(63.5)*$O$11</f>
        <v>63.5</v>
      </c>
      <c r="P21">
        <v>21.1</v>
      </c>
      <c r="Q21">
        <v>11.7</v>
      </c>
      <c r="R21" s="82">
        <f>(2.52)*R$11</f>
        <v>2.52</v>
      </c>
      <c r="S21" s="41">
        <f>(30.8)*S$11</f>
        <v>30.8</v>
      </c>
      <c r="T21">
        <v>12.5</v>
      </c>
      <c r="U21">
        <v>6.92</v>
      </c>
      <c r="V21" s="82">
        <f>(1.75)*V$11</f>
        <v>1.75</v>
      </c>
      <c r="W21" s="82">
        <f>(1.29)*W$11</f>
        <v>1.29</v>
      </c>
      <c r="X21" s="41">
        <f>(1.9)*X$11</f>
        <v>1.9</v>
      </c>
      <c r="Y21">
        <f>(7.28)*Y$11</f>
        <v>7.28</v>
      </c>
      <c r="Z21" s="82">
        <f>(3.95)*Z$11</f>
        <v>3.95</v>
      </c>
      <c r="AA21">
        <v>0.55</v>
      </c>
      <c r="AB21">
        <v>1</v>
      </c>
    </row>
    <row r="22" spans="1:28" ht="12.75">
      <c r="A22" t="s">
        <v>382</v>
      </c>
      <c r="B22" t="s">
        <v>383</v>
      </c>
      <c r="C22">
        <v>28.5</v>
      </c>
      <c r="D22" s="25">
        <f>(8.36)*$D$11</f>
        <v>8.36</v>
      </c>
      <c r="E22" s="82">
        <f t="shared" si="1"/>
        <v>8</v>
      </c>
      <c r="F22" s="82">
        <f t="shared" si="2"/>
        <v>6</v>
      </c>
      <c r="G22" s="82">
        <f>(0.625)*G$11</f>
        <v>0.625</v>
      </c>
      <c r="H22">
        <v>1.13</v>
      </c>
      <c r="I22">
        <v>1.125</v>
      </c>
      <c r="J22" s="82">
        <f>(1.51)*$J$11</f>
        <v>1.51</v>
      </c>
      <c r="K22" s="82">
        <f>(2.5)*$K$11</f>
        <v>2.5</v>
      </c>
      <c r="L22">
        <v>0.526</v>
      </c>
      <c r="M22" s="82">
        <f>(0.526)*M$11</f>
        <v>0.526</v>
      </c>
      <c r="N22" s="82">
        <f>(1.27)*N$11</f>
        <v>1.27</v>
      </c>
      <c r="O22" s="41">
        <f>(54.2)*$O$11</f>
        <v>54.2</v>
      </c>
      <c r="P22">
        <v>17.9</v>
      </c>
      <c r="Q22">
        <v>9.86</v>
      </c>
      <c r="R22" s="82">
        <f>(2.54)*R$11</f>
        <v>2.54</v>
      </c>
      <c r="S22" s="41">
        <f>(26.4)*S$11</f>
        <v>26.4</v>
      </c>
      <c r="T22">
        <v>10.5</v>
      </c>
      <c r="U22">
        <v>5.88</v>
      </c>
      <c r="V22" s="82">
        <f>(1.77)*V$11</f>
        <v>1.77</v>
      </c>
      <c r="W22" s="82">
        <f>(1.29)*W$11</f>
        <v>1.29</v>
      </c>
      <c r="X22" s="41">
        <f>(1.12)*X$11</f>
        <v>1.12</v>
      </c>
      <c r="Y22">
        <f>(4.33)*Y$11</f>
        <v>4.33</v>
      </c>
      <c r="Z22" s="82">
        <f>(3.98)*Z$11</f>
        <v>3.98</v>
      </c>
      <c r="AA22">
        <v>0.554</v>
      </c>
      <c r="AB22">
        <v>1</v>
      </c>
    </row>
    <row r="23" spans="1:28" ht="12.75">
      <c r="A23" t="s">
        <v>384</v>
      </c>
      <c r="B23" t="s">
        <v>385</v>
      </c>
      <c r="C23">
        <v>25.7</v>
      </c>
      <c r="D23" s="25">
        <f>(7.56)*$D$11</f>
        <v>7.56</v>
      </c>
      <c r="E23" s="82">
        <f t="shared" si="1"/>
        <v>8</v>
      </c>
      <c r="F23" s="82">
        <f t="shared" si="2"/>
        <v>6</v>
      </c>
      <c r="G23" s="82">
        <f>(0.5625)*G$11</f>
        <v>0.5625</v>
      </c>
      <c r="H23">
        <v>1.06</v>
      </c>
      <c r="I23">
        <v>1.0625</v>
      </c>
      <c r="J23" s="82">
        <f>(1.49)*$J$11</f>
        <v>1.49</v>
      </c>
      <c r="K23" s="82">
        <f>(2.48)*$K$11</f>
        <v>2.48</v>
      </c>
      <c r="L23">
        <v>0.476</v>
      </c>
      <c r="M23" s="82">
        <f>(0.476)*M$11</f>
        <v>0.476</v>
      </c>
      <c r="N23" s="82">
        <f>(1.23)*N$11</f>
        <v>1.23</v>
      </c>
      <c r="O23" s="41">
        <f>(49.4)*$O$11</f>
        <v>49.4</v>
      </c>
      <c r="P23">
        <v>16.2</v>
      </c>
      <c r="Q23">
        <v>8.94</v>
      </c>
      <c r="R23" s="82">
        <f>(2.55)*R$11</f>
        <v>2.55</v>
      </c>
      <c r="S23" s="41">
        <f>(24.1)*S$11</f>
        <v>24.1</v>
      </c>
      <c r="T23">
        <v>9.52</v>
      </c>
      <c r="U23">
        <v>5.34</v>
      </c>
      <c r="V23" s="82">
        <f>(1.78)*V$11</f>
        <v>1.78</v>
      </c>
      <c r="W23" s="82">
        <f>(1.3)*W$11</f>
        <v>1.3</v>
      </c>
      <c r="X23" s="41">
        <f>(0.823)*X$11</f>
        <v>0.823</v>
      </c>
      <c r="Y23">
        <f>(3.2)*Y$11</f>
        <v>3.2</v>
      </c>
      <c r="Z23" s="82">
        <f>(3.99)*Z$11</f>
        <v>3.99</v>
      </c>
      <c r="AA23">
        <v>0.556</v>
      </c>
      <c r="AB23">
        <v>0.96</v>
      </c>
    </row>
    <row r="24" spans="1:28" ht="12.75">
      <c r="A24" t="s">
        <v>386</v>
      </c>
      <c r="B24" t="s">
        <v>387</v>
      </c>
      <c r="C24">
        <v>23</v>
      </c>
      <c r="D24" s="25">
        <f>(6.75)*$D$11</f>
        <v>6.75</v>
      </c>
      <c r="E24" s="82">
        <f t="shared" si="1"/>
        <v>8</v>
      </c>
      <c r="F24" s="82">
        <f t="shared" si="2"/>
        <v>6</v>
      </c>
      <c r="G24" s="82">
        <f>(0.5)*G$11</f>
        <v>0.5</v>
      </c>
      <c r="H24">
        <v>1</v>
      </c>
      <c r="I24">
        <v>1</v>
      </c>
      <c r="J24" s="82">
        <f>(1.46)*$J$11</f>
        <v>1.46</v>
      </c>
      <c r="K24" s="82">
        <f>(2.46)*$K$11</f>
        <v>2.46</v>
      </c>
      <c r="L24">
        <v>0.425</v>
      </c>
      <c r="M24" s="82">
        <f>(0.425)*M$11</f>
        <v>0.425</v>
      </c>
      <c r="N24" s="82">
        <f>(1.2)*N$11</f>
        <v>1.2</v>
      </c>
      <c r="O24" s="41">
        <f>(44.4)*$O$11</f>
        <v>44.4</v>
      </c>
      <c r="P24">
        <v>14.6</v>
      </c>
      <c r="Q24">
        <v>8.01</v>
      </c>
      <c r="R24" s="82">
        <f>(2.55)*R$11</f>
        <v>2.55</v>
      </c>
      <c r="S24" s="41">
        <f>(21.7)*S$11</f>
        <v>21.7</v>
      </c>
      <c r="T24">
        <v>8.52</v>
      </c>
      <c r="U24">
        <v>4.79</v>
      </c>
      <c r="V24" s="82">
        <f>(1.79)*V$11</f>
        <v>1.79</v>
      </c>
      <c r="W24" s="82">
        <f>(1.3)*W$11</f>
        <v>1.3</v>
      </c>
      <c r="X24" s="41">
        <f>(0.584)*X$11</f>
        <v>0.584</v>
      </c>
      <c r="Y24">
        <f>(2.28)*Y$11</f>
        <v>2.28</v>
      </c>
      <c r="Z24" s="82">
        <f>(4.01)*Z$11</f>
        <v>4.01</v>
      </c>
      <c r="AA24">
        <v>0.557</v>
      </c>
      <c r="AB24">
        <v>0.91</v>
      </c>
    </row>
    <row r="25" spans="1:28" ht="12.75">
      <c r="A25" t="s">
        <v>388</v>
      </c>
      <c r="B25" t="s">
        <v>389</v>
      </c>
      <c r="C25">
        <v>20.2</v>
      </c>
      <c r="D25" s="25">
        <f>(5.93)*$D$11</f>
        <v>5.93</v>
      </c>
      <c r="E25" s="82">
        <f t="shared" si="1"/>
        <v>8</v>
      </c>
      <c r="F25" s="82">
        <f t="shared" si="2"/>
        <v>6</v>
      </c>
      <c r="G25" s="82">
        <f>(0.4375)*G$11</f>
        <v>0.4375</v>
      </c>
      <c r="H25">
        <v>0.938</v>
      </c>
      <c r="I25">
        <v>0.9375</v>
      </c>
      <c r="J25" s="82">
        <f>(1.44)*$J$11</f>
        <v>1.44</v>
      </c>
      <c r="K25" s="82">
        <f>(2.43)*$K$11</f>
        <v>2.43</v>
      </c>
      <c r="L25">
        <v>0.374</v>
      </c>
      <c r="M25" s="82">
        <f>(0.374)*M$11</f>
        <v>0.374</v>
      </c>
      <c r="N25" s="82">
        <f>(1.16)*N$11</f>
        <v>1.16</v>
      </c>
      <c r="O25" s="41">
        <f>(39.3)*$O$11</f>
        <v>39.3</v>
      </c>
      <c r="P25">
        <v>12.9</v>
      </c>
      <c r="Q25">
        <v>7.06</v>
      </c>
      <c r="R25" s="82">
        <f>(2.56)*R$11</f>
        <v>2.56</v>
      </c>
      <c r="S25" s="41">
        <f>(19.3)*S$11</f>
        <v>19.3</v>
      </c>
      <c r="T25">
        <v>7.5</v>
      </c>
      <c r="U25">
        <v>4.23</v>
      </c>
      <c r="V25" s="82">
        <f>(1.8)*V$11</f>
        <v>1.8</v>
      </c>
      <c r="W25" s="82">
        <f>(1.31)*W$11</f>
        <v>1.31</v>
      </c>
      <c r="X25" s="41">
        <f>(0.396)*X$11</f>
        <v>0.396</v>
      </c>
      <c r="Y25">
        <f>(1.55)*Y$11</f>
        <v>1.55</v>
      </c>
      <c r="Z25" s="82">
        <f>(4.02)*Z$11</f>
        <v>4.02</v>
      </c>
      <c r="AA25">
        <v>0.559</v>
      </c>
      <c r="AB25">
        <v>0.85</v>
      </c>
    </row>
    <row r="26" spans="1:28" ht="12.75">
      <c r="A26" t="s">
        <v>390</v>
      </c>
      <c r="B26" t="s">
        <v>391</v>
      </c>
      <c r="C26">
        <v>37.4</v>
      </c>
      <c r="D26" s="25">
        <f>(11)*$D$11</f>
        <v>11</v>
      </c>
      <c r="E26" s="82">
        <f t="shared" si="1"/>
        <v>8</v>
      </c>
      <c r="F26" s="82">
        <f aca="true" t="shared" si="3" ref="F26:F37">(4)*F$11</f>
        <v>4</v>
      </c>
      <c r="G26" s="82">
        <f>(1)*G$11</f>
        <v>1</v>
      </c>
      <c r="H26">
        <v>1.5</v>
      </c>
      <c r="I26">
        <v>1.5</v>
      </c>
      <c r="J26" s="82">
        <f>(1.04)*$J$11</f>
        <v>1.04</v>
      </c>
      <c r="K26" s="82">
        <f>(3.03)*$K$11</f>
        <v>3.03</v>
      </c>
      <c r="L26">
        <v>0.691</v>
      </c>
      <c r="M26" s="82">
        <f>(0.691)*M$11</f>
        <v>0.691</v>
      </c>
      <c r="N26" s="82">
        <f>(2.47)*N$11</f>
        <v>2.47</v>
      </c>
      <c r="O26" s="41">
        <f>(69.7)*$O$11</f>
        <v>69.7</v>
      </c>
      <c r="P26">
        <v>24.3</v>
      </c>
      <c r="Q26">
        <v>14</v>
      </c>
      <c r="R26" s="82">
        <f>(2.51)*R$11</f>
        <v>2.51</v>
      </c>
      <c r="S26" s="41">
        <f>(11.6)*S$11</f>
        <v>11.6</v>
      </c>
      <c r="T26">
        <v>7.73</v>
      </c>
      <c r="U26">
        <v>3.94</v>
      </c>
      <c r="V26" s="82">
        <f>(1.03)*V$11</f>
        <v>1.03</v>
      </c>
      <c r="W26" s="82">
        <f>(0.844)*W$11</f>
        <v>0.844</v>
      </c>
      <c r="X26" s="41">
        <f>(3.68)*X$11</f>
        <v>3.68</v>
      </c>
      <c r="Y26">
        <f>(12.9)*Y$11</f>
        <v>12.9</v>
      </c>
      <c r="Z26" s="82">
        <f>(3.75)*Z$11</f>
        <v>3.75</v>
      </c>
      <c r="AA26">
        <v>0.247</v>
      </c>
      <c r="AB26">
        <v>1</v>
      </c>
    </row>
    <row r="27" spans="1:28" ht="12.75">
      <c r="A27" t="s">
        <v>392</v>
      </c>
      <c r="B27" t="s">
        <v>393</v>
      </c>
      <c r="C27">
        <v>33.1</v>
      </c>
      <c r="D27" s="25">
        <f>(9.73)*$D$11</f>
        <v>9.73</v>
      </c>
      <c r="E27" s="82">
        <f t="shared" si="1"/>
        <v>8</v>
      </c>
      <c r="F27" s="82">
        <f t="shared" si="3"/>
        <v>4</v>
      </c>
      <c r="G27" s="82">
        <f>(0.875)*G$11</f>
        <v>0.875</v>
      </c>
      <c r="H27">
        <v>1.38</v>
      </c>
      <c r="I27">
        <v>1.375</v>
      </c>
      <c r="J27" s="82">
        <f>(0.997)*$J$11</f>
        <v>0.997</v>
      </c>
      <c r="K27" s="82">
        <f>(2.99)*$K$11</f>
        <v>2.99</v>
      </c>
      <c r="L27">
        <v>0.612</v>
      </c>
      <c r="M27" s="82">
        <f>(0.612)*M$11</f>
        <v>0.612</v>
      </c>
      <c r="N27" s="82">
        <f>(2.41)*N$11</f>
        <v>2.41</v>
      </c>
      <c r="O27" s="41">
        <f>(62.6)*$O$11</f>
        <v>62.6</v>
      </c>
      <c r="P27">
        <v>21.7</v>
      </c>
      <c r="Q27">
        <v>12.5</v>
      </c>
      <c r="R27" s="82">
        <f>(2.53)*R$11</f>
        <v>2.53</v>
      </c>
      <c r="S27" s="41">
        <f>(10.5)*S$11</f>
        <v>10.5</v>
      </c>
      <c r="T27">
        <v>6.77</v>
      </c>
      <c r="U27">
        <v>3.51</v>
      </c>
      <c r="V27" s="82">
        <f>(1.04)*V$11</f>
        <v>1.04</v>
      </c>
      <c r="W27" s="82">
        <f>(0.846)*W$11</f>
        <v>0.846</v>
      </c>
      <c r="X27" s="41">
        <f>(2.51)*X$11</f>
        <v>2.51</v>
      </c>
      <c r="Y27">
        <f>(8.89)*Y$11</f>
        <v>8.89</v>
      </c>
      <c r="Z27" s="82">
        <f>(3.78)*Z$11</f>
        <v>3.78</v>
      </c>
      <c r="AA27">
        <v>0.252</v>
      </c>
      <c r="AB27">
        <v>1</v>
      </c>
    </row>
    <row r="28" spans="1:28" ht="12.75">
      <c r="A28" t="s">
        <v>394</v>
      </c>
      <c r="B28" t="s">
        <v>395</v>
      </c>
      <c r="C28">
        <v>28.7</v>
      </c>
      <c r="D28" s="25">
        <f>(8.44)*$D$11</f>
        <v>8.44</v>
      </c>
      <c r="E28" s="82">
        <f t="shared" si="1"/>
        <v>8</v>
      </c>
      <c r="F28" s="82">
        <f t="shared" si="3"/>
        <v>4</v>
      </c>
      <c r="G28" s="82">
        <f>(0.75)*G$11</f>
        <v>0.75</v>
      </c>
      <c r="H28">
        <v>1.25</v>
      </c>
      <c r="I28">
        <v>1.25</v>
      </c>
      <c r="J28" s="82">
        <f>(0.949)*$J$11</f>
        <v>0.949</v>
      </c>
      <c r="K28" s="82">
        <f>(2.94)*$K$11</f>
        <v>2.94</v>
      </c>
      <c r="L28">
        <v>0.531</v>
      </c>
      <c r="M28" s="82">
        <f>(0.531)*M$11</f>
        <v>0.531</v>
      </c>
      <c r="N28" s="82">
        <f>(2.34)*N$11</f>
        <v>2.34</v>
      </c>
      <c r="O28" s="41">
        <f>(55)*$O$11</f>
        <v>55</v>
      </c>
      <c r="P28">
        <v>18.9</v>
      </c>
      <c r="Q28">
        <v>10.9</v>
      </c>
      <c r="R28" s="82">
        <f>(2.55)*R$11</f>
        <v>2.55</v>
      </c>
      <c r="S28" s="41">
        <f>(9.37)*S$11</f>
        <v>9.37</v>
      </c>
      <c r="T28">
        <v>5.82</v>
      </c>
      <c r="U28">
        <v>3.07</v>
      </c>
      <c r="V28" s="82">
        <f>(1.05)*V$11</f>
        <v>1.05</v>
      </c>
      <c r="W28" s="82">
        <f>(0.85)*W$11</f>
        <v>0.85</v>
      </c>
      <c r="X28" s="41">
        <f>(1.61)*X$11</f>
        <v>1.61</v>
      </c>
      <c r="Y28">
        <f>(5.75)*Y$11</f>
        <v>5.75</v>
      </c>
      <c r="Z28" s="82">
        <f>(3.8)*Z$11</f>
        <v>3.8</v>
      </c>
      <c r="AA28">
        <v>0.257</v>
      </c>
      <c r="AB28">
        <v>1</v>
      </c>
    </row>
    <row r="29" spans="1:28" ht="12.75">
      <c r="A29" t="s">
        <v>396</v>
      </c>
      <c r="B29" t="s">
        <v>397</v>
      </c>
      <c r="C29">
        <v>24.2</v>
      </c>
      <c r="D29" s="25">
        <f>(7.11)*$D$11</f>
        <v>7.11</v>
      </c>
      <c r="E29" s="82">
        <f t="shared" si="1"/>
        <v>8</v>
      </c>
      <c r="F29" s="82">
        <f t="shared" si="3"/>
        <v>4</v>
      </c>
      <c r="G29" s="82">
        <f>(0.625)*G$11</f>
        <v>0.625</v>
      </c>
      <c r="H29">
        <v>1.13</v>
      </c>
      <c r="I29">
        <v>1.125</v>
      </c>
      <c r="J29" s="82">
        <f>(0.902)*$J$11</f>
        <v>0.902</v>
      </c>
      <c r="K29" s="82">
        <f>(2.89)*$K$11</f>
        <v>2.89</v>
      </c>
      <c r="L29">
        <v>0.448</v>
      </c>
      <c r="M29" s="82">
        <f>(0.448)*M$11</f>
        <v>0.448</v>
      </c>
      <c r="N29" s="82">
        <f>(2.27)*N$11</f>
        <v>2.27</v>
      </c>
      <c r="O29" s="41">
        <f>(47)*$O$11</f>
        <v>47</v>
      </c>
      <c r="P29">
        <v>16.1</v>
      </c>
      <c r="Q29">
        <v>9.2</v>
      </c>
      <c r="R29" s="82">
        <f>(2.56)*R$11</f>
        <v>2.56</v>
      </c>
      <c r="S29" s="41">
        <f>(8.11)*S$11</f>
        <v>8.11</v>
      </c>
      <c r="T29">
        <v>4.86</v>
      </c>
      <c r="U29">
        <v>2.62</v>
      </c>
      <c r="V29" s="82">
        <f>(1.06)*V$11</f>
        <v>1.06</v>
      </c>
      <c r="W29" s="82">
        <f>(0.856)*W$11</f>
        <v>0.856</v>
      </c>
      <c r="X29" s="41">
        <f>(0.955)*X$11</f>
        <v>0.955</v>
      </c>
      <c r="Y29">
        <f>(3.42)*Y$11</f>
        <v>3.42</v>
      </c>
      <c r="Z29" s="82">
        <f>(3.83)*Z$11</f>
        <v>3.83</v>
      </c>
      <c r="AA29">
        <v>0.262</v>
      </c>
      <c r="AB29">
        <v>1</v>
      </c>
    </row>
    <row r="30" spans="1:28" ht="12.75">
      <c r="A30" t="s">
        <v>398</v>
      </c>
      <c r="B30" t="s">
        <v>399</v>
      </c>
      <c r="C30">
        <v>21.9</v>
      </c>
      <c r="D30" s="25">
        <f>(6.43)*$D$11</f>
        <v>6.43</v>
      </c>
      <c r="E30" s="82">
        <f t="shared" si="1"/>
        <v>8</v>
      </c>
      <c r="F30" s="82">
        <f t="shared" si="3"/>
        <v>4</v>
      </c>
      <c r="G30" s="82">
        <f>(0.5625)*G$11</f>
        <v>0.5625</v>
      </c>
      <c r="H30">
        <v>1.06</v>
      </c>
      <c r="I30">
        <v>1.0625</v>
      </c>
      <c r="J30" s="82">
        <f>(0.878)*$J$11</f>
        <v>0.878</v>
      </c>
      <c r="K30" s="82">
        <f>(2.86)*$K$11</f>
        <v>2.86</v>
      </c>
      <c r="L30">
        <v>0.405</v>
      </c>
      <c r="M30" s="82">
        <f>(0.405)*M$11</f>
        <v>0.405</v>
      </c>
      <c r="N30" s="82">
        <f>(2.23)*N$11</f>
        <v>2.23</v>
      </c>
      <c r="O30" s="41">
        <f>(42.9)*$O$11</f>
        <v>42.9</v>
      </c>
      <c r="P30">
        <v>14.6</v>
      </c>
      <c r="Q30">
        <v>8.34</v>
      </c>
      <c r="R30" s="82">
        <f>(2.57)*R$11</f>
        <v>2.57</v>
      </c>
      <c r="S30" s="41">
        <f>(7.44)*S$11</f>
        <v>7.44</v>
      </c>
      <c r="T30">
        <v>4.39</v>
      </c>
      <c r="U30">
        <v>2.38</v>
      </c>
      <c r="V30" s="82">
        <f>(1.07)*V$11</f>
        <v>1.07</v>
      </c>
      <c r="W30" s="82">
        <f>(0.859)*W$11</f>
        <v>0.859</v>
      </c>
      <c r="X30" s="41">
        <f>(0.704)*X$11</f>
        <v>0.704</v>
      </c>
      <c r="Y30">
        <f>(2.53)*Y$11</f>
        <v>2.53</v>
      </c>
      <c r="Z30" s="82">
        <f>(3.84)*Z$11</f>
        <v>3.84</v>
      </c>
      <c r="AA30">
        <v>0.264</v>
      </c>
      <c r="AB30">
        <v>0.96</v>
      </c>
    </row>
    <row r="31" spans="1:28" ht="12.75">
      <c r="A31" t="s">
        <v>400</v>
      </c>
      <c r="B31" t="s">
        <v>401</v>
      </c>
      <c r="C31">
        <v>19.6</v>
      </c>
      <c r="D31" s="25">
        <f>(5.75)*$D$11</f>
        <v>5.75</v>
      </c>
      <c r="E31" s="82">
        <f t="shared" si="1"/>
        <v>8</v>
      </c>
      <c r="F31" s="82">
        <f t="shared" si="3"/>
        <v>4</v>
      </c>
      <c r="G31" s="82">
        <f>(0.5)*G$11</f>
        <v>0.5</v>
      </c>
      <c r="H31">
        <v>1</v>
      </c>
      <c r="I31">
        <v>1</v>
      </c>
      <c r="J31" s="82">
        <f>(0.854)*$J$11</f>
        <v>0.854</v>
      </c>
      <c r="K31" s="82">
        <f>(2.84)*$K$11</f>
        <v>2.84</v>
      </c>
      <c r="L31">
        <v>0.363</v>
      </c>
      <c r="M31" s="82">
        <f>(0.363)*M$11</f>
        <v>0.363</v>
      </c>
      <c r="N31" s="82">
        <f>(2.2)*N$11</f>
        <v>2.2</v>
      </c>
      <c r="O31" s="41">
        <f>(38.6)*$O$11</f>
        <v>38.6</v>
      </c>
      <c r="P31">
        <v>13.1</v>
      </c>
      <c r="Q31">
        <v>7.48</v>
      </c>
      <c r="R31" s="82">
        <f>(2.58)*R$11</f>
        <v>2.58</v>
      </c>
      <c r="S31" s="41">
        <f>(6.75)*S$11</f>
        <v>6.75</v>
      </c>
      <c r="T31">
        <v>3.91</v>
      </c>
      <c r="U31">
        <v>2.15</v>
      </c>
      <c r="V31" s="82">
        <f>(1.08)*V$11</f>
        <v>1.08</v>
      </c>
      <c r="W31" s="82">
        <f>(0.863)*W$11</f>
        <v>0.863</v>
      </c>
      <c r="X31" s="41">
        <f>(0.501)*X$11</f>
        <v>0.501</v>
      </c>
      <c r="Y31">
        <f>(1.8)*Y$11</f>
        <v>1.8</v>
      </c>
      <c r="Z31" s="82">
        <f>(3.86)*Z$11</f>
        <v>3.86</v>
      </c>
      <c r="AA31">
        <v>0.266</v>
      </c>
      <c r="AB31">
        <v>0.91</v>
      </c>
    </row>
    <row r="32" spans="1:28" ht="12.75">
      <c r="A32" t="s">
        <v>402</v>
      </c>
      <c r="B32" t="s">
        <v>403</v>
      </c>
      <c r="C32">
        <v>17.2</v>
      </c>
      <c r="D32" s="25">
        <f>(5.06)*$D$11</f>
        <v>5.06</v>
      </c>
      <c r="E32" s="82">
        <f t="shared" si="1"/>
        <v>8</v>
      </c>
      <c r="F32" s="82">
        <f t="shared" si="3"/>
        <v>4</v>
      </c>
      <c r="G32" s="82">
        <f>(0.4375)*G$11</f>
        <v>0.4375</v>
      </c>
      <c r="H32">
        <v>0.938</v>
      </c>
      <c r="I32">
        <v>0.9375</v>
      </c>
      <c r="J32" s="82">
        <f>(0.829)*$J$11</f>
        <v>0.829</v>
      </c>
      <c r="K32" s="82">
        <f>(2.81)*$K$11</f>
        <v>2.81</v>
      </c>
      <c r="L32">
        <v>0.32</v>
      </c>
      <c r="M32" s="82">
        <f>(0.32)*M$11</f>
        <v>0.32</v>
      </c>
      <c r="N32" s="82">
        <f>(2.16)*N$11</f>
        <v>2.16</v>
      </c>
      <c r="O32" s="41">
        <f>(34.2)*$O$11</f>
        <v>34.2</v>
      </c>
      <c r="P32">
        <v>11.6</v>
      </c>
      <c r="Q32">
        <v>6.59</v>
      </c>
      <c r="R32" s="82">
        <f>(2.59)*R$11</f>
        <v>2.59</v>
      </c>
      <c r="S32" s="41">
        <f>(6.03)*S$11</f>
        <v>6.03</v>
      </c>
      <c r="T32">
        <v>3.42</v>
      </c>
      <c r="U32">
        <v>1.9</v>
      </c>
      <c r="V32" s="82">
        <f>(1.09)*V$11</f>
        <v>1.09</v>
      </c>
      <c r="W32" s="82">
        <f>(0.867)*W$11</f>
        <v>0.867</v>
      </c>
      <c r="X32" s="41">
        <f>(0.34)*X$11</f>
        <v>0.34</v>
      </c>
      <c r="Y32">
        <f>(1.22)*Y$11</f>
        <v>1.22</v>
      </c>
      <c r="Z32" s="82">
        <f>(3.87)*Z$11</f>
        <v>3.87</v>
      </c>
      <c r="AA32">
        <v>0.268</v>
      </c>
      <c r="AB32">
        <v>0.85</v>
      </c>
    </row>
    <row r="33" spans="1:28" ht="12.75">
      <c r="A33" t="s">
        <v>404</v>
      </c>
      <c r="B33" t="s">
        <v>405</v>
      </c>
      <c r="C33">
        <v>26.2</v>
      </c>
      <c r="D33" s="25">
        <f>(7.69)*$D$11</f>
        <v>7.69</v>
      </c>
      <c r="E33" s="82">
        <f>(7)*E$11</f>
        <v>7</v>
      </c>
      <c r="F33" s="82">
        <f t="shared" si="3"/>
        <v>4</v>
      </c>
      <c r="G33" s="82">
        <f>(0.75)*G$11</f>
        <v>0.75</v>
      </c>
      <c r="H33">
        <v>1.25</v>
      </c>
      <c r="I33">
        <v>1.25</v>
      </c>
      <c r="J33" s="82">
        <f>(1)*$J$11</f>
        <v>1</v>
      </c>
      <c r="K33" s="82">
        <f>(2.5)*$K$11</f>
        <v>2.5</v>
      </c>
      <c r="L33">
        <v>0.55</v>
      </c>
      <c r="M33" s="82">
        <f>(0.55)*M$11</f>
        <v>0.55</v>
      </c>
      <c r="N33" s="82">
        <f>(1.87)*N$11</f>
        <v>1.87</v>
      </c>
      <c r="O33" s="41">
        <f>(37.8)*$O$11</f>
        <v>37.8</v>
      </c>
      <c r="P33">
        <v>14.8</v>
      </c>
      <c r="Q33">
        <v>8.39</v>
      </c>
      <c r="R33" s="82">
        <f>(2.21)*R$11</f>
        <v>2.21</v>
      </c>
      <c r="S33" s="41">
        <f>(9)*S$11</f>
        <v>9</v>
      </c>
      <c r="T33">
        <v>5.6</v>
      </c>
      <c r="U33">
        <v>3.01</v>
      </c>
      <c r="V33" s="82">
        <f>(1.08)*V$11</f>
        <v>1.08</v>
      </c>
      <c r="W33" s="82">
        <f>(0.855)*W$11</f>
        <v>0.855</v>
      </c>
      <c r="X33" s="41">
        <f>(1.47)*X$11</f>
        <v>1.47</v>
      </c>
      <c r="Y33">
        <f>(3.97)*Y$11</f>
        <v>3.97</v>
      </c>
      <c r="Z33" s="82">
        <f>(3.31)*Z$11</f>
        <v>3.31</v>
      </c>
      <c r="AA33">
        <v>0.324</v>
      </c>
      <c r="AB33">
        <v>1</v>
      </c>
    </row>
    <row r="34" spans="1:28" ht="12.75">
      <c r="A34" t="s">
        <v>406</v>
      </c>
      <c r="B34" t="s">
        <v>407</v>
      </c>
      <c r="C34">
        <v>22.1</v>
      </c>
      <c r="D34" s="25">
        <f>(6.48)*$D$11</f>
        <v>6.48</v>
      </c>
      <c r="E34" s="82">
        <f>(7)*E$11</f>
        <v>7</v>
      </c>
      <c r="F34" s="82">
        <f t="shared" si="3"/>
        <v>4</v>
      </c>
      <c r="G34" s="82">
        <f>(0.625)*G$11</f>
        <v>0.625</v>
      </c>
      <c r="H34">
        <v>1.13</v>
      </c>
      <c r="I34">
        <v>1.125</v>
      </c>
      <c r="J34" s="82">
        <f>(0.958)*$J$11</f>
        <v>0.958</v>
      </c>
      <c r="K34" s="82">
        <f>(2.45)*$K$11</f>
        <v>2.45</v>
      </c>
      <c r="L34">
        <v>0.464</v>
      </c>
      <c r="M34" s="82">
        <f>(0.464)*M$11</f>
        <v>0.464</v>
      </c>
      <c r="N34" s="82">
        <f>(1.8)*N$11</f>
        <v>1.8</v>
      </c>
      <c r="O34" s="41">
        <f>(32.4)*$O$11</f>
        <v>32.4</v>
      </c>
      <c r="P34">
        <v>12.5</v>
      </c>
      <c r="Q34">
        <v>7.12</v>
      </c>
      <c r="R34" s="82">
        <f>(2.23)*R$11</f>
        <v>2.23</v>
      </c>
      <c r="S34" s="41">
        <f>(7.79)*S$11</f>
        <v>7.79</v>
      </c>
      <c r="T34">
        <v>4.69</v>
      </c>
      <c r="U34">
        <v>2.56</v>
      </c>
      <c r="V34" s="82">
        <f>(1.1)*V$11</f>
        <v>1.1</v>
      </c>
      <c r="W34" s="82">
        <f>(0.86)*W$11</f>
        <v>0.86</v>
      </c>
      <c r="X34" s="41">
        <f>(0.868)*X$11</f>
        <v>0.868</v>
      </c>
      <c r="Y34">
        <f>(2.37)*Y$11</f>
        <v>2.37</v>
      </c>
      <c r="Z34" s="82">
        <f>(3.34)*Z$11</f>
        <v>3.34</v>
      </c>
      <c r="AA34">
        <v>0.329</v>
      </c>
      <c r="AB34">
        <v>1</v>
      </c>
    </row>
    <row r="35" spans="1:28" ht="12.75">
      <c r="A35" t="s">
        <v>408</v>
      </c>
      <c r="B35" t="s">
        <v>409</v>
      </c>
      <c r="C35">
        <v>17.9</v>
      </c>
      <c r="D35" s="25">
        <f>(5.25)*$D$11</f>
        <v>5.25</v>
      </c>
      <c r="E35" s="82">
        <f>(7)*E$11</f>
        <v>7</v>
      </c>
      <c r="F35" s="82">
        <f t="shared" si="3"/>
        <v>4</v>
      </c>
      <c r="G35" s="82">
        <f>(0.5)*G$11</f>
        <v>0.5</v>
      </c>
      <c r="H35">
        <v>1</v>
      </c>
      <c r="I35">
        <v>1</v>
      </c>
      <c r="J35" s="82">
        <f>(0.91)*$J$11</f>
        <v>0.91</v>
      </c>
      <c r="K35" s="82">
        <f>(2.4)*$K$11</f>
        <v>2.4</v>
      </c>
      <c r="L35">
        <v>0.376</v>
      </c>
      <c r="M35" s="82">
        <f>(0.376)*M$11</f>
        <v>0.376</v>
      </c>
      <c r="N35" s="82">
        <f>(1.74)*N$11</f>
        <v>1.74</v>
      </c>
      <c r="O35" s="41">
        <f>(26.6)*$O$11</f>
        <v>26.6</v>
      </c>
      <c r="P35">
        <v>10.2</v>
      </c>
      <c r="Q35">
        <v>5.79</v>
      </c>
      <c r="R35" s="82">
        <f>(2.25)*R$11</f>
        <v>2.25</v>
      </c>
      <c r="S35" s="41">
        <f>(6.48)*S$11</f>
        <v>6.48</v>
      </c>
      <c r="T35">
        <v>3.77</v>
      </c>
      <c r="U35">
        <v>2.1</v>
      </c>
      <c r="V35" s="82">
        <f>(1.11)*V$11</f>
        <v>1.11</v>
      </c>
      <c r="W35" s="82">
        <f>(0.866)*W$11</f>
        <v>0.866</v>
      </c>
      <c r="X35" s="41">
        <f>(0.456)*X$11</f>
        <v>0.456</v>
      </c>
      <c r="Y35">
        <f>(1.25)*Y$11</f>
        <v>1.25</v>
      </c>
      <c r="Z35" s="82">
        <f>(3.37)*Z$11</f>
        <v>3.37</v>
      </c>
      <c r="AA35">
        <v>0.334</v>
      </c>
      <c r="AB35">
        <v>0.97</v>
      </c>
    </row>
    <row r="36" spans="1:28" ht="12.75">
      <c r="A36" t="s">
        <v>410</v>
      </c>
      <c r="B36" t="s">
        <v>411</v>
      </c>
      <c r="C36">
        <v>15.7</v>
      </c>
      <c r="D36" s="25">
        <f>(4.62)*$D$11</f>
        <v>4.62</v>
      </c>
      <c r="E36" s="82">
        <f>(7)*E$11</f>
        <v>7</v>
      </c>
      <c r="F36" s="82">
        <f t="shared" si="3"/>
        <v>4</v>
      </c>
      <c r="G36" s="82">
        <f>(0.4375)*G$11</f>
        <v>0.4375</v>
      </c>
      <c r="H36">
        <v>0.938</v>
      </c>
      <c r="I36">
        <v>0.9375</v>
      </c>
      <c r="J36" s="82">
        <f>(0.886)*$J$11</f>
        <v>0.886</v>
      </c>
      <c r="K36" s="82">
        <f>(2.38)*$K$11</f>
        <v>2.38</v>
      </c>
      <c r="L36">
        <v>0.331</v>
      </c>
      <c r="M36" s="82">
        <f>(0.331)*M$11</f>
        <v>0.331</v>
      </c>
      <c r="N36" s="82">
        <f>(1.7)*N$11</f>
        <v>1.7</v>
      </c>
      <c r="O36" s="41">
        <f>(23.6)*$O$11</f>
        <v>23.6</v>
      </c>
      <c r="P36">
        <v>9.03</v>
      </c>
      <c r="Q36">
        <v>5.11</v>
      </c>
      <c r="R36" s="82">
        <f>(2.26)*R$11</f>
        <v>2.26</v>
      </c>
      <c r="S36" s="41">
        <f>(5.79)*S$11</f>
        <v>5.79</v>
      </c>
      <c r="T36">
        <v>3.31</v>
      </c>
      <c r="U36">
        <v>1.86</v>
      </c>
      <c r="V36" s="82">
        <f>(1.12)*V$11</f>
        <v>1.12</v>
      </c>
      <c r="W36" s="82">
        <f>(0.869)*W$11</f>
        <v>0.869</v>
      </c>
      <c r="X36" s="41">
        <f>(0.31)*X$11</f>
        <v>0.31</v>
      </c>
      <c r="Y36">
        <f>(0.851)*Y$11</f>
        <v>0.851</v>
      </c>
      <c r="Z36" s="82">
        <f>(3.38)*Z$11</f>
        <v>3.38</v>
      </c>
      <c r="AA36">
        <v>0.337</v>
      </c>
      <c r="AB36">
        <v>0.91</v>
      </c>
    </row>
    <row r="37" spans="1:28" ht="12.75">
      <c r="A37" t="s">
        <v>412</v>
      </c>
      <c r="B37" t="s">
        <v>413</v>
      </c>
      <c r="C37">
        <v>13.6</v>
      </c>
      <c r="D37" s="25">
        <f>(3.98)*$D$11</f>
        <v>3.98</v>
      </c>
      <c r="E37" s="82">
        <f>(7)*E$11</f>
        <v>7</v>
      </c>
      <c r="F37" s="82">
        <f t="shared" si="3"/>
        <v>4</v>
      </c>
      <c r="G37" s="82">
        <f>(0.375)*G$11</f>
        <v>0.375</v>
      </c>
      <c r="H37">
        <v>0.875</v>
      </c>
      <c r="I37">
        <v>0.875</v>
      </c>
      <c r="J37" s="82">
        <f>(0.861)*$J$11</f>
        <v>0.861</v>
      </c>
      <c r="K37" s="82">
        <f>(2.35)*$K$11</f>
        <v>2.35</v>
      </c>
      <c r="L37">
        <v>0.286</v>
      </c>
      <c r="M37" s="82">
        <f>(0.286)*M$11</f>
        <v>0.286</v>
      </c>
      <c r="N37" s="82">
        <f>(1.67)*N$11</f>
        <v>1.67</v>
      </c>
      <c r="O37" s="41">
        <f>(20.5)*$O$11</f>
        <v>20.5</v>
      </c>
      <c r="P37">
        <v>7.81</v>
      </c>
      <c r="Q37">
        <v>4.42</v>
      </c>
      <c r="R37" s="82">
        <f>(2.27)*R$11</f>
        <v>2.27</v>
      </c>
      <c r="S37" s="41">
        <f>(5.06)*S$11</f>
        <v>5.06</v>
      </c>
      <c r="T37">
        <v>2.84</v>
      </c>
      <c r="U37">
        <v>1.61</v>
      </c>
      <c r="V37" s="82">
        <f>(1.12)*V$11</f>
        <v>1.12</v>
      </c>
      <c r="W37" s="82">
        <f>(0.873)*W$11</f>
        <v>0.873</v>
      </c>
      <c r="X37" s="41">
        <f>(0.198)*X$11</f>
        <v>0.198</v>
      </c>
      <c r="Y37">
        <f>(0.544)*Y$11</f>
        <v>0.544</v>
      </c>
      <c r="Z37" s="82">
        <f>(3.4)*Z$11</f>
        <v>3.4</v>
      </c>
      <c r="AA37">
        <v>0.339</v>
      </c>
      <c r="AB37">
        <v>0.84</v>
      </c>
    </row>
    <row r="38" spans="1:28" ht="12.75">
      <c r="A38" t="s">
        <v>414</v>
      </c>
      <c r="B38" t="s">
        <v>415</v>
      </c>
      <c r="C38">
        <v>37.4</v>
      </c>
      <c r="D38" s="25">
        <f>(11)*$D$11</f>
        <v>11</v>
      </c>
      <c r="E38" s="82">
        <f aca="true" t="shared" si="4" ref="E38:F46">(6)*E$11</f>
        <v>6</v>
      </c>
      <c r="F38" s="82">
        <f t="shared" si="4"/>
        <v>6</v>
      </c>
      <c r="G38" s="82">
        <f>(1)*G$11</f>
        <v>1</v>
      </c>
      <c r="H38">
        <v>1.5</v>
      </c>
      <c r="I38">
        <v>1.5</v>
      </c>
      <c r="J38" s="82">
        <f>(1.86)*$J$11</f>
        <v>1.86</v>
      </c>
      <c r="K38" s="82">
        <f>(1.86)*$K$11</f>
        <v>1.86</v>
      </c>
      <c r="L38">
        <v>0.918</v>
      </c>
      <c r="M38" s="82">
        <f>(0.918)*M$11</f>
        <v>0.918</v>
      </c>
      <c r="N38" s="82">
        <f>(0.918)*N$11</f>
        <v>0.918</v>
      </c>
      <c r="O38" s="41">
        <f>(35.4)*$O$11</f>
        <v>35.4</v>
      </c>
      <c r="P38">
        <v>15.4</v>
      </c>
      <c r="Q38">
        <v>8.55</v>
      </c>
      <c r="R38" s="82">
        <f>(1.79)*R$11</f>
        <v>1.79</v>
      </c>
      <c r="S38" s="41">
        <f>(35.4)*S$11</f>
        <v>35.4</v>
      </c>
      <c r="T38">
        <v>15.4</v>
      </c>
      <c r="U38">
        <v>8.55</v>
      </c>
      <c r="V38" s="82">
        <f>(1.79)*V$11</f>
        <v>1.79</v>
      </c>
      <c r="W38" s="82">
        <f>(1.17)*W$11</f>
        <v>1.17</v>
      </c>
      <c r="X38" s="41">
        <f>(3.68)*X$11</f>
        <v>3.68</v>
      </c>
      <c r="Y38">
        <f>(9.24)*Y$11</f>
        <v>9.24</v>
      </c>
      <c r="Z38" s="82">
        <f>(3.18)*Z$11</f>
        <v>3.18</v>
      </c>
      <c r="AA38">
        <v>1</v>
      </c>
      <c r="AB38">
        <v>1</v>
      </c>
    </row>
    <row r="39" spans="1:28" ht="12.75">
      <c r="A39" t="s">
        <v>416</v>
      </c>
      <c r="B39" t="s">
        <v>417</v>
      </c>
      <c r="C39">
        <v>33.1</v>
      </c>
      <c r="D39" s="25">
        <f>(9.75)*$D$11</f>
        <v>9.75</v>
      </c>
      <c r="E39" s="82">
        <f t="shared" si="4"/>
        <v>6</v>
      </c>
      <c r="F39" s="82">
        <f t="shared" si="4"/>
        <v>6</v>
      </c>
      <c r="G39" s="82">
        <f>(0.875)*G$11</f>
        <v>0.875</v>
      </c>
      <c r="H39">
        <v>1.38</v>
      </c>
      <c r="I39">
        <v>1.375</v>
      </c>
      <c r="J39" s="82">
        <f>(1.81)*$J$11</f>
        <v>1.81</v>
      </c>
      <c r="K39" s="82">
        <f>(1.81)*$K$11</f>
        <v>1.81</v>
      </c>
      <c r="L39">
        <v>0.813</v>
      </c>
      <c r="M39" s="82">
        <f>(0.813)*M$11</f>
        <v>0.813</v>
      </c>
      <c r="N39" s="82">
        <f>(0.813)*N$11</f>
        <v>0.813</v>
      </c>
      <c r="O39" s="41">
        <f>(31.9)*$O$11</f>
        <v>31.9</v>
      </c>
      <c r="P39">
        <v>13.7</v>
      </c>
      <c r="Q39">
        <v>7.61</v>
      </c>
      <c r="R39" s="82">
        <f>(1.81)*R$11</f>
        <v>1.81</v>
      </c>
      <c r="S39" s="41">
        <f>(31.9)*S$11</f>
        <v>31.9</v>
      </c>
      <c r="T39">
        <v>13.7</v>
      </c>
      <c r="U39">
        <v>7.61</v>
      </c>
      <c r="V39" s="82">
        <f>(1.81)*V$11</f>
        <v>1.81</v>
      </c>
      <c r="W39" s="82">
        <f>(1.17)*W$11</f>
        <v>1.17</v>
      </c>
      <c r="X39" s="41">
        <f>(2.51)*X$11</f>
        <v>2.51</v>
      </c>
      <c r="Y39">
        <f>(6.41)*Y$11</f>
        <v>6.41</v>
      </c>
      <c r="Z39" s="82">
        <f>(3.21)*Z$11</f>
        <v>3.21</v>
      </c>
      <c r="AA39">
        <v>1</v>
      </c>
      <c r="AB39">
        <v>1</v>
      </c>
    </row>
    <row r="40" spans="1:28" ht="12.75">
      <c r="A40" t="s">
        <v>418</v>
      </c>
      <c r="B40" t="s">
        <v>419</v>
      </c>
      <c r="C40">
        <v>28.7</v>
      </c>
      <c r="D40" s="25">
        <f>(8.46)*$D$11</f>
        <v>8.46</v>
      </c>
      <c r="E40" s="82">
        <f t="shared" si="4"/>
        <v>6</v>
      </c>
      <c r="F40" s="82">
        <f t="shared" si="4"/>
        <v>6</v>
      </c>
      <c r="G40" s="82">
        <f>(0.75)*G$11</f>
        <v>0.75</v>
      </c>
      <c r="H40">
        <v>1.25</v>
      </c>
      <c r="I40">
        <v>1.25</v>
      </c>
      <c r="J40" s="82">
        <f>(1.77)*$J$11</f>
        <v>1.77</v>
      </c>
      <c r="K40" s="82">
        <f>(1.77)*$K$11</f>
        <v>1.77</v>
      </c>
      <c r="L40">
        <v>0.705</v>
      </c>
      <c r="M40" s="82">
        <f>(0.705)*M$11</f>
        <v>0.705</v>
      </c>
      <c r="N40" s="82">
        <f>(0.705)*N$11</f>
        <v>0.705</v>
      </c>
      <c r="O40" s="41">
        <f>(28.1)*$O$11</f>
        <v>28.1</v>
      </c>
      <c r="P40">
        <v>11.9</v>
      </c>
      <c r="Q40">
        <v>6.64</v>
      </c>
      <c r="R40" s="82">
        <f>(1.82)*R$11</f>
        <v>1.82</v>
      </c>
      <c r="S40" s="41">
        <f>(28.1)*S$11</f>
        <v>28.1</v>
      </c>
      <c r="T40">
        <v>11.9</v>
      </c>
      <c r="U40">
        <v>6.64</v>
      </c>
      <c r="V40" s="82">
        <f>(1.82)*V$11</f>
        <v>1.82</v>
      </c>
      <c r="W40" s="82">
        <f>(1.17)*W$11</f>
        <v>1.17</v>
      </c>
      <c r="X40" s="41">
        <f>(1.61)*X$11</f>
        <v>1.61</v>
      </c>
      <c r="Y40">
        <f>(4.17)*Y$11</f>
        <v>4.17</v>
      </c>
      <c r="Z40" s="82">
        <f>(3.24)*Z$11</f>
        <v>3.24</v>
      </c>
      <c r="AA40">
        <v>1</v>
      </c>
      <c r="AB40">
        <v>1</v>
      </c>
    </row>
    <row r="41" spans="1:28" ht="12.75">
      <c r="A41" t="s">
        <v>420</v>
      </c>
      <c r="B41" t="s">
        <v>421</v>
      </c>
      <c r="C41">
        <v>24.2</v>
      </c>
      <c r="D41" s="25">
        <f>(7.13)*$D$11</f>
        <v>7.13</v>
      </c>
      <c r="E41" s="82">
        <f t="shared" si="4"/>
        <v>6</v>
      </c>
      <c r="F41" s="82">
        <f t="shared" si="4"/>
        <v>6</v>
      </c>
      <c r="G41" s="82">
        <f>(0.625)*G$11</f>
        <v>0.625</v>
      </c>
      <c r="H41">
        <v>1.13</v>
      </c>
      <c r="I41">
        <v>1.125</v>
      </c>
      <c r="J41" s="82">
        <f>(1.72)*$J$11</f>
        <v>1.72</v>
      </c>
      <c r="K41" s="82">
        <f>(1.72)*$K$11</f>
        <v>1.72</v>
      </c>
      <c r="L41">
        <v>0.594</v>
      </c>
      <c r="M41" s="82">
        <f>(0.594)*M$11</f>
        <v>0.594</v>
      </c>
      <c r="N41" s="82">
        <f>(0.594)*N$11</f>
        <v>0.594</v>
      </c>
      <c r="O41" s="41">
        <f>(24.1)*$O$11</f>
        <v>24.1</v>
      </c>
      <c r="P41">
        <v>10.1</v>
      </c>
      <c r="Q41">
        <v>5.64</v>
      </c>
      <c r="R41" s="82">
        <f>(1.84)*R$11</f>
        <v>1.84</v>
      </c>
      <c r="S41" s="41">
        <f>(24.1)*S$11</f>
        <v>24.1</v>
      </c>
      <c r="T41">
        <v>10.1</v>
      </c>
      <c r="U41">
        <v>5.64</v>
      </c>
      <c r="V41" s="82">
        <f>(1.84)*V$11</f>
        <v>1.84</v>
      </c>
      <c r="W41" s="82">
        <f>(1.17)*W$11</f>
        <v>1.17</v>
      </c>
      <c r="X41" s="41">
        <f>(0.955)*X$11</f>
        <v>0.955</v>
      </c>
      <c r="Y41">
        <f>(2.5)*Y$11</f>
        <v>2.5</v>
      </c>
      <c r="Z41" s="82">
        <f>(3.28)*Z$11</f>
        <v>3.28</v>
      </c>
      <c r="AA41">
        <v>1</v>
      </c>
      <c r="AB41">
        <v>1</v>
      </c>
    </row>
    <row r="42" spans="1:28" ht="12.75">
      <c r="A42" t="s">
        <v>422</v>
      </c>
      <c r="B42" t="s">
        <v>423</v>
      </c>
      <c r="C42">
        <v>21.9</v>
      </c>
      <c r="D42" s="25">
        <f>(6.45)*$D$11</f>
        <v>6.45</v>
      </c>
      <c r="E42" s="82">
        <f t="shared" si="4"/>
        <v>6</v>
      </c>
      <c r="F42" s="82">
        <f t="shared" si="4"/>
        <v>6</v>
      </c>
      <c r="G42" s="82">
        <f>(0.5625)*G$11</f>
        <v>0.5625</v>
      </c>
      <c r="H42">
        <v>1.06</v>
      </c>
      <c r="I42">
        <v>1.0625</v>
      </c>
      <c r="J42" s="82">
        <f>(1.7)*$J$11</f>
        <v>1.7</v>
      </c>
      <c r="K42" s="82">
        <f>(1.7)*$K$11</f>
        <v>1.7</v>
      </c>
      <c r="L42">
        <v>0.538</v>
      </c>
      <c r="M42" s="82">
        <f>(0.538)*M$11</f>
        <v>0.538</v>
      </c>
      <c r="N42" s="82">
        <f>(0.538)*N$11</f>
        <v>0.538</v>
      </c>
      <c r="O42" s="41">
        <f>(22)*$O$11</f>
        <v>22</v>
      </c>
      <c r="P42">
        <v>9.18</v>
      </c>
      <c r="Q42">
        <v>5.12</v>
      </c>
      <c r="R42" s="82">
        <f>(1.85)*R$11</f>
        <v>1.85</v>
      </c>
      <c r="S42" s="41">
        <f>(22)*S$11</f>
        <v>22</v>
      </c>
      <c r="T42">
        <v>9.17</v>
      </c>
      <c r="U42">
        <v>5.12</v>
      </c>
      <c r="V42" s="82">
        <f>(1.85)*V$11</f>
        <v>1.85</v>
      </c>
      <c r="W42" s="82">
        <f>(1.18)*W$11</f>
        <v>1.18</v>
      </c>
      <c r="X42" s="41">
        <f>(0.704)*X$11</f>
        <v>0.704</v>
      </c>
      <c r="Y42">
        <f>(1.85)*Y$11</f>
        <v>1.85</v>
      </c>
      <c r="Z42" s="82">
        <f>(3.29)*Z$11</f>
        <v>3.29</v>
      </c>
      <c r="AA42">
        <v>1</v>
      </c>
      <c r="AB42">
        <v>1</v>
      </c>
    </row>
    <row r="43" spans="1:28" ht="12.75">
      <c r="A43" t="s">
        <v>424</v>
      </c>
      <c r="B43" t="s">
        <v>425</v>
      </c>
      <c r="C43">
        <v>19.6</v>
      </c>
      <c r="D43" s="25">
        <f>(5.77)*$D$11</f>
        <v>5.77</v>
      </c>
      <c r="E43" s="82">
        <f t="shared" si="4"/>
        <v>6</v>
      </c>
      <c r="F43" s="82">
        <f t="shared" si="4"/>
        <v>6</v>
      </c>
      <c r="G43" s="82">
        <f>(0.5)*G$11</f>
        <v>0.5</v>
      </c>
      <c r="H43">
        <v>1</v>
      </c>
      <c r="I43">
        <v>1</v>
      </c>
      <c r="J43" s="82">
        <f>(1.67)*$J$11</f>
        <v>1.67</v>
      </c>
      <c r="K43" s="82">
        <f>(1.67)*$K$11</f>
        <v>1.67</v>
      </c>
      <c r="L43">
        <v>0.481</v>
      </c>
      <c r="M43" s="82">
        <f>(0.481)*M$11</f>
        <v>0.481</v>
      </c>
      <c r="N43" s="82">
        <f>(0.481)*N$11</f>
        <v>0.481</v>
      </c>
      <c r="O43" s="41">
        <f>(19.9)*$O$11</f>
        <v>19.9</v>
      </c>
      <c r="P43">
        <v>8.22</v>
      </c>
      <c r="Q43">
        <v>4.59</v>
      </c>
      <c r="R43" s="82">
        <f>(1.86)*R$11</f>
        <v>1.86</v>
      </c>
      <c r="S43" s="41">
        <f>(19.9)*S$11</f>
        <v>19.9</v>
      </c>
      <c r="T43">
        <v>8.22</v>
      </c>
      <c r="U43">
        <v>4.59</v>
      </c>
      <c r="V43" s="82">
        <f>(1.86)*V$11</f>
        <v>1.86</v>
      </c>
      <c r="W43" s="82">
        <f>(1.18)*W$11</f>
        <v>1.18</v>
      </c>
      <c r="X43" s="41">
        <f>(0.501)*X$11</f>
        <v>0.501</v>
      </c>
      <c r="Y43">
        <f>(1.32)*Y$11</f>
        <v>1.32</v>
      </c>
      <c r="Z43" s="82">
        <f>(3.31)*Z$11</f>
        <v>3.31</v>
      </c>
      <c r="AA43">
        <v>1</v>
      </c>
      <c r="AB43">
        <v>1</v>
      </c>
    </row>
    <row r="44" spans="1:28" ht="12.75">
      <c r="A44" t="s">
        <v>426</v>
      </c>
      <c r="B44" t="s">
        <v>427</v>
      </c>
      <c r="C44">
        <v>17.2</v>
      </c>
      <c r="D44" s="25">
        <f>(5.08)*$D$11</f>
        <v>5.08</v>
      </c>
      <c r="E44" s="82">
        <f t="shared" si="4"/>
        <v>6</v>
      </c>
      <c r="F44" s="82">
        <f t="shared" si="4"/>
        <v>6</v>
      </c>
      <c r="G44" s="82">
        <f>(0.4375)*G$11</f>
        <v>0.4375</v>
      </c>
      <c r="H44">
        <v>0.938</v>
      </c>
      <c r="I44">
        <v>0.9375</v>
      </c>
      <c r="J44" s="82">
        <f>(1.65)*$J$11</f>
        <v>1.65</v>
      </c>
      <c r="K44" s="82">
        <f>(1.65)*$K$11</f>
        <v>1.65</v>
      </c>
      <c r="L44">
        <v>0.423</v>
      </c>
      <c r="M44" s="82">
        <f>(0.423)*M$11</f>
        <v>0.423</v>
      </c>
      <c r="N44" s="82">
        <f>(0.423)*N$11</f>
        <v>0.423</v>
      </c>
      <c r="O44" s="41">
        <f>(17.6)*$O$11</f>
        <v>17.6</v>
      </c>
      <c r="P44">
        <v>7.25</v>
      </c>
      <c r="Q44">
        <v>4.06</v>
      </c>
      <c r="R44" s="82">
        <f>(1.86)*R$11</f>
        <v>1.86</v>
      </c>
      <c r="S44" s="41">
        <f>(17.6)*S$11</f>
        <v>17.6</v>
      </c>
      <c r="T44">
        <v>7.25</v>
      </c>
      <c r="U44">
        <v>4.06</v>
      </c>
      <c r="V44" s="82">
        <f>(1.86)*V$11</f>
        <v>1.86</v>
      </c>
      <c r="W44" s="82">
        <f>(1.18)*W$11</f>
        <v>1.18</v>
      </c>
      <c r="X44" s="41">
        <f>(0.34)*X$11</f>
        <v>0.34</v>
      </c>
      <c r="Y44">
        <f>(0.899)*Y$11</f>
        <v>0.899</v>
      </c>
      <c r="Z44" s="82">
        <f>(3.32)*Z$11</f>
        <v>3.32</v>
      </c>
      <c r="AA44">
        <v>1</v>
      </c>
      <c r="AB44">
        <v>0.97</v>
      </c>
    </row>
    <row r="45" spans="1:28" ht="12.75">
      <c r="A45" t="s">
        <v>428</v>
      </c>
      <c r="B45" t="s">
        <v>429</v>
      </c>
      <c r="C45">
        <v>14.9</v>
      </c>
      <c r="D45" s="25">
        <f>(4.38)*$D$11</f>
        <v>4.38</v>
      </c>
      <c r="E45" s="82">
        <f t="shared" si="4"/>
        <v>6</v>
      </c>
      <c r="F45" s="82">
        <f t="shared" si="4"/>
        <v>6</v>
      </c>
      <c r="G45" s="82">
        <f>(0.375)*G$11</f>
        <v>0.375</v>
      </c>
      <c r="H45">
        <v>0.875</v>
      </c>
      <c r="I45">
        <v>0.875</v>
      </c>
      <c r="J45" s="82">
        <f>(1.62)*$J$11</f>
        <v>1.62</v>
      </c>
      <c r="K45" s="82">
        <f>(1.62)*$K$11</f>
        <v>1.62</v>
      </c>
      <c r="L45">
        <v>0.365</v>
      </c>
      <c r="M45" s="82">
        <f>(0.365)*M$11</f>
        <v>0.365</v>
      </c>
      <c r="N45" s="82">
        <f>(0.365)*N$11</f>
        <v>0.365</v>
      </c>
      <c r="O45" s="41">
        <f>(15.4)*$O$11</f>
        <v>15.4</v>
      </c>
      <c r="P45">
        <v>6.27</v>
      </c>
      <c r="Q45">
        <v>3.51</v>
      </c>
      <c r="R45" s="82">
        <f>(1.87)*R$11</f>
        <v>1.87</v>
      </c>
      <c r="S45" s="41">
        <f>(15.4)*S$11</f>
        <v>15.4</v>
      </c>
      <c r="T45">
        <v>6.26</v>
      </c>
      <c r="U45">
        <v>3.51</v>
      </c>
      <c r="V45" s="82">
        <f>(1.87)*V$11</f>
        <v>1.87</v>
      </c>
      <c r="W45" s="82">
        <f>(1.19)*W$11</f>
        <v>1.19</v>
      </c>
      <c r="X45" s="41">
        <f>(0.218)*X$11</f>
        <v>0.218</v>
      </c>
      <c r="Y45">
        <f>(0.575)*Y$11</f>
        <v>0.575</v>
      </c>
      <c r="Z45" s="82">
        <f>(3.34)*Z$11</f>
        <v>3.34</v>
      </c>
      <c r="AA45">
        <v>1</v>
      </c>
      <c r="AB45">
        <v>0.91</v>
      </c>
    </row>
    <row r="46" spans="1:28" ht="12.75">
      <c r="A46" t="s">
        <v>430</v>
      </c>
      <c r="B46" t="s">
        <v>431</v>
      </c>
      <c r="C46">
        <v>12.4</v>
      </c>
      <c r="D46" s="25">
        <f>(3.67)*$D$11</f>
        <v>3.67</v>
      </c>
      <c r="E46" s="82">
        <f t="shared" si="4"/>
        <v>6</v>
      </c>
      <c r="F46" s="82">
        <f t="shared" si="4"/>
        <v>6</v>
      </c>
      <c r="G46" s="82">
        <f>(0.3125)*G$11</f>
        <v>0.3125</v>
      </c>
      <c r="H46">
        <v>0.813</v>
      </c>
      <c r="I46">
        <v>0.8125</v>
      </c>
      <c r="J46" s="82">
        <f>(1.6)*$J$11</f>
        <v>1.6</v>
      </c>
      <c r="K46" s="82">
        <f>(1.6)*$K$11</f>
        <v>1.6</v>
      </c>
      <c r="L46">
        <v>0.306</v>
      </c>
      <c r="M46" s="82">
        <f>(0.306)*M$11</f>
        <v>0.306</v>
      </c>
      <c r="N46" s="82">
        <f>(0.306)*N$11</f>
        <v>0.306</v>
      </c>
      <c r="O46" s="41">
        <f>(13)*$O$11</f>
        <v>13</v>
      </c>
      <c r="P46">
        <v>5.26</v>
      </c>
      <c r="Q46">
        <v>2.95</v>
      </c>
      <c r="R46" s="82">
        <f>(1.88)*R$11</f>
        <v>1.88</v>
      </c>
      <c r="S46" s="41">
        <f>(13)*S$11</f>
        <v>13</v>
      </c>
      <c r="T46">
        <v>5.26</v>
      </c>
      <c r="U46">
        <v>2.95</v>
      </c>
      <c r="V46" s="82">
        <f>(1.88)*V$11</f>
        <v>1.88</v>
      </c>
      <c r="W46" s="82">
        <f>(1.19)*W$11</f>
        <v>1.19</v>
      </c>
      <c r="X46" s="41">
        <f>(0.129)*X$11</f>
        <v>0.129</v>
      </c>
      <c r="Y46">
        <f>(0.338)*Y$11</f>
        <v>0.338</v>
      </c>
      <c r="Z46" s="82">
        <f>(3.35)*Z$11</f>
        <v>3.35</v>
      </c>
      <c r="AA46">
        <v>1</v>
      </c>
      <c r="AB46">
        <v>0.83</v>
      </c>
    </row>
    <row r="47" spans="1:28" ht="12.75">
      <c r="A47" t="s">
        <v>432</v>
      </c>
      <c r="B47" t="s">
        <v>433</v>
      </c>
      <c r="C47">
        <v>27.2</v>
      </c>
      <c r="D47" s="25">
        <f>(7.98)*$D$11</f>
        <v>7.98</v>
      </c>
      <c r="E47" s="82">
        <f aca="true" t="shared" si="5" ref="E47:E57">(6)*E$11</f>
        <v>6</v>
      </c>
      <c r="F47" s="82">
        <f aca="true" t="shared" si="6" ref="F47:F54">(4)*F$11</f>
        <v>4</v>
      </c>
      <c r="G47" s="82">
        <f>(0.875)*G$11</f>
        <v>0.875</v>
      </c>
      <c r="H47">
        <v>1.38</v>
      </c>
      <c r="I47">
        <v>1.375</v>
      </c>
      <c r="J47" s="82">
        <f>(1.12)*$J$11</f>
        <v>1.12</v>
      </c>
      <c r="K47" s="82">
        <f>(2.12)*$K$11</f>
        <v>2.12</v>
      </c>
      <c r="L47">
        <v>0.665</v>
      </c>
      <c r="M47" s="82">
        <f>(0.665)*M$11</f>
        <v>0.665</v>
      </c>
      <c r="N47" s="82">
        <f>(1.44)*N$11</f>
        <v>1.44</v>
      </c>
      <c r="O47" s="41">
        <f>(27.7)*$O$11</f>
        <v>27.7</v>
      </c>
      <c r="P47">
        <v>12.7</v>
      </c>
      <c r="Q47">
        <v>7.13</v>
      </c>
      <c r="R47" s="82">
        <f>(1.86)*R$11</f>
        <v>1.86</v>
      </c>
      <c r="S47" s="41">
        <f>(9.7)*S$11</f>
        <v>9.7</v>
      </c>
      <c r="T47">
        <v>6.26</v>
      </c>
      <c r="U47">
        <v>3.37</v>
      </c>
      <c r="V47" s="82">
        <f>(1.1)*V$11</f>
        <v>1.1</v>
      </c>
      <c r="W47" s="82">
        <f>(0.854)*W$11</f>
        <v>0.854</v>
      </c>
      <c r="X47" s="41">
        <f>(2.03)*X$11</f>
        <v>2.03</v>
      </c>
      <c r="Y47">
        <f>(4.04)*Y$11</f>
        <v>4.04</v>
      </c>
      <c r="Z47" s="82">
        <f>(2.82)*Z$11</f>
        <v>2.82</v>
      </c>
      <c r="AA47">
        <v>0.421</v>
      </c>
      <c r="AB47">
        <v>1</v>
      </c>
    </row>
    <row r="48" spans="1:28" ht="12.75">
      <c r="A48" t="s">
        <v>434</v>
      </c>
      <c r="B48" t="s">
        <v>435</v>
      </c>
      <c r="C48">
        <v>23.6</v>
      </c>
      <c r="D48" s="25">
        <f>(6.94)*$D$11</f>
        <v>6.94</v>
      </c>
      <c r="E48" s="82">
        <f t="shared" si="5"/>
        <v>6</v>
      </c>
      <c r="F48" s="82">
        <f t="shared" si="6"/>
        <v>4</v>
      </c>
      <c r="G48" s="82">
        <f>(0.75)*G$11</f>
        <v>0.75</v>
      </c>
      <c r="H48">
        <v>1.25</v>
      </c>
      <c r="I48">
        <v>1.25</v>
      </c>
      <c r="J48" s="82">
        <f>(1.07)*$J$11</f>
        <v>1.07</v>
      </c>
      <c r="K48" s="82">
        <f>(2.07)*$K$11</f>
        <v>2.07</v>
      </c>
      <c r="L48">
        <v>0.578</v>
      </c>
      <c r="M48" s="82">
        <f>(0.578)*M$11</f>
        <v>0.578</v>
      </c>
      <c r="N48" s="82">
        <f>(1.38)*N$11</f>
        <v>1.38</v>
      </c>
      <c r="O48" s="41">
        <f>(24.5)*$O$11</f>
        <v>24.5</v>
      </c>
      <c r="P48">
        <v>11.1</v>
      </c>
      <c r="Q48">
        <v>6.23</v>
      </c>
      <c r="R48" s="82">
        <f>(1.88)*R$11</f>
        <v>1.88</v>
      </c>
      <c r="S48" s="41">
        <f>(8.63)*S$11</f>
        <v>8.63</v>
      </c>
      <c r="T48">
        <v>5.42</v>
      </c>
      <c r="U48">
        <v>2.95</v>
      </c>
      <c r="V48" s="82">
        <f>(1.12)*V$11</f>
        <v>1.12</v>
      </c>
      <c r="W48" s="82">
        <f>(0.856)*W$11</f>
        <v>0.856</v>
      </c>
      <c r="X48" s="41">
        <f>(1.31)*X$11</f>
        <v>1.31</v>
      </c>
      <c r="Y48">
        <f>(2.64)*Y$11</f>
        <v>2.64</v>
      </c>
      <c r="Z48" s="82">
        <f>(2.85)*Z$11</f>
        <v>2.85</v>
      </c>
      <c r="AA48">
        <v>0.428</v>
      </c>
      <c r="AB48">
        <v>1</v>
      </c>
    </row>
    <row r="49" spans="1:28" ht="12.75">
      <c r="A49" t="s">
        <v>436</v>
      </c>
      <c r="B49" t="s">
        <v>437</v>
      </c>
      <c r="C49">
        <v>20</v>
      </c>
      <c r="D49" s="25">
        <f>(5.86)*$D$11</f>
        <v>5.86</v>
      </c>
      <c r="E49" s="82">
        <f t="shared" si="5"/>
        <v>6</v>
      </c>
      <c r="F49" s="82">
        <f t="shared" si="6"/>
        <v>4</v>
      </c>
      <c r="G49" s="82">
        <f>(0.625)*G$11</f>
        <v>0.625</v>
      </c>
      <c r="H49">
        <v>1.13</v>
      </c>
      <c r="I49">
        <v>1.125</v>
      </c>
      <c r="J49" s="82">
        <f>(1.03)*$J$11</f>
        <v>1.03</v>
      </c>
      <c r="K49" s="82">
        <f>(2.03)*$K$11</f>
        <v>2.03</v>
      </c>
      <c r="L49">
        <v>0.488</v>
      </c>
      <c r="M49" s="82">
        <f>(0.488)*M$11</f>
        <v>0.488</v>
      </c>
      <c r="N49" s="82">
        <f>(1.31)*N$11</f>
        <v>1.31</v>
      </c>
      <c r="O49" s="41">
        <f>(21)*$O$11</f>
        <v>21</v>
      </c>
      <c r="P49">
        <v>9.44</v>
      </c>
      <c r="Q49">
        <v>5.29</v>
      </c>
      <c r="R49" s="82">
        <f>(1.89)*R$11</f>
        <v>1.89</v>
      </c>
      <c r="S49" s="41">
        <f>(7.48)*S$11</f>
        <v>7.48</v>
      </c>
      <c r="T49">
        <v>4.56</v>
      </c>
      <c r="U49">
        <v>2.52</v>
      </c>
      <c r="V49" s="82">
        <f>(1.13)*V$11</f>
        <v>1.13</v>
      </c>
      <c r="W49" s="82">
        <f>(0.859)*W$11</f>
        <v>0.859</v>
      </c>
      <c r="X49" s="41">
        <f>(0.775)*X$11</f>
        <v>0.775</v>
      </c>
      <c r="Y49">
        <f>(1.59)*Y$11</f>
        <v>1.59</v>
      </c>
      <c r="Z49" s="82">
        <f>(2.88)*Z$11</f>
        <v>2.88</v>
      </c>
      <c r="AA49">
        <v>0.435</v>
      </c>
      <c r="AB49">
        <v>1</v>
      </c>
    </row>
    <row r="50" spans="1:28" ht="12.75">
      <c r="A50" t="s">
        <v>438</v>
      </c>
      <c r="B50" t="s">
        <v>439</v>
      </c>
      <c r="C50">
        <v>18.1</v>
      </c>
      <c r="D50" s="25">
        <f>(5.31)*$D$11</f>
        <v>5.31</v>
      </c>
      <c r="E50" s="82">
        <f t="shared" si="5"/>
        <v>6</v>
      </c>
      <c r="F50" s="82">
        <f t="shared" si="6"/>
        <v>4</v>
      </c>
      <c r="G50" s="82">
        <f>(0.5625)*G$11</f>
        <v>0.5625</v>
      </c>
      <c r="H50">
        <v>1.06</v>
      </c>
      <c r="I50">
        <v>1.0625</v>
      </c>
      <c r="J50" s="82">
        <f>(1)*$J$11</f>
        <v>1</v>
      </c>
      <c r="K50" s="82">
        <f>(2)*$K$11</f>
        <v>2</v>
      </c>
      <c r="L50">
        <v>0.442</v>
      </c>
      <c r="M50" s="82">
        <f>(0.442)*M$11</f>
        <v>0.442</v>
      </c>
      <c r="N50" s="82">
        <f>(1.28)*N$11</f>
        <v>1.28</v>
      </c>
      <c r="O50" s="41">
        <f>(19.2)*$O$11</f>
        <v>19.2</v>
      </c>
      <c r="P50">
        <v>8.59</v>
      </c>
      <c r="Q50">
        <v>4.81</v>
      </c>
      <c r="R50" s="82">
        <f>(1.9)*R$11</f>
        <v>1.9</v>
      </c>
      <c r="S50" s="41">
        <f>(6.86)*S$11</f>
        <v>6.86</v>
      </c>
      <c r="T50">
        <v>4.13</v>
      </c>
      <c r="U50">
        <v>2.29</v>
      </c>
      <c r="V50" s="82">
        <f>(1.14)*V$11</f>
        <v>1.14</v>
      </c>
      <c r="W50" s="82">
        <f>(0.861)*W$11</f>
        <v>0.861</v>
      </c>
      <c r="X50" s="41">
        <f>(0.572)*X$11</f>
        <v>0.572</v>
      </c>
      <c r="Y50">
        <f>(1.18)*Y$11</f>
        <v>1.18</v>
      </c>
      <c r="Z50" s="82">
        <f>(2.9)*Z$11</f>
        <v>2.9</v>
      </c>
      <c r="AA50">
        <v>0.438</v>
      </c>
      <c r="AB50">
        <v>1</v>
      </c>
    </row>
    <row r="51" spans="1:28" ht="12.75">
      <c r="A51" t="s">
        <v>440</v>
      </c>
      <c r="B51" t="s">
        <v>441</v>
      </c>
      <c r="C51">
        <v>16.2</v>
      </c>
      <c r="D51" s="25">
        <f>(4.75)*$D$11</f>
        <v>4.75</v>
      </c>
      <c r="E51" s="82">
        <f t="shared" si="5"/>
        <v>6</v>
      </c>
      <c r="F51" s="82">
        <f t="shared" si="6"/>
        <v>4</v>
      </c>
      <c r="G51" s="82">
        <f>(0.5)*G$11</f>
        <v>0.5</v>
      </c>
      <c r="H51">
        <v>1</v>
      </c>
      <c r="I51">
        <v>1</v>
      </c>
      <c r="J51" s="82">
        <f>(0.981)*$J$11</f>
        <v>0.981</v>
      </c>
      <c r="K51" s="82">
        <f>(1.98)*$K$11</f>
        <v>1.98</v>
      </c>
      <c r="L51">
        <v>0.396</v>
      </c>
      <c r="M51" s="82">
        <f>(0.396)*M$11</f>
        <v>0.396</v>
      </c>
      <c r="N51" s="82">
        <f>(1.25)*N$11</f>
        <v>1.25</v>
      </c>
      <c r="O51" s="41">
        <f>(17.3)*$O$11</f>
        <v>17.3</v>
      </c>
      <c r="P51">
        <v>7.71</v>
      </c>
      <c r="Q51">
        <v>4.31</v>
      </c>
      <c r="R51" s="82">
        <f>(1.91)*R$11</f>
        <v>1.91</v>
      </c>
      <c r="S51" s="41">
        <f>(6.22)*S$11</f>
        <v>6.22</v>
      </c>
      <c r="T51">
        <v>3.69</v>
      </c>
      <c r="U51">
        <v>2.06</v>
      </c>
      <c r="V51" s="82">
        <f>(1.14)*V$11</f>
        <v>1.14</v>
      </c>
      <c r="W51" s="82">
        <f>(0.864)*W$11</f>
        <v>0.864</v>
      </c>
      <c r="X51" s="41">
        <f>(0.407)*X$11</f>
        <v>0.407</v>
      </c>
      <c r="Y51">
        <f>(0.843)*Y$11</f>
        <v>0.843</v>
      </c>
      <c r="Z51" s="82">
        <f>(2.91)*Z$11</f>
        <v>2.91</v>
      </c>
      <c r="AA51">
        <v>0.44</v>
      </c>
      <c r="AB51">
        <v>1</v>
      </c>
    </row>
    <row r="52" spans="1:28" ht="12.75">
      <c r="A52" t="s">
        <v>442</v>
      </c>
      <c r="B52" t="s">
        <v>443</v>
      </c>
      <c r="C52">
        <v>14.3</v>
      </c>
      <c r="D52" s="25">
        <f>(4.18)*$D$11</f>
        <v>4.18</v>
      </c>
      <c r="E52" s="82">
        <f t="shared" si="5"/>
        <v>6</v>
      </c>
      <c r="F52" s="82">
        <f t="shared" si="6"/>
        <v>4</v>
      </c>
      <c r="G52" s="82">
        <f>(0.4375)*G$11</f>
        <v>0.4375</v>
      </c>
      <c r="H52">
        <v>0.938</v>
      </c>
      <c r="I52">
        <v>0.9375</v>
      </c>
      <c r="J52" s="82">
        <f>(0.957)*$J$11</f>
        <v>0.957</v>
      </c>
      <c r="K52" s="82">
        <f>(1.95)*$K$11</f>
        <v>1.95</v>
      </c>
      <c r="L52">
        <v>0.349</v>
      </c>
      <c r="M52" s="82">
        <f>(0.349)*M$11</f>
        <v>0.349</v>
      </c>
      <c r="N52" s="82">
        <f>(1.22)*N$11</f>
        <v>1.22</v>
      </c>
      <c r="O52" s="41">
        <f>(15.4)*$O$11</f>
        <v>15.4</v>
      </c>
      <c r="P52">
        <v>6.81</v>
      </c>
      <c r="Q52">
        <v>3.81</v>
      </c>
      <c r="R52" s="82">
        <f>(1.92)*R$11</f>
        <v>1.92</v>
      </c>
      <c r="S52" s="41">
        <f>(5.56)*S$11</f>
        <v>5.56</v>
      </c>
      <c r="T52">
        <v>3.24</v>
      </c>
      <c r="U52">
        <v>1.83</v>
      </c>
      <c r="V52" s="82">
        <f>(1.15)*V$11</f>
        <v>1.15</v>
      </c>
      <c r="W52" s="82">
        <f>(0.867)*W$11</f>
        <v>0.867</v>
      </c>
      <c r="X52" s="41">
        <f>(0.276)*X$11</f>
        <v>0.276</v>
      </c>
      <c r="Y52">
        <f>(0.575)*Y$11</f>
        <v>0.575</v>
      </c>
      <c r="Z52" s="82">
        <f>(2.93)*Z$11</f>
        <v>2.93</v>
      </c>
      <c r="AA52">
        <v>0.443</v>
      </c>
      <c r="AB52">
        <v>0.97</v>
      </c>
    </row>
    <row r="53" spans="1:28" ht="12.75">
      <c r="A53" t="s">
        <v>444</v>
      </c>
      <c r="B53" t="s">
        <v>445</v>
      </c>
      <c r="C53">
        <v>12.3</v>
      </c>
      <c r="D53" s="25">
        <f>(3.61)*$D$11</f>
        <v>3.61</v>
      </c>
      <c r="E53" s="82">
        <f t="shared" si="5"/>
        <v>6</v>
      </c>
      <c r="F53" s="82">
        <f t="shared" si="6"/>
        <v>4</v>
      </c>
      <c r="G53" s="82">
        <f>(0.375)*G$11</f>
        <v>0.375</v>
      </c>
      <c r="H53">
        <v>0.875</v>
      </c>
      <c r="I53">
        <v>0.875</v>
      </c>
      <c r="J53" s="82">
        <f>(0.933)*$J$11</f>
        <v>0.933</v>
      </c>
      <c r="K53" s="82">
        <f>(1.93)*$K$11</f>
        <v>1.93</v>
      </c>
      <c r="L53">
        <v>0.301</v>
      </c>
      <c r="M53" s="82">
        <f>(0.301)*M$11</f>
        <v>0.301</v>
      </c>
      <c r="N53" s="82">
        <f>(1.19)*N$11</f>
        <v>1.19</v>
      </c>
      <c r="O53" s="41">
        <f>(13.4)*$O$11</f>
        <v>13.4</v>
      </c>
      <c r="P53">
        <v>5.89</v>
      </c>
      <c r="Q53">
        <v>3.3</v>
      </c>
      <c r="R53" s="82">
        <f>(1.93)*R$11</f>
        <v>1.93</v>
      </c>
      <c r="S53" s="41">
        <f>(4.86)*S$11</f>
        <v>4.86</v>
      </c>
      <c r="T53">
        <v>2.79</v>
      </c>
      <c r="U53">
        <v>1.58</v>
      </c>
      <c r="V53" s="82">
        <f>(1.16)*V$11</f>
        <v>1.16</v>
      </c>
      <c r="W53" s="82">
        <f>(0.87)*W$11</f>
        <v>0.87</v>
      </c>
      <c r="X53" s="41">
        <f>(0.177)*X$11</f>
        <v>0.177</v>
      </c>
      <c r="Y53">
        <f>(0.369)*Y$11</f>
        <v>0.369</v>
      </c>
      <c r="Z53" s="82">
        <f>(2.94)*Z$11</f>
        <v>2.94</v>
      </c>
      <c r="AA53">
        <v>0.446</v>
      </c>
      <c r="AB53">
        <v>0.91</v>
      </c>
    </row>
    <row r="54" spans="1:28" ht="12.75">
      <c r="A54" t="s">
        <v>446</v>
      </c>
      <c r="B54" t="s">
        <v>447</v>
      </c>
      <c r="C54">
        <v>10.3</v>
      </c>
      <c r="D54" s="25">
        <f>(3.03)*$D$11</f>
        <v>3.03</v>
      </c>
      <c r="E54" s="82">
        <f t="shared" si="5"/>
        <v>6</v>
      </c>
      <c r="F54" s="82">
        <f t="shared" si="6"/>
        <v>4</v>
      </c>
      <c r="G54" s="82">
        <f>(0.3125)*G$11</f>
        <v>0.3125</v>
      </c>
      <c r="H54">
        <v>0.813</v>
      </c>
      <c r="I54">
        <v>0.8125</v>
      </c>
      <c r="J54" s="82">
        <f>(0.908)*$J$11</f>
        <v>0.908</v>
      </c>
      <c r="K54" s="82">
        <f>(1.9)*$K$11</f>
        <v>1.9</v>
      </c>
      <c r="L54">
        <v>0.252</v>
      </c>
      <c r="M54" s="82">
        <f>(0.252)*M$11</f>
        <v>0.252</v>
      </c>
      <c r="N54" s="82">
        <f>(1.16)*N$11</f>
        <v>1.16</v>
      </c>
      <c r="O54" s="41">
        <f>(11.4)*$O$11</f>
        <v>11.4</v>
      </c>
      <c r="P54">
        <v>4.96</v>
      </c>
      <c r="Q54">
        <v>2.77</v>
      </c>
      <c r="R54" s="82">
        <f>(1.94)*R$11</f>
        <v>1.94</v>
      </c>
      <c r="S54" s="41">
        <f>(4.13)*S$11</f>
        <v>4.13</v>
      </c>
      <c r="T54">
        <v>2.33</v>
      </c>
      <c r="U54">
        <v>1.34</v>
      </c>
      <c r="V54" s="82">
        <f>(1.17)*V$11</f>
        <v>1.17</v>
      </c>
      <c r="W54" s="82">
        <f>(0.874)*W$11</f>
        <v>0.874</v>
      </c>
      <c r="X54" s="41">
        <f>(0.104)*X$11</f>
        <v>0.104</v>
      </c>
      <c r="Y54">
        <f>(0.217)*Y$11</f>
        <v>0.217</v>
      </c>
      <c r="Z54" s="82">
        <f>(2.96)*Z$11</f>
        <v>2.96</v>
      </c>
      <c r="AA54">
        <v>0.449</v>
      </c>
      <c r="AB54">
        <v>0.83</v>
      </c>
    </row>
    <row r="55" spans="1:28" ht="12.75">
      <c r="A55" t="s">
        <v>448</v>
      </c>
      <c r="B55" t="s">
        <v>449</v>
      </c>
      <c r="C55">
        <v>15.3</v>
      </c>
      <c r="D55" s="25">
        <f>(4.5)*$D$11</f>
        <v>4.5</v>
      </c>
      <c r="E55" s="82">
        <f t="shared" si="5"/>
        <v>6</v>
      </c>
      <c r="F55" s="82">
        <f>(3.5)*F$11</f>
        <v>3.5</v>
      </c>
      <c r="G55" s="82">
        <f>(0.5)*G$11</f>
        <v>0.5</v>
      </c>
      <c r="H55">
        <v>1</v>
      </c>
      <c r="I55">
        <v>1</v>
      </c>
      <c r="J55" s="82">
        <f>(0.829)*$J$11</f>
        <v>0.829</v>
      </c>
      <c r="K55" s="82">
        <f>(2.07)*$K$11</f>
        <v>2.07</v>
      </c>
      <c r="L55">
        <v>0.376</v>
      </c>
      <c r="M55" s="82">
        <f>(0.376)*M$11</f>
        <v>0.376</v>
      </c>
      <c r="N55" s="82">
        <f>(1.48)*N$11</f>
        <v>1.48</v>
      </c>
      <c r="O55" s="41">
        <f>(16.6)*$O$11</f>
        <v>16.6</v>
      </c>
      <c r="P55">
        <v>7.49</v>
      </c>
      <c r="Q55">
        <v>4.23</v>
      </c>
      <c r="R55" s="82">
        <f>(1.92)*R$11</f>
        <v>1.92</v>
      </c>
      <c r="S55" s="41">
        <f>(4.24)*S$11</f>
        <v>4.24</v>
      </c>
      <c r="T55">
        <v>2.88</v>
      </c>
      <c r="U55">
        <v>1.59</v>
      </c>
      <c r="V55" s="82">
        <f>(0.968)*V$11</f>
        <v>0.968</v>
      </c>
      <c r="W55" s="82">
        <f>(0.756)*W$11</f>
        <v>0.756</v>
      </c>
      <c r="X55" s="41">
        <f>(0.386)*X$11</f>
        <v>0.386</v>
      </c>
      <c r="Y55">
        <f>(0.779)*Y$11</f>
        <v>0.779</v>
      </c>
      <c r="Z55" s="82">
        <f>(2.88)*Z$11</f>
        <v>2.88</v>
      </c>
      <c r="AA55">
        <v>0.343</v>
      </c>
      <c r="AB55">
        <v>1</v>
      </c>
    </row>
    <row r="56" spans="1:28" ht="12.75">
      <c r="A56" t="s">
        <v>450</v>
      </c>
      <c r="B56" t="s">
        <v>451</v>
      </c>
      <c r="C56">
        <v>11.7</v>
      </c>
      <c r="D56" s="25">
        <f>(3.42)*$D$11</f>
        <v>3.42</v>
      </c>
      <c r="E56" s="82">
        <f t="shared" si="5"/>
        <v>6</v>
      </c>
      <c r="F56" s="82">
        <f>(3.5)*F$11</f>
        <v>3.5</v>
      </c>
      <c r="G56" s="82">
        <f>(0.375)*G$11</f>
        <v>0.375</v>
      </c>
      <c r="H56">
        <v>0.875</v>
      </c>
      <c r="I56">
        <v>0.875</v>
      </c>
      <c r="J56" s="82">
        <f>(0.781)*$J$11</f>
        <v>0.781</v>
      </c>
      <c r="K56" s="82">
        <f>(2.02)*$K$11</f>
        <v>2.02</v>
      </c>
      <c r="L56">
        <v>0.287</v>
      </c>
      <c r="M56" s="82">
        <f>(0.287)*M$11</f>
        <v>0.287</v>
      </c>
      <c r="N56" s="82">
        <f>(1.41)*N$11</f>
        <v>1.41</v>
      </c>
      <c r="O56" s="41">
        <f>(12.9)*$O$11</f>
        <v>12.9</v>
      </c>
      <c r="P56">
        <v>5.74</v>
      </c>
      <c r="Q56">
        <v>3.23</v>
      </c>
      <c r="R56" s="82">
        <f>(1.93)*R$11</f>
        <v>1.93</v>
      </c>
      <c r="S56" s="41">
        <f>(3.33)*S$11</f>
        <v>3.33</v>
      </c>
      <c r="T56">
        <v>2.18</v>
      </c>
      <c r="U56">
        <v>1.22</v>
      </c>
      <c r="V56" s="82">
        <f>(0.984)*V$11</f>
        <v>0.984</v>
      </c>
      <c r="W56" s="82">
        <f>(0.763)*W$11</f>
        <v>0.763</v>
      </c>
      <c r="X56" s="41">
        <f>(0.168)*X$11</f>
        <v>0.168</v>
      </c>
      <c r="Y56">
        <f>(0.341)*Y$11</f>
        <v>0.341</v>
      </c>
      <c r="Z56" s="82">
        <f>(2.9)*Z$11</f>
        <v>2.9</v>
      </c>
      <c r="AA56">
        <v>0.349</v>
      </c>
      <c r="AB56">
        <v>0.91</v>
      </c>
    </row>
    <row r="57" spans="1:28" ht="12.75">
      <c r="A57" t="s">
        <v>452</v>
      </c>
      <c r="B57" t="s">
        <v>453</v>
      </c>
      <c r="C57">
        <v>9.8</v>
      </c>
      <c r="D57" s="25">
        <f>(2.87)*$D$11</f>
        <v>2.87</v>
      </c>
      <c r="E57" s="82">
        <f t="shared" si="5"/>
        <v>6</v>
      </c>
      <c r="F57" s="82">
        <f>(3.5)*F$11</f>
        <v>3.5</v>
      </c>
      <c r="G57" s="82">
        <f>(0.3125)*G$11</f>
        <v>0.3125</v>
      </c>
      <c r="H57">
        <v>0.813</v>
      </c>
      <c r="I57">
        <v>0.8125</v>
      </c>
      <c r="J57" s="82">
        <f>(0.756)*$J$11</f>
        <v>0.756</v>
      </c>
      <c r="K57" s="82">
        <f>(2)*$K$11</f>
        <v>2</v>
      </c>
      <c r="L57">
        <v>0.241</v>
      </c>
      <c r="M57" s="82">
        <f>(0.241)*M$11</f>
        <v>0.241</v>
      </c>
      <c r="N57" s="82">
        <f>(1.38)*N$11</f>
        <v>1.38</v>
      </c>
      <c r="O57" s="41">
        <f>(10.9)*$O$11</f>
        <v>10.9</v>
      </c>
      <c r="P57">
        <v>4.84</v>
      </c>
      <c r="Q57">
        <v>2.72</v>
      </c>
      <c r="R57" s="82">
        <f>(1.94)*R$11</f>
        <v>1.94</v>
      </c>
      <c r="S57" s="41">
        <f>(2.84)*S$11</f>
        <v>2.84</v>
      </c>
      <c r="T57">
        <v>1.82</v>
      </c>
      <c r="U57">
        <v>1.03</v>
      </c>
      <c r="V57" s="82">
        <f>(0.991)*V$11</f>
        <v>0.991</v>
      </c>
      <c r="W57" s="82">
        <f>(0.767)*W$11</f>
        <v>0.767</v>
      </c>
      <c r="X57" s="41">
        <f>(0.099)*X$11</f>
        <v>0.099</v>
      </c>
      <c r="Y57">
        <f>(0.201)*Y$11</f>
        <v>0.201</v>
      </c>
      <c r="Z57" s="82">
        <f>(2.92)*Z$11</f>
        <v>2.92</v>
      </c>
      <c r="AA57">
        <v>0.352</v>
      </c>
      <c r="AB57">
        <v>0.83</v>
      </c>
    </row>
    <row r="58" spans="1:28" ht="12.75">
      <c r="A58" t="s">
        <v>454</v>
      </c>
      <c r="B58" t="s">
        <v>455</v>
      </c>
      <c r="C58">
        <v>27.2</v>
      </c>
      <c r="D58" s="25">
        <f>(7.98)*$D$11</f>
        <v>7.98</v>
      </c>
      <c r="E58" s="82">
        <f aca="true" t="shared" si="7" ref="E58:F64">(5)*E$11</f>
        <v>5</v>
      </c>
      <c r="F58" s="82">
        <f t="shared" si="7"/>
        <v>5</v>
      </c>
      <c r="G58" s="82">
        <f>(0.875)*G$11</f>
        <v>0.875</v>
      </c>
      <c r="H58">
        <v>1.38</v>
      </c>
      <c r="I58">
        <v>1.375</v>
      </c>
      <c r="J58" s="82">
        <f>(1.56)*$J$11</f>
        <v>1.56</v>
      </c>
      <c r="K58" s="82">
        <f>(1.56)*$K$11</f>
        <v>1.56</v>
      </c>
      <c r="L58">
        <v>0.802</v>
      </c>
      <c r="M58" s="82">
        <f>(0.802)*M$11</f>
        <v>0.802</v>
      </c>
      <c r="N58" s="82">
        <f>(0.802)*N$11</f>
        <v>0.802</v>
      </c>
      <c r="O58" s="41">
        <f>(17.8)*$O$11</f>
        <v>17.8</v>
      </c>
      <c r="P58">
        <v>9.31</v>
      </c>
      <c r="Q58">
        <v>5.16</v>
      </c>
      <c r="R58" s="82">
        <f>(1.49)*R$11</f>
        <v>1.49</v>
      </c>
      <c r="S58" s="41">
        <f>(17.8)*S$11</f>
        <v>17.8</v>
      </c>
      <c r="T58">
        <v>9.3</v>
      </c>
      <c r="U58">
        <v>5.16</v>
      </c>
      <c r="V58" s="82">
        <f>(1.49)*V$11</f>
        <v>1.49</v>
      </c>
      <c r="W58" s="82">
        <f>(0.971)*W$11</f>
        <v>0.971</v>
      </c>
      <c r="X58" s="41">
        <f>(2.07)*X$11</f>
        <v>2.07</v>
      </c>
      <c r="Y58">
        <f>(3.53)*Y$11</f>
        <v>3.53</v>
      </c>
      <c r="Z58" s="82">
        <f>(2.64)*Z$11</f>
        <v>2.64</v>
      </c>
      <c r="AA58">
        <v>1</v>
      </c>
      <c r="AB58">
        <v>1</v>
      </c>
    </row>
    <row r="59" spans="1:28" ht="12.75">
      <c r="A59" t="s">
        <v>456</v>
      </c>
      <c r="B59" t="s">
        <v>457</v>
      </c>
      <c r="C59">
        <v>23.6</v>
      </c>
      <c r="D59" s="25">
        <f>(6.94)*$D$11</f>
        <v>6.94</v>
      </c>
      <c r="E59" s="82">
        <f t="shared" si="7"/>
        <v>5</v>
      </c>
      <c r="F59" s="82">
        <f t="shared" si="7"/>
        <v>5</v>
      </c>
      <c r="G59" s="82">
        <f>(0.75)*G$11</f>
        <v>0.75</v>
      </c>
      <c r="H59">
        <v>1.25</v>
      </c>
      <c r="I59">
        <v>1.25</v>
      </c>
      <c r="J59" s="82">
        <f>(1.52)*$J$11</f>
        <v>1.52</v>
      </c>
      <c r="K59" s="82">
        <f>(1.52)*$K$11</f>
        <v>1.52</v>
      </c>
      <c r="L59">
        <v>0.698</v>
      </c>
      <c r="M59" s="82">
        <f>(0.698)*M$11</f>
        <v>0.698</v>
      </c>
      <c r="N59" s="82">
        <f>(0.698)*N$11</f>
        <v>0.698</v>
      </c>
      <c r="O59" s="41">
        <f>(15.7)*$O$11</f>
        <v>15.7</v>
      </c>
      <c r="P59">
        <v>8.14</v>
      </c>
      <c r="Q59">
        <v>4.52</v>
      </c>
      <c r="R59" s="82">
        <f>(1.5)*R$11</f>
        <v>1.5</v>
      </c>
      <c r="S59" s="41">
        <f>(15.7)*S$11</f>
        <v>15.7</v>
      </c>
      <c r="T59">
        <v>8.14</v>
      </c>
      <c r="U59">
        <v>4.52</v>
      </c>
      <c r="V59" s="82">
        <f>(1.5)*V$11</f>
        <v>1.5</v>
      </c>
      <c r="W59" s="82">
        <f>(0.972)*W$11</f>
        <v>0.972</v>
      </c>
      <c r="X59" s="41">
        <f>(1.33)*X$11</f>
        <v>1.33</v>
      </c>
      <c r="Y59">
        <f>(2.32)*Y$11</f>
        <v>2.32</v>
      </c>
      <c r="Z59" s="82">
        <f>(2.67)*Z$11</f>
        <v>2.67</v>
      </c>
      <c r="AA59">
        <v>1</v>
      </c>
      <c r="AB59">
        <v>1</v>
      </c>
    </row>
    <row r="60" spans="1:28" ht="12.75">
      <c r="A60" t="s">
        <v>458</v>
      </c>
      <c r="B60" t="s">
        <v>459</v>
      </c>
      <c r="C60">
        <v>20</v>
      </c>
      <c r="D60" s="25">
        <f>(5.86)*$D$11</f>
        <v>5.86</v>
      </c>
      <c r="E60" s="82">
        <f t="shared" si="7"/>
        <v>5</v>
      </c>
      <c r="F60" s="82">
        <f t="shared" si="7"/>
        <v>5</v>
      </c>
      <c r="G60" s="82">
        <f>(0.625)*G$11</f>
        <v>0.625</v>
      </c>
      <c r="H60">
        <v>1.13</v>
      </c>
      <c r="I60">
        <v>1.125</v>
      </c>
      <c r="J60" s="82">
        <f>(1.47)*$J$11</f>
        <v>1.47</v>
      </c>
      <c r="K60" s="82">
        <f>(1.47)*$K$11</f>
        <v>1.47</v>
      </c>
      <c r="L60">
        <v>0.59</v>
      </c>
      <c r="M60" s="82">
        <f>(0.59)*M$11</f>
        <v>0.59</v>
      </c>
      <c r="N60" s="82">
        <f>(0.59)*N$11</f>
        <v>0.59</v>
      </c>
      <c r="O60" s="41">
        <f>(13.6)*$O$11</f>
        <v>13.6</v>
      </c>
      <c r="P60">
        <v>6.93</v>
      </c>
      <c r="Q60">
        <v>3.85</v>
      </c>
      <c r="R60" s="82">
        <f>(1.52)*R$11</f>
        <v>1.52</v>
      </c>
      <c r="S60" s="41">
        <f>(13.6)*S$11</f>
        <v>13.6</v>
      </c>
      <c r="T60">
        <v>6.92</v>
      </c>
      <c r="U60">
        <v>3.85</v>
      </c>
      <c r="V60" s="82">
        <f>(1.52)*V$11</f>
        <v>1.52</v>
      </c>
      <c r="W60" s="82">
        <f>(0.975)*W$11</f>
        <v>0.975</v>
      </c>
      <c r="X60" s="41">
        <f>(0.792)*X$11</f>
        <v>0.792</v>
      </c>
      <c r="Y60">
        <f>(1.4)*Y$11</f>
        <v>1.4</v>
      </c>
      <c r="Z60" s="82">
        <f>(2.7)*Z$11</f>
        <v>2.7</v>
      </c>
      <c r="AA60">
        <v>1</v>
      </c>
      <c r="AB60">
        <v>1</v>
      </c>
    </row>
    <row r="61" spans="1:28" ht="12.75">
      <c r="A61" t="s">
        <v>460</v>
      </c>
      <c r="B61" t="s">
        <v>461</v>
      </c>
      <c r="C61">
        <v>16.2</v>
      </c>
      <c r="D61" s="25">
        <f>(4.75)*$D$11</f>
        <v>4.75</v>
      </c>
      <c r="E61" s="82">
        <f t="shared" si="7"/>
        <v>5</v>
      </c>
      <c r="F61" s="82">
        <f t="shared" si="7"/>
        <v>5</v>
      </c>
      <c r="G61" s="82">
        <f>(0.5)*G$11</f>
        <v>0.5</v>
      </c>
      <c r="H61">
        <v>1</v>
      </c>
      <c r="I61">
        <v>1</v>
      </c>
      <c r="J61" s="82">
        <f>(1.42)*$J$11</f>
        <v>1.42</v>
      </c>
      <c r="K61" s="82">
        <f>(1.42)*$K$11</f>
        <v>1.42</v>
      </c>
      <c r="L61">
        <v>0.479</v>
      </c>
      <c r="M61" s="82">
        <f>(0.479)*M$11</f>
        <v>0.479</v>
      </c>
      <c r="N61" s="82">
        <f>(0.479)*N$11</f>
        <v>0.479</v>
      </c>
      <c r="O61" s="41">
        <f>(11.3)*$O$11</f>
        <v>11.3</v>
      </c>
      <c r="P61">
        <v>5.66</v>
      </c>
      <c r="Q61">
        <v>3.15</v>
      </c>
      <c r="R61" s="82">
        <f>(1.53)*R$11</f>
        <v>1.53</v>
      </c>
      <c r="S61" s="41">
        <f>(11.3)*S$11</f>
        <v>11.3</v>
      </c>
      <c r="T61">
        <v>5.66</v>
      </c>
      <c r="U61">
        <v>3.15</v>
      </c>
      <c r="V61" s="82">
        <f>(1.53)*V$11</f>
        <v>1.53</v>
      </c>
      <c r="W61" s="82">
        <f>(0.98)*W$11</f>
        <v>0.98</v>
      </c>
      <c r="X61" s="41">
        <f>(0.417)*X$11</f>
        <v>0.417</v>
      </c>
      <c r="Y61">
        <f>(0.744)*Y$11</f>
        <v>0.744</v>
      </c>
      <c r="Z61" s="82">
        <f>(2.73)*Z$11</f>
        <v>2.73</v>
      </c>
      <c r="AA61">
        <v>1</v>
      </c>
      <c r="AB61">
        <v>1</v>
      </c>
    </row>
    <row r="62" spans="1:28" ht="12.75">
      <c r="A62" t="s">
        <v>462</v>
      </c>
      <c r="B62" t="s">
        <v>463</v>
      </c>
      <c r="C62">
        <v>14.3</v>
      </c>
      <c r="D62" s="25">
        <f>(4.18)*$D$11</f>
        <v>4.18</v>
      </c>
      <c r="E62" s="82">
        <f t="shared" si="7"/>
        <v>5</v>
      </c>
      <c r="F62" s="82">
        <f t="shared" si="7"/>
        <v>5</v>
      </c>
      <c r="G62" s="82">
        <f>(0.4375)*G$11</f>
        <v>0.4375</v>
      </c>
      <c r="H62">
        <v>0.938</v>
      </c>
      <c r="I62">
        <v>0.9375</v>
      </c>
      <c r="J62" s="82">
        <f>(1.4)*$J$11</f>
        <v>1.4</v>
      </c>
      <c r="K62" s="82">
        <f>(1.4)*$K$11</f>
        <v>1.4</v>
      </c>
      <c r="L62">
        <v>0.422</v>
      </c>
      <c r="M62" s="82">
        <f>(0.422)*M$11</f>
        <v>0.422</v>
      </c>
      <c r="N62" s="82">
        <f>(0.422)*N$11</f>
        <v>0.422</v>
      </c>
      <c r="O62" s="41">
        <f>(10)*$O$11</f>
        <v>10</v>
      </c>
      <c r="P62">
        <v>5</v>
      </c>
      <c r="Q62">
        <v>2.78</v>
      </c>
      <c r="R62" s="82">
        <f>(1.54)*R$11</f>
        <v>1.54</v>
      </c>
      <c r="S62" s="41">
        <f>(10)*S$11</f>
        <v>10</v>
      </c>
      <c r="T62">
        <v>5</v>
      </c>
      <c r="U62">
        <v>2.78</v>
      </c>
      <c r="V62" s="82">
        <f>(1.54)*V$11</f>
        <v>1.54</v>
      </c>
      <c r="W62" s="82">
        <f>(0.983)*W$11</f>
        <v>0.983</v>
      </c>
      <c r="X62" s="41">
        <f>(0.284)*X$11</f>
        <v>0.284</v>
      </c>
      <c r="Y62">
        <f>(0.508)*Y$11</f>
        <v>0.508</v>
      </c>
      <c r="Z62" s="82">
        <f>(2.74)*Z$11</f>
        <v>2.74</v>
      </c>
      <c r="AA62">
        <v>1</v>
      </c>
      <c r="AB62">
        <v>1</v>
      </c>
    </row>
    <row r="63" spans="1:28" ht="12.75">
      <c r="A63" t="s">
        <v>464</v>
      </c>
      <c r="B63" t="s">
        <v>465</v>
      </c>
      <c r="C63">
        <v>12.3</v>
      </c>
      <c r="D63" s="25">
        <f>(3.61)*$D$11</f>
        <v>3.61</v>
      </c>
      <c r="E63" s="82">
        <f t="shared" si="7"/>
        <v>5</v>
      </c>
      <c r="F63" s="82">
        <f t="shared" si="7"/>
        <v>5</v>
      </c>
      <c r="G63" s="82">
        <f>(0.375)*G$11</f>
        <v>0.375</v>
      </c>
      <c r="H63">
        <v>0.875</v>
      </c>
      <c r="I63">
        <v>0.875</v>
      </c>
      <c r="J63" s="82">
        <f>(1.37)*$J$11</f>
        <v>1.37</v>
      </c>
      <c r="K63" s="82">
        <f>(1.37)*$K$11</f>
        <v>1.37</v>
      </c>
      <c r="L63">
        <v>0.365</v>
      </c>
      <c r="M63" s="82">
        <f>(0.365)*M$11</f>
        <v>0.365</v>
      </c>
      <c r="N63" s="82">
        <f>(0.365)*N$11</f>
        <v>0.365</v>
      </c>
      <c r="O63" s="41">
        <f>(8.76)*$O$11</f>
        <v>8.76</v>
      </c>
      <c r="P63">
        <v>4.33</v>
      </c>
      <c r="Q63">
        <v>2.41</v>
      </c>
      <c r="R63" s="82">
        <f>(1.55)*R$11</f>
        <v>1.55</v>
      </c>
      <c r="S63" s="41">
        <f>(8.76)*S$11</f>
        <v>8.76</v>
      </c>
      <c r="T63">
        <v>4.33</v>
      </c>
      <c r="U63">
        <v>2.41</v>
      </c>
      <c r="V63" s="82">
        <f>(1.55)*V$11</f>
        <v>1.55</v>
      </c>
      <c r="W63" s="82">
        <f>(0.986)*W$11</f>
        <v>0.986</v>
      </c>
      <c r="X63" s="41">
        <f>(0.183)*X$11</f>
        <v>0.183</v>
      </c>
      <c r="Y63">
        <f>(0.327)*Y$11</f>
        <v>0.327</v>
      </c>
      <c r="Z63" s="82">
        <f>(2.76)*Z$11</f>
        <v>2.76</v>
      </c>
      <c r="AA63">
        <v>1</v>
      </c>
      <c r="AB63">
        <v>0.98</v>
      </c>
    </row>
    <row r="64" spans="1:28" ht="12.75">
      <c r="A64" t="s">
        <v>466</v>
      </c>
      <c r="B64" t="s">
        <v>467</v>
      </c>
      <c r="C64">
        <v>10.3</v>
      </c>
      <c r="D64" s="25">
        <f>(3.03)*$D$11</f>
        <v>3.03</v>
      </c>
      <c r="E64" s="82">
        <f t="shared" si="7"/>
        <v>5</v>
      </c>
      <c r="F64" s="82">
        <f t="shared" si="7"/>
        <v>5</v>
      </c>
      <c r="G64" s="82">
        <f>(0.3125)*G$11</f>
        <v>0.3125</v>
      </c>
      <c r="H64">
        <v>0.813</v>
      </c>
      <c r="I64">
        <v>0.8125</v>
      </c>
      <c r="J64" s="82">
        <f>(1.35)*$J$11</f>
        <v>1.35</v>
      </c>
      <c r="K64" s="82">
        <f>(1.35)*$K$11</f>
        <v>1.35</v>
      </c>
      <c r="L64">
        <v>0.307</v>
      </c>
      <c r="M64" s="82">
        <f>(0.307)*M$11</f>
        <v>0.307</v>
      </c>
      <c r="N64" s="82">
        <f>(0.307)*N$11</f>
        <v>0.307</v>
      </c>
      <c r="O64" s="41">
        <f>(7.44)*$O$11</f>
        <v>7.44</v>
      </c>
      <c r="P64">
        <v>3.65</v>
      </c>
      <c r="Q64">
        <v>2.04</v>
      </c>
      <c r="R64" s="82">
        <f>(1.56)*R$11</f>
        <v>1.56</v>
      </c>
      <c r="S64" s="41">
        <f>(7.44)*S$11</f>
        <v>7.44</v>
      </c>
      <c r="T64">
        <v>3.65</v>
      </c>
      <c r="U64">
        <v>2.04</v>
      </c>
      <c r="V64" s="82">
        <f>(1.56)*V$11</f>
        <v>1.56</v>
      </c>
      <c r="W64" s="82">
        <f>(0.99)*W$11</f>
        <v>0.99</v>
      </c>
      <c r="X64" s="41">
        <f>(0.108)*X$11</f>
        <v>0.108</v>
      </c>
      <c r="Y64">
        <f>(0.193)*Y$11</f>
        <v>0.193</v>
      </c>
      <c r="Z64" s="82">
        <f>(2.77)*Z$11</f>
        <v>2.77</v>
      </c>
      <c r="AA64">
        <v>1</v>
      </c>
      <c r="AB64">
        <v>0.91</v>
      </c>
    </row>
    <row r="65" spans="1:28" ht="12.75">
      <c r="A65" t="s">
        <v>468</v>
      </c>
      <c r="B65" t="s">
        <v>469</v>
      </c>
      <c r="C65">
        <v>19.8</v>
      </c>
      <c r="D65" s="25">
        <f>(5.81)*$D$11</f>
        <v>5.81</v>
      </c>
      <c r="E65" s="82">
        <f aca="true" t="shared" si="8" ref="E65:E75">(5)*E$11</f>
        <v>5</v>
      </c>
      <c r="F65" s="82">
        <f aca="true" t="shared" si="9" ref="F65:F70">(3.5)*F$11</f>
        <v>3.5</v>
      </c>
      <c r="G65" s="82">
        <f>(0.75)*G$11</f>
        <v>0.75</v>
      </c>
      <c r="H65">
        <v>1.19</v>
      </c>
      <c r="I65">
        <v>1.1875</v>
      </c>
      <c r="J65" s="82">
        <f>(0.993)*$J$11</f>
        <v>0.993</v>
      </c>
      <c r="K65" s="82">
        <f>(1.74)*$K$11</f>
        <v>1.74</v>
      </c>
      <c r="L65">
        <v>0.582</v>
      </c>
      <c r="M65" s="82">
        <f>(0.582)*M$11</f>
        <v>0.582</v>
      </c>
      <c r="N65" s="82">
        <f>(1.12)*N$11</f>
        <v>1.12</v>
      </c>
      <c r="O65" s="41">
        <f>(13.9)*$O$11</f>
        <v>13.9</v>
      </c>
      <c r="P65">
        <v>7.6</v>
      </c>
      <c r="Q65">
        <v>4.26</v>
      </c>
      <c r="R65" s="82">
        <f>(1.55)*R$11</f>
        <v>1.55</v>
      </c>
      <c r="S65" s="41">
        <f>(5.52)*S$11</f>
        <v>5.52</v>
      </c>
      <c r="T65">
        <v>4.07</v>
      </c>
      <c r="U65">
        <v>2.2</v>
      </c>
      <c r="V65" s="82">
        <f>(0.974)*V$11</f>
        <v>0.974</v>
      </c>
      <c r="W65" s="82">
        <f>(0.744)*W$11</f>
        <v>0.744</v>
      </c>
      <c r="X65" s="41">
        <f>(1.09)*X$11</f>
        <v>1.09</v>
      </c>
      <c r="Y65">
        <f>(1.52)*Y$11</f>
        <v>1.52</v>
      </c>
      <c r="Z65" s="82">
        <f>(2.36)*Z$11</f>
        <v>2.36</v>
      </c>
      <c r="AA65">
        <v>0.464</v>
      </c>
      <c r="AB65">
        <v>1</v>
      </c>
    </row>
    <row r="66" spans="1:28" ht="12.75">
      <c r="A66" t="s">
        <v>470</v>
      </c>
      <c r="B66" t="s">
        <v>471</v>
      </c>
      <c r="C66">
        <v>16.8</v>
      </c>
      <c r="D66" s="25">
        <f>(4.92)*$D$11</f>
        <v>4.92</v>
      </c>
      <c r="E66" s="82">
        <f t="shared" si="8"/>
        <v>5</v>
      </c>
      <c r="F66" s="82">
        <f t="shared" si="9"/>
        <v>3.5</v>
      </c>
      <c r="G66" s="82">
        <f>(0.625)*G$11</f>
        <v>0.625</v>
      </c>
      <c r="H66">
        <v>1.06</v>
      </c>
      <c r="I66">
        <v>1.0625</v>
      </c>
      <c r="J66" s="82">
        <f>(0.947)*$J$11</f>
        <v>0.947</v>
      </c>
      <c r="K66" s="82">
        <f>(1.69)*$K$11</f>
        <v>1.69</v>
      </c>
      <c r="L66">
        <v>0.493</v>
      </c>
      <c r="M66" s="82">
        <f>(0.493)*M$11</f>
        <v>0.493</v>
      </c>
      <c r="N66" s="82">
        <f>(1.06)*N$11</f>
        <v>1.06</v>
      </c>
      <c r="O66" s="41">
        <f>(12)*$O$11</f>
        <v>12</v>
      </c>
      <c r="P66">
        <v>6.5</v>
      </c>
      <c r="Q66">
        <v>3.63</v>
      </c>
      <c r="R66" s="82">
        <f>(1.56)*R$11</f>
        <v>1.56</v>
      </c>
      <c r="S66" s="41">
        <f>(4.8)*S$11</f>
        <v>4.8</v>
      </c>
      <c r="T66">
        <v>3.43</v>
      </c>
      <c r="U66">
        <v>1.88</v>
      </c>
      <c r="V66" s="82">
        <f>(0.987)*V$11</f>
        <v>0.987</v>
      </c>
      <c r="W66" s="82">
        <f>(0.746)*W$11</f>
        <v>0.746</v>
      </c>
      <c r="X66" s="41">
        <f>(0.651)*X$11</f>
        <v>0.651</v>
      </c>
      <c r="Y66">
        <f>(0.918)*Y$11</f>
        <v>0.918</v>
      </c>
      <c r="Z66" s="82">
        <f>(2.39)*Z$11</f>
        <v>2.39</v>
      </c>
      <c r="AA66">
        <v>0.472</v>
      </c>
      <c r="AB66">
        <v>1</v>
      </c>
    </row>
    <row r="67" spans="1:28" ht="12.75">
      <c r="A67" t="s">
        <v>472</v>
      </c>
      <c r="B67" t="s">
        <v>473</v>
      </c>
      <c r="C67">
        <v>13.6</v>
      </c>
      <c r="D67" s="25">
        <f>(4)*$D$11</f>
        <v>4</v>
      </c>
      <c r="E67" s="82">
        <f t="shared" si="8"/>
        <v>5</v>
      </c>
      <c r="F67" s="82">
        <f t="shared" si="9"/>
        <v>3.5</v>
      </c>
      <c r="G67" s="82">
        <f>(0.5)*G$11</f>
        <v>0.5</v>
      </c>
      <c r="H67">
        <v>0.938</v>
      </c>
      <c r="I67">
        <v>0.9375</v>
      </c>
      <c r="J67" s="82">
        <f>(0.901)*$J$11</f>
        <v>0.901</v>
      </c>
      <c r="K67" s="82">
        <f>(1.65)*$K$11</f>
        <v>1.65</v>
      </c>
      <c r="L67">
        <v>0.4</v>
      </c>
      <c r="M67" s="82">
        <f>(0.4)*M$11</f>
        <v>0.4</v>
      </c>
      <c r="N67" s="82">
        <f>(0.997)*N$11</f>
        <v>0.997</v>
      </c>
      <c r="O67" s="41">
        <f>(10)*$O$11</f>
        <v>10</v>
      </c>
      <c r="P67">
        <v>5.33</v>
      </c>
      <c r="Q67">
        <v>2.97</v>
      </c>
      <c r="R67" s="82">
        <f>(1.58)*R$11</f>
        <v>1.58</v>
      </c>
      <c r="S67" s="41">
        <f>(4.02)*S$11</f>
        <v>4.02</v>
      </c>
      <c r="T67">
        <v>2.79</v>
      </c>
      <c r="U67">
        <v>1.55</v>
      </c>
      <c r="V67" s="82">
        <f>(1)*V$11</f>
        <v>1</v>
      </c>
      <c r="W67" s="82">
        <f>(0.75)*W$11</f>
        <v>0.75</v>
      </c>
      <c r="X67" s="41">
        <f>(0.343)*X$11</f>
        <v>0.343</v>
      </c>
      <c r="Y67">
        <f>(0.491)*Y$11</f>
        <v>0.491</v>
      </c>
      <c r="Z67" s="82">
        <f>(2.42)*Z$11</f>
        <v>2.42</v>
      </c>
      <c r="AA67">
        <v>0.479</v>
      </c>
      <c r="AB67">
        <v>1</v>
      </c>
    </row>
    <row r="68" spans="1:28" ht="12.75">
      <c r="A68" t="s">
        <v>474</v>
      </c>
      <c r="B68" t="s">
        <v>475</v>
      </c>
      <c r="C68">
        <v>10.4</v>
      </c>
      <c r="D68" s="25">
        <f>(3.05)*$D$11</f>
        <v>3.05</v>
      </c>
      <c r="E68" s="82">
        <f t="shared" si="8"/>
        <v>5</v>
      </c>
      <c r="F68" s="82">
        <f t="shared" si="9"/>
        <v>3.5</v>
      </c>
      <c r="G68" s="82">
        <f>(0.375)*G$11</f>
        <v>0.375</v>
      </c>
      <c r="H68">
        <v>0.813</v>
      </c>
      <c r="I68">
        <v>0.8125</v>
      </c>
      <c r="J68" s="82">
        <f>(0.854)*$J$11</f>
        <v>0.854</v>
      </c>
      <c r="K68" s="82">
        <f>(1.6)*$K$11</f>
        <v>1.6</v>
      </c>
      <c r="L68">
        <v>0.305</v>
      </c>
      <c r="M68" s="82">
        <f>(0.305)*M$11</f>
        <v>0.305</v>
      </c>
      <c r="N68" s="82">
        <f>(0.933)*N$11</f>
        <v>0.933</v>
      </c>
      <c r="O68" s="41">
        <f>(7.75)*$O$11</f>
        <v>7.75</v>
      </c>
      <c r="P68">
        <v>4.09</v>
      </c>
      <c r="Q68">
        <v>2.28</v>
      </c>
      <c r="R68" s="82">
        <f>(1.59)*R$11</f>
        <v>1.59</v>
      </c>
      <c r="S68" s="41">
        <f>(3.15)*S$11</f>
        <v>3.15</v>
      </c>
      <c r="T68">
        <v>2.12</v>
      </c>
      <c r="U68">
        <v>1.19</v>
      </c>
      <c r="V68" s="82">
        <f>(1.02)*V$11</f>
        <v>1.02</v>
      </c>
      <c r="W68" s="82">
        <f>(0.755)*W$11</f>
        <v>0.755</v>
      </c>
      <c r="X68" s="41">
        <f>(0.15)*X$11</f>
        <v>0.15</v>
      </c>
      <c r="Y68">
        <f>(0.217)*Y$11</f>
        <v>0.217</v>
      </c>
      <c r="Z68" s="82">
        <f>(2.45)*Z$11</f>
        <v>2.45</v>
      </c>
      <c r="AA68">
        <v>0.485</v>
      </c>
      <c r="AB68">
        <v>0.98</v>
      </c>
    </row>
    <row r="69" spans="1:28" ht="12.75">
      <c r="A69" t="s">
        <v>476</v>
      </c>
      <c r="B69" t="s">
        <v>477</v>
      </c>
      <c r="C69">
        <v>8.7</v>
      </c>
      <c r="D69" s="25">
        <f>(2.56)*$D$11</f>
        <v>2.56</v>
      </c>
      <c r="E69" s="82">
        <f t="shared" si="8"/>
        <v>5</v>
      </c>
      <c r="F69" s="82">
        <f t="shared" si="9"/>
        <v>3.5</v>
      </c>
      <c r="G69" s="82">
        <f>(0.3125)*G$11</f>
        <v>0.3125</v>
      </c>
      <c r="H69">
        <v>0.75</v>
      </c>
      <c r="I69">
        <v>0.75</v>
      </c>
      <c r="J69" s="82">
        <f>(0.829)*$J$11</f>
        <v>0.829</v>
      </c>
      <c r="K69" s="82">
        <f>(1.57)*$K$11</f>
        <v>1.57</v>
      </c>
      <c r="L69">
        <v>0.256</v>
      </c>
      <c r="M69" s="82">
        <f>(0.256)*M$11</f>
        <v>0.256</v>
      </c>
      <c r="N69" s="82">
        <f>(0.901)*N$11</f>
        <v>0.901</v>
      </c>
      <c r="O69" s="41">
        <f>(6.58)*$O$11</f>
        <v>6.58</v>
      </c>
      <c r="P69">
        <v>3.45</v>
      </c>
      <c r="Q69">
        <v>1.92</v>
      </c>
      <c r="R69" s="82">
        <f>(1.6)*R$11</f>
        <v>1.6</v>
      </c>
      <c r="S69" s="41">
        <f>(2.69)*S$11</f>
        <v>2.69</v>
      </c>
      <c r="T69">
        <v>1.77</v>
      </c>
      <c r="U69">
        <v>1.01</v>
      </c>
      <c r="V69" s="82">
        <f>(1.02)*V$11</f>
        <v>1.02</v>
      </c>
      <c r="W69" s="82">
        <f>(0.758)*W$11</f>
        <v>0.758</v>
      </c>
      <c r="X69" s="41">
        <f>(0.0883)*X$11</f>
        <v>0.0883</v>
      </c>
      <c r="Y69">
        <f>(0.128)*Y$11</f>
        <v>0.128</v>
      </c>
      <c r="Z69" s="82">
        <f>(2.47)*Z$11</f>
        <v>2.47</v>
      </c>
      <c r="AA69">
        <v>0.489</v>
      </c>
      <c r="AB69">
        <v>0.91</v>
      </c>
    </row>
    <row r="70" spans="1:28" ht="12.75">
      <c r="A70" t="s">
        <v>478</v>
      </c>
      <c r="B70" t="s">
        <v>479</v>
      </c>
      <c r="C70">
        <v>7</v>
      </c>
      <c r="D70" s="25">
        <f>(2.06)*$D$11</f>
        <v>2.06</v>
      </c>
      <c r="E70" s="82">
        <f t="shared" si="8"/>
        <v>5</v>
      </c>
      <c r="F70" s="82">
        <f t="shared" si="9"/>
        <v>3.5</v>
      </c>
      <c r="G70" s="82">
        <f>(0.25)*G$11</f>
        <v>0.25</v>
      </c>
      <c r="H70">
        <v>0.688</v>
      </c>
      <c r="I70">
        <v>0.6875</v>
      </c>
      <c r="J70" s="82">
        <f>(0.804)*$J$11</f>
        <v>0.804</v>
      </c>
      <c r="K70" s="82">
        <f>(1.55)*$K$11</f>
        <v>1.55</v>
      </c>
      <c r="L70">
        <v>0.207</v>
      </c>
      <c r="M70" s="82">
        <f>(0.207)*M$11</f>
        <v>0.207</v>
      </c>
      <c r="N70" s="82">
        <f>(0.868)*N$11</f>
        <v>0.868</v>
      </c>
      <c r="O70" s="41">
        <f>(5.36)*$O$11</f>
        <v>5.36</v>
      </c>
      <c r="P70">
        <v>2.78</v>
      </c>
      <c r="Q70">
        <v>1.55</v>
      </c>
      <c r="R70" s="82">
        <f>(1.61)*R$11</f>
        <v>1.61</v>
      </c>
      <c r="S70" s="41">
        <f>(2.2)*S$11</f>
        <v>2.2</v>
      </c>
      <c r="T70">
        <v>1.42</v>
      </c>
      <c r="U70">
        <v>0.816</v>
      </c>
      <c r="V70" s="82">
        <f>(1.03)*V$11</f>
        <v>1.03</v>
      </c>
      <c r="W70" s="82">
        <f>(0.761)*W$11</f>
        <v>0.761</v>
      </c>
      <c r="X70" s="41">
        <f>(0.0464)*X$11</f>
        <v>0.0464</v>
      </c>
      <c r="Y70">
        <f>(0.067)*Y$11</f>
        <v>0.067</v>
      </c>
      <c r="Z70" s="82">
        <f>(2.48)*Z$11</f>
        <v>2.48</v>
      </c>
      <c r="AA70">
        <v>0.491</v>
      </c>
      <c r="AB70">
        <v>0.8</v>
      </c>
    </row>
    <row r="71" spans="1:28" ht="12.75">
      <c r="A71" t="s">
        <v>480</v>
      </c>
      <c r="B71" t="s">
        <v>481</v>
      </c>
      <c r="C71">
        <v>12.8</v>
      </c>
      <c r="D71" s="25">
        <f>(3.75)*$D$11</f>
        <v>3.75</v>
      </c>
      <c r="E71" s="82">
        <f t="shared" si="8"/>
        <v>5</v>
      </c>
      <c r="F71" s="82">
        <f>(3)*F$11</f>
        <v>3</v>
      </c>
      <c r="G71" s="82">
        <f>(0.5)*G$11</f>
        <v>0.5</v>
      </c>
      <c r="H71">
        <v>0.938</v>
      </c>
      <c r="I71">
        <v>0.9375</v>
      </c>
      <c r="J71" s="82">
        <f>(0.746)*$J$11</f>
        <v>0.746</v>
      </c>
      <c r="K71" s="82">
        <f>(1.74)*$K$11</f>
        <v>1.74</v>
      </c>
      <c r="L71">
        <v>0.375</v>
      </c>
      <c r="M71" s="82">
        <f>(0.375)*M$11</f>
        <v>0.375</v>
      </c>
      <c r="N71" s="82">
        <f>(1.25)*N$11</f>
        <v>1.25</v>
      </c>
      <c r="O71" s="41">
        <f>(9.43)*$O$11</f>
        <v>9.43</v>
      </c>
      <c r="P71">
        <v>5.12</v>
      </c>
      <c r="Q71">
        <v>2.89</v>
      </c>
      <c r="R71" s="82">
        <f>(1.58)*R$11</f>
        <v>1.58</v>
      </c>
      <c r="S71" s="41">
        <f>(2.55)*S$11</f>
        <v>2.55</v>
      </c>
      <c r="T71">
        <v>2.08</v>
      </c>
      <c r="U71">
        <v>1.13</v>
      </c>
      <c r="V71" s="82">
        <f>(0.824)*V$11</f>
        <v>0.824</v>
      </c>
      <c r="W71" s="82">
        <f>(0.642)*W$11</f>
        <v>0.642</v>
      </c>
      <c r="X71" s="41">
        <f>(0.322)*X$11</f>
        <v>0.322</v>
      </c>
      <c r="Y71">
        <f>(0.444)*Y$11</f>
        <v>0.444</v>
      </c>
      <c r="Z71" s="82">
        <f>(2.38)*Z$11</f>
        <v>2.38</v>
      </c>
      <c r="AA71">
        <v>0.357</v>
      </c>
      <c r="AB71">
        <v>1</v>
      </c>
    </row>
    <row r="72" spans="1:28" ht="12.75">
      <c r="A72" t="s">
        <v>482</v>
      </c>
      <c r="B72" t="s">
        <v>483</v>
      </c>
      <c r="C72">
        <v>11.3</v>
      </c>
      <c r="D72" s="25">
        <f>(3.31)*$D$11</f>
        <v>3.31</v>
      </c>
      <c r="E72" s="82">
        <f t="shared" si="8"/>
        <v>5</v>
      </c>
      <c r="F72" s="82">
        <f>(3)*F$11</f>
        <v>3</v>
      </c>
      <c r="G72" s="82">
        <f>(0.4375)*G$11</f>
        <v>0.4375</v>
      </c>
      <c r="H72">
        <v>0.875</v>
      </c>
      <c r="I72">
        <v>0.875</v>
      </c>
      <c r="J72" s="82">
        <f>(0.722)*$J$11</f>
        <v>0.722</v>
      </c>
      <c r="K72" s="82">
        <f>(1.72)*$K$11</f>
        <v>1.72</v>
      </c>
      <c r="L72">
        <v>0.331</v>
      </c>
      <c r="M72" s="82">
        <f>(0.331)*M$11</f>
        <v>0.331</v>
      </c>
      <c r="N72" s="82">
        <f>(1.21)*N$11</f>
        <v>1.21</v>
      </c>
      <c r="O72" s="41">
        <f>(8.41)*$O$11</f>
        <v>8.41</v>
      </c>
      <c r="P72">
        <v>4.53</v>
      </c>
      <c r="Q72">
        <v>2.56</v>
      </c>
      <c r="R72" s="82">
        <f>(1.59)*R$11</f>
        <v>1.59</v>
      </c>
      <c r="S72" s="41">
        <f>(2.29)*S$11</f>
        <v>2.29</v>
      </c>
      <c r="T72">
        <v>1.82</v>
      </c>
      <c r="U72">
        <v>1</v>
      </c>
      <c r="V72" s="82">
        <f>(0.831)*V$11</f>
        <v>0.831</v>
      </c>
      <c r="W72" s="82">
        <f>(0.644)*W$11</f>
        <v>0.644</v>
      </c>
      <c r="X72" s="41">
        <f>(0.22)*X$11</f>
        <v>0.22</v>
      </c>
      <c r="Y72">
        <f>(0.304)*Y$11</f>
        <v>0.304</v>
      </c>
      <c r="Z72" s="82">
        <f>(2.39)*Z$11</f>
        <v>2.39</v>
      </c>
      <c r="AA72">
        <v>0.361</v>
      </c>
      <c r="AB72">
        <v>1</v>
      </c>
    </row>
    <row r="73" spans="1:28" ht="12.75">
      <c r="A73" t="s">
        <v>484</v>
      </c>
      <c r="B73" t="s">
        <v>485</v>
      </c>
      <c r="C73">
        <v>9.8</v>
      </c>
      <c r="D73" s="25">
        <f>(2.86)*$D$11</f>
        <v>2.86</v>
      </c>
      <c r="E73" s="82">
        <f t="shared" si="8"/>
        <v>5</v>
      </c>
      <c r="F73" s="82">
        <f>(3)*F$11</f>
        <v>3</v>
      </c>
      <c r="G73" s="82">
        <f>(0.375)*G$11</f>
        <v>0.375</v>
      </c>
      <c r="H73">
        <v>0.813</v>
      </c>
      <c r="I73">
        <v>0.8125</v>
      </c>
      <c r="J73" s="82">
        <f>(0.698)*$J$11</f>
        <v>0.698</v>
      </c>
      <c r="K73" s="82">
        <f>(1.69)*$K$11</f>
        <v>1.69</v>
      </c>
      <c r="L73">
        <v>0.286</v>
      </c>
      <c r="M73" s="82">
        <f>(0.286)*M$11</f>
        <v>0.286</v>
      </c>
      <c r="N73" s="82">
        <f>(1.18)*N$11</f>
        <v>1.18</v>
      </c>
      <c r="O73" s="41">
        <f>(7.35)*$O$11</f>
        <v>7.35</v>
      </c>
      <c r="P73">
        <v>3.93</v>
      </c>
      <c r="Q73">
        <v>2.22</v>
      </c>
      <c r="R73" s="82">
        <f>(1.6)*R$11</f>
        <v>1.6</v>
      </c>
      <c r="S73" s="41">
        <f>(2.01)*S$11</f>
        <v>2.01</v>
      </c>
      <c r="T73">
        <v>1.57</v>
      </c>
      <c r="U73">
        <v>0.874</v>
      </c>
      <c r="V73" s="82">
        <f>(0.838)*V$11</f>
        <v>0.838</v>
      </c>
      <c r="W73" s="82">
        <f>(0.646)*W$11</f>
        <v>0.646</v>
      </c>
      <c r="X73" s="41">
        <f>(0.141)*X$11</f>
        <v>0.141</v>
      </c>
      <c r="Y73">
        <f>(0.196)*Y$11</f>
        <v>0.196</v>
      </c>
      <c r="Z73" s="82">
        <f>(2.41)*Z$11</f>
        <v>2.41</v>
      </c>
      <c r="AA73">
        <v>0.364</v>
      </c>
      <c r="AB73">
        <v>0.98</v>
      </c>
    </row>
    <row r="74" spans="1:28" ht="12.75">
      <c r="A74" t="s">
        <v>486</v>
      </c>
      <c r="B74" t="s">
        <v>487</v>
      </c>
      <c r="C74">
        <v>8.2</v>
      </c>
      <c r="D74" s="25">
        <f>(2.4)*$D$11</f>
        <v>2.4</v>
      </c>
      <c r="E74" s="82">
        <f t="shared" si="8"/>
        <v>5</v>
      </c>
      <c r="F74" s="82">
        <f>(3)*F$11</f>
        <v>3</v>
      </c>
      <c r="G74" s="82">
        <f>(0.3125)*G$11</f>
        <v>0.3125</v>
      </c>
      <c r="H74">
        <v>0.75</v>
      </c>
      <c r="I74">
        <v>0.75</v>
      </c>
      <c r="J74" s="82">
        <f>(0.673)*$J$11</f>
        <v>0.673</v>
      </c>
      <c r="K74" s="82">
        <f>(1.67)*$K$11</f>
        <v>1.67</v>
      </c>
      <c r="L74">
        <v>0.241</v>
      </c>
      <c r="M74" s="82">
        <f>(0.241)*M$11</f>
        <v>0.241</v>
      </c>
      <c r="N74" s="82">
        <f>(1.15)*N$11</f>
        <v>1.15</v>
      </c>
      <c r="O74" s="41">
        <f>(6.24)*$O$11</f>
        <v>6.24</v>
      </c>
      <c r="P74">
        <v>3.32</v>
      </c>
      <c r="Q74">
        <v>1.87</v>
      </c>
      <c r="R74" s="82">
        <f>(1.61)*R$11</f>
        <v>1.61</v>
      </c>
      <c r="S74" s="41">
        <f>(1.72)*S$11</f>
        <v>1.72</v>
      </c>
      <c r="T74">
        <v>1.31</v>
      </c>
      <c r="U74">
        <v>0.739</v>
      </c>
      <c r="V74" s="82">
        <f>(0.846)*V$11</f>
        <v>0.846</v>
      </c>
      <c r="W74" s="82">
        <f>(0.649)*W$11</f>
        <v>0.649</v>
      </c>
      <c r="X74" s="41">
        <f>(0.0832)*X$11</f>
        <v>0.0832</v>
      </c>
      <c r="Y74">
        <f>(0.116)*Y$11</f>
        <v>0.116</v>
      </c>
      <c r="Z74" s="82">
        <f>(2.42)*Z$11</f>
        <v>2.42</v>
      </c>
      <c r="AA74">
        <v>0.368</v>
      </c>
      <c r="AB74">
        <v>0.91</v>
      </c>
    </row>
    <row r="75" spans="1:28" ht="12.75">
      <c r="A75" t="s">
        <v>488</v>
      </c>
      <c r="B75" t="s">
        <v>489</v>
      </c>
      <c r="C75">
        <v>6.6</v>
      </c>
      <c r="D75" s="25">
        <f>(1.94)*$D$11</f>
        <v>1.94</v>
      </c>
      <c r="E75" s="82">
        <f t="shared" si="8"/>
        <v>5</v>
      </c>
      <c r="F75" s="82">
        <f>(3)*F$11</f>
        <v>3</v>
      </c>
      <c r="G75" s="82">
        <f>(0.25)*G$11</f>
        <v>0.25</v>
      </c>
      <c r="H75">
        <v>0.688</v>
      </c>
      <c r="I75">
        <v>0.6875</v>
      </c>
      <c r="J75" s="82">
        <f>(0.648)*$J$11</f>
        <v>0.648</v>
      </c>
      <c r="K75" s="82">
        <f>(1.64)*$K$11</f>
        <v>1.64</v>
      </c>
      <c r="L75">
        <v>0.194</v>
      </c>
      <c r="M75" s="82">
        <f>(0.194)*M$11</f>
        <v>0.194</v>
      </c>
      <c r="N75" s="82">
        <f>(1.12)*N$11</f>
        <v>1.12</v>
      </c>
      <c r="O75" s="41">
        <f>(5.09)*$O$11</f>
        <v>5.09</v>
      </c>
      <c r="P75">
        <v>2.68</v>
      </c>
      <c r="Q75">
        <v>1.51</v>
      </c>
      <c r="R75" s="82">
        <f>(1.62)*R$11</f>
        <v>1.62</v>
      </c>
      <c r="S75" s="41">
        <f>(1.41)*S$11</f>
        <v>1.41</v>
      </c>
      <c r="T75">
        <v>1.05</v>
      </c>
      <c r="U75">
        <v>0.6</v>
      </c>
      <c r="V75" s="82">
        <f>(0.853)*V$11</f>
        <v>0.853</v>
      </c>
      <c r="W75" s="82">
        <f>(0.652)*W$11</f>
        <v>0.652</v>
      </c>
      <c r="X75" s="41">
        <f>(0.0438)*X$11</f>
        <v>0.0438</v>
      </c>
      <c r="Y75">
        <f>(0.0606)*Y$11</f>
        <v>0.0606</v>
      </c>
      <c r="Z75" s="82">
        <f>(2.43)*Z$11</f>
        <v>2.43</v>
      </c>
      <c r="AA75">
        <v>0.371</v>
      </c>
      <c r="AB75">
        <v>0.8</v>
      </c>
    </row>
    <row r="76" spans="1:28" ht="12.75">
      <c r="A76" t="s">
        <v>490</v>
      </c>
      <c r="B76" t="s">
        <v>491</v>
      </c>
      <c r="C76">
        <v>18.5</v>
      </c>
      <c r="D76" s="25">
        <f>(5.44)*$D$11</f>
        <v>5.44</v>
      </c>
      <c r="E76" s="82">
        <f aca="true" t="shared" si="10" ref="E76:F82">(4)*E$11</f>
        <v>4</v>
      </c>
      <c r="F76" s="82">
        <f t="shared" si="10"/>
        <v>4</v>
      </c>
      <c r="G76" s="82">
        <f>(0.75)*G$11</f>
        <v>0.75</v>
      </c>
      <c r="H76">
        <v>1.13</v>
      </c>
      <c r="I76">
        <v>1.125</v>
      </c>
      <c r="J76" s="82">
        <f>(1.27)*$J$11</f>
        <v>1.27</v>
      </c>
      <c r="K76" s="82">
        <f>(1.27)*$K$11</f>
        <v>1.27</v>
      </c>
      <c r="L76">
        <v>0.679</v>
      </c>
      <c r="M76" s="82">
        <f>(0.679)*M$11</f>
        <v>0.679</v>
      </c>
      <c r="N76" s="82">
        <f>(0.679)*N$11</f>
        <v>0.679</v>
      </c>
      <c r="O76" s="41">
        <f>(7.62)*$O$11</f>
        <v>7.62</v>
      </c>
      <c r="P76">
        <v>5.02</v>
      </c>
      <c r="Q76">
        <v>2.79</v>
      </c>
      <c r="R76" s="82">
        <f>(1.18)*R$11</f>
        <v>1.18</v>
      </c>
      <c r="S76" s="41">
        <f>(7.62)*S$11</f>
        <v>7.62</v>
      </c>
      <c r="T76">
        <v>5.01</v>
      </c>
      <c r="U76">
        <v>2.79</v>
      </c>
      <c r="V76" s="82">
        <f>(1.18)*V$11</f>
        <v>1.18</v>
      </c>
      <c r="W76" s="82">
        <f>(0.774)*W$11</f>
        <v>0.774</v>
      </c>
      <c r="X76" s="41">
        <f>(1.02)*X$11</f>
        <v>1.02</v>
      </c>
      <c r="Y76">
        <f>(1.12)*Y$11</f>
        <v>1.12</v>
      </c>
      <c r="Z76" s="82">
        <f>(2.1)*Z$11</f>
        <v>2.1</v>
      </c>
      <c r="AA76">
        <v>1</v>
      </c>
      <c r="AB76">
        <v>1</v>
      </c>
    </row>
    <row r="77" spans="1:28" ht="12.75">
      <c r="A77" t="s">
        <v>492</v>
      </c>
      <c r="B77" t="s">
        <v>493</v>
      </c>
      <c r="C77">
        <v>15.7</v>
      </c>
      <c r="D77" s="25">
        <f>(4.61)*$D$11</f>
        <v>4.61</v>
      </c>
      <c r="E77" s="82">
        <f t="shared" si="10"/>
        <v>4</v>
      </c>
      <c r="F77" s="82">
        <f t="shared" si="10"/>
        <v>4</v>
      </c>
      <c r="G77" s="82">
        <f>(0.625)*G$11</f>
        <v>0.625</v>
      </c>
      <c r="H77">
        <v>1</v>
      </c>
      <c r="I77">
        <v>1</v>
      </c>
      <c r="J77" s="82">
        <f>(1.22)*$J$11</f>
        <v>1.22</v>
      </c>
      <c r="K77" s="82">
        <f>(1.22)*$K$11</f>
        <v>1.22</v>
      </c>
      <c r="L77">
        <v>0.576</v>
      </c>
      <c r="M77" s="82">
        <f>(0.576)*M$11</f>
        <v>0.576</v>
      </c>
      <c r="N77" s="82">
        <f>(0.576)*N$11</f>
        <v>0.576</v>
      </c>
      <c r="O77" s="41">
        <f>(6.62)*$O$11</f>
        <v>6.62</v>
      </c>
      <c r="P77">
        <v>4.28</v>
      </c>
      <c r="Q77">
        <v>2.38</v>
      </c>
      <c r="R77" s="82">
        <f>(1.2)*R$11</f>
        <v>1.2</v>
      </c>
      <c r="S77" s="41">
        <f>(6.62)*S$11</f>
        <v>6.62</v>
      </c>
      <c r="T77">
        <v>4.28</v>
      </c>
      <c r="U77">
        <v>2.38</v>
      </c>
      <c r="V77" s="82">
        <f>(1.2)*V$11</f>
        <v>1.2</v>
      </c>
      <c r="W77" s="82">
        <f>(0.774)*W$11</f>
        <v>0.774</v>
      </c>
      <c r="X77" s="41">
        <f>(0.61)*X$11</f>
        <v>0.61</v>
      </c>
      <c r="Y77">
        <f>(0.68)*Y$11</f>
        <v>0.68</v>
      </c>
      <c r="Z77" s="82">
        <f>(2.13)*Z$11</f>
        <v>2.13</v>
      </c>
      <c r="AA77">
        <v>1</v>
      </c>
      <c r="AB77">
        <v>1</v>
      </c>
    </row>
    <row r="78" spans="1:28" ht="12.75">
      <c r="A78" t="s">
        <v>494</v>
      </c>
      <c r="B78" t="s">
        <v>495</v>
      </c>
      <c r="C78">
        <v>12.8</v>
      </c>
      <c r="D78" s="25">
        <f>(3.75)*$D$11</f>
        <v>3.75</v>
      </c>
      <c r="E78" s="82">
        <f t="shared" si="10"/>
        <v>4</v>
      </c>
      <c r="F78" s="82">
        <f t="shared" si="10"/>
        <v>4</v>
      </c>
      <c r="G78" s="82">
        <f>(0.5)*G$11</f>
        <v>0.5</v>
      </c>
      <c r="H78">
        <v>0.875</v>
      </c>
      <c r="I78">
        <v>0.875</v>
      </c>
      <c r="J78" s="82">
        <f>(1.18)*$J$11</f>
        <v>1.18</v>
      </c>
      <c r="K78" s="82">
        <f>(1.18)*$K$11</f>
        <v>1.18</v>
      </c>
      <c r="L78">
        <v>0.468</v>
      </c>
      <c r="M78" s="82">
        <f>(0.468)*M$11</f>
        <v>0.468</v>
      </c>
      <c r="N78" s="82">
        <f>(0.468)*N$11</f>
        <v>0.468</v>
      </c>
      <c r="O78" s="41">
        <f>(5.52)*$O$11</f>
        <v>5.52</v>
      </c>
      <c r="P78">
        <v>3.5</v>
      </c>
      <c r="Q78">
        <v>1.96</v>
      </c>
      <c r="R78" s="82">
        <f>(1.21)*R$11</f>
        <v>1.21</v>
      </c>
      <c r="S78" s="41">
        <f>(5.52)*S$11</f>
        <v>5.52</v>
      </c>
      <c r="T78">
        <v>3.5</v>
      </c>
      <c r="U78">
        <v>1.96</v>
      </c>
      <c r="V78" s="82">
        <f>(1.21)*V$11</f>
        <v>1.21</v>
      </c>
      <c r="W78" s="82">
        <f>(0.776)*W$11</f>
        <v>0.776</v>
      </c>
      <c r="X78" s="41">
        <f>(0.322)*X$11</f>
        <v>0.322</v>
      </c>
      <c r="Y78">
        <f>(0.366)*Y$11</f>
        <v>0.366</v>
      </c>
      <c r="Z78" s="82">
        <f>(2.16)*Z$11</f>
        <v>2.16</v>
      </c>
      <c r="AA78">
        <v>1</v>
      </c>
      <c r="AB78">
        <v>1</v>
      </c>
    </row>
    <row r="79" spans="1:28" ht="12.75">
      <c r="A79" t="s">
        <v>496</v>
      </c>
      <c r="B79" t="s">
        <v>497</v>
      </c>
      <c r="C79">
        <v>11.3</v>
      </c>
      <c r="D79" s="25">
        <f>(3.31)*$D$11</f>
        <v>3.31</v>
      </c>
      <c r="E79" s="82">
        <f t="shared" si="10"/>
        <v>4</v>
      </c>
      <c r="F79" s="82">
        <f t="shared" si="10"/>
        <v>4</v>
      </c>
      <c r="G79" s="82">
        <f>(0.4375)*G$11</f>
        <v>0.4375</v>
      </c>
      <c r="H79">
        <v>0.813</v>
      </c>
      <c r="I79">
        <v>0.8125</v>
      </c>
      <c r="J79" s="82">
        <f>(1.15)*$J$11</f>
        <v>1.15</v>
      </c>
      <c r="K79" s="82">
        <f>(1.15)*$K$11</f>
        <v>1.15</v>
      </c>
      <c r="L79">
        <v>0.413</v>
      </c>
      <c r="M79" s="82">
        <f>(0.413)*M$11</f>
        <v>0.413</v>
      </c>
      <c r="N79" s="82">
        <f>(0.413)*N$11</f>
        <v>0.413</v>
      </c>
      <c r="O79" s="41">
        <f>(4.93)*$O$11</f>
        <v>4.93</v>
      </c>
      <c r="P79">
        <v>3.1</v>
      </c>
      <c r="Q79">
        <v>1.73</v>
      </c>
      <c r="R79" s="82">
        <f>(1.22)*R$11</f>
        <v>1.22</v>
      </c>
      <c r="S79" s="41">
        <f>(4.93)*S$11</f>
        <v>4.93</v>
      </c>
      <c r="T79">
        <v>3.1</v>
      </c>
      <c r="U79">
        <v>1.73</v>
      </c>
      <c r="V79" s="82">
        <f>(1.22)*V$11</f>
        <v>1.22</v>
      </c>
      <c r="W79" s="82">
        <f>(0.777)*W$11</f>
        <v>0.777</v>
      </c>
      <c r="X79" s="41">
        <f>(0.22)*X$11</f>
        <v>0.22</v>
      </c>
      <c r="Y79">
        <f>(0.252)*Y$11</f>
        <v>0.252</v>
      </c>
      <c r="Z79" s="82">
        <f>(2.18)*Z$11</f>
        <v>2.18</v>
      </c>
      <c r="AA79">
        <v>1</v>
      </c>
      <c r="AB79">
        <v>1</v>
      </c>
    </row>
    <row r="80" spans="1:28" ht="12.75">
      <c r="A80" t="s">
        <v>498</v>
      </c>
      <c r="B80" t="s">
        <v>499</v>
      </c>
      <c r="C80">
        <v>9.8</v>
      </c>
      <c r="D80" s="25">
        <f>(2.86)*$D$11</f>
        <v>2.86</v>
      </c>
      <c r="E80" s="82">
        <f t="shared" si="10"/>
        <v>4</v>
      </c>
      <c r="F80" s="82">
        <f t="shared" si="10"/>
        <v>4</v>
      </c>
      <c r="G80" s="82">
        <f>(0.375)*G$11</f>
        <v>0.375</v>
      </c>
      <c r="H80">
        <v>0.75</v>
      </c>
      <c r="I80">
        <v>0.75</v>
      </c>
      <c r="J80" s="82">
        <f>(1.13)*$J$11</f>
        <v>1.13</v>
      </c>
      <c r="K80" s="82">
        <f>(1.13)*$K$11</f>
        <v>1.13</v>
      </c>
      <c r="L80">
        <v>0.357</v>
      </c>
      <c r="M80" s="82">
        <f>(0.357)*M$11</f>
        <v>0.357</v>
      </c>
      <c r="N80" s="82">
        <f>(0.357)*N$11</f>
        <v>0.357</v>
      </c>
      <c r="O80" s="41">
        <f>(4.32)*$O$11</f>
        <v>4.32</v>
      </c>
      <c r="P80">
        <v>2.69</v>
      </c>
      <c r="Q80">
        <v>1.5</v>
      </c>
      <c r="R80" s="82">
        <f>(1.23)*R$11</f>
        <v>1.23</v>
      </c>
      <c r="S80" s="41">
        <f>(4.32)*S$11</f>
        <v>4.32</v>
      </c>
      <c r="T80">
        <v>2.68</v>
      </c>
      <c r="U80">
        <v>1.5</v>
      </c>
      <c r="V80" s="82">
        <f>(1.23)*V$11</f>
        <v>1.23</v>
      </c>
      <c r="W80" s="82">
        <f>(0.779)*W$11</f>
        <v>0.779</v>
      </c>
      <c r="X80" s="41">
        <f>(0.141)*X$11</f>
        <v>0.141</v>
      </c>
      <c r="Y80">
        <f>(0.162)*Y$11</f>
        <v>0.162</v>
      </c>
      <c r="Z80" s="82">
        <f>(2.19)*Z$11</f>
        <v>2.19</v>
      </c>
      <c r="AA80">
        <v>1</v>
      </c>
      <c r="AB80">
        <v>1</v>
      </c>
    </row>
    <row r="81" spans="1:28" ht="12.75">
      <c r="A81" t="s">
        <v>500</v>
      </c>
      <c r="B81" t="s">
        <v>501</v>
      </c>
      <c r="C81">
        <v>8.2</v>
      </c>
      <c r="D81" s="25">
        <f>(2.4)*$D$11</f>
        <v>2.4</v>
      </c>
      <c r="E81" s="82">
        <f t="shared" si="10"/>
        <v>4</v>
      </c>
      <c r="F81" s="82">
        <f t="shared" si="10"/>
        <v>4</v>
      </c>
      <c r="G81" s="82">
        <f>(0.3125)*G$11</f>
        <v>0.3125</v>
      </c>
      <c r="H81">
        <v>0.688</v>
      </c>
      <c r="I81">
        <v>0.6875</v>
      </c>
      <c r="J81" s="82">
        <f>(1.11)*$J$11</f>
        <v>1.11</v>
      </c>
      <c r="K81" s="82">
        <f>(1.11)*$K$11</f>
        <v>1.11</v>
      </c>
      <c r="L81">
        <v>0.3</v>
      </c>
      <c r="M81" s="82">
        <f>(0.3)*M$11</f>
        <v>0.3</v>
      </c>
      <c r="N81" s="82">
        <f>(0.3)*N$11</f>
        <v>0.3</v>
      </c>
      <c r="O81" s="41">
        <f>(3.67)*$O$11</f>
        <v>3.67</v>
      </c>
      <c r="P81">
        <v>2.26</v>
      </c>
      <c r="Q81">
        <v>1.27</v>
      </c>
      <c r="R81" s="82">
        <f>(1.24)*R$11</f>
        <v>1.24</v>
      </c>
      <c r="S81" s="41">
        <f>(3.67)*S$11</f>
        <v>3.67</v>
      </c>
      <c r="T81">
        <v>2.26</v>
      </c>
      <c r="U81">
        <v>1.27</v>
      </c>
      <c r="V81" s="82">
        <f>(1.24)*V$11</f>
        <v>1.24</v>
      </c>
      <c r="W81" s="82">
        <f>(0.781)*W$11</f>
        <v>0.781</v>
      </c>
      <c r="X81" s="41">
        <f>(0.0832)*X$11</f>
        <v>0.0832</v>
      </c>
      <c r="Y81">
        <f>(0.0963)*Y$11</f>
        <v>0.0963</v>
      </c>
      <c r="Z81" s="82">
        <f>(2.21)*Z$11</f>
        <v>2.21</v>
      </c>
      <c r="AA81">
        <v>1</v>
      </c>
      <c r="AB81">
        <v>1</v>
      </c>
    </row>
    <row r="82" spans="1:28" ht="12.75">
      <c r="A82" t="s">
        <v>502</v>
      </c>
      <c r="B82" t="s">
        <v>503</v>
      </c>
      <c r="C82">
        <v>6.6</v>
      </c>
      <c r="D82" s="25">
        <f>(1.94)*$D$11</f>
        <v>1.94</v>
      </c>
      <c r="E82" s="82">
        <f t="shared" si="10"/>
        <v>4</v>
      </c>
      <c r="F82" s="82">
        <f t="shared" si="10"/>
        <v>4</v>
      </c>
      <c r="G82" s="82">
        <f>(0.25)*G$11</f>
        <v>0.25</v>
      </c>
      <c r="H82">
        <v>0.625</v>
      </c>
      <c r="I82">
        <v>0.625</v>
      </c>
      <c r="J82" s="82">
        <f>(1.08)*$J$11</f>
        <v>1.08</v>
      </c>
      <c r="K82" s="82">
        <f>(1.08)*$K$11</f>
        <v>1.08</v>
      </c>
      <c r="L82">
        <v>0.242</v>
      </c>
      <c r="M82" s="82">
        <f>(0.242)*M$11</f>
        <v>0.242</v>
      </c>
      <c r="N82" s="82">
        <f>(0.242)*N$11</f>
        <v>0.242</v>
      </c>
      <c r="O82" s="41">
        <f>(3)*$O$11</f>
        <v>3</v>
      </c>
      <c r="P82">
        <v>1.82</v>
      </c>
      <c r="Q82">
        <v>1.03</v>
      </c>
      <c r="R82" s="82">
        <f>(1.25)*R$11</f>
        <v>1.25</v>
      </c>
      <c r="S82" s="41">
        <f>(3)*S$11</f>
        <v>3</v>
      </c>
      <c r="T82">
        <v>1.82</v>
      </c>
      <c r="U82">
        <v>1.03</v>
      </c>
      <c r="V82" s="82">
        <f>(1.25)*V$11</f>
        <v>1.25</v>
      </c>
      <c r="W82" s="82">
        <f>(0.783)*W$11</f>
        <v>0.783</v>
      </c>
      <c r="X82" s="41">
        <f>(0.0438)*X$11</f>
        <v>0.0438</v>
      </c>
      <c r="Y82">
        <f>(0.0505)*Y$11</f>
        <v>0.0505</v>
      </c>
      <c r="Z82" s="82">
        <f>(2.22)*Z$11</f>
        <v>2.22</v>
      </c>
      <c r="AA82">
        <v>1</v>
      </c>
      <c r="AB82">
        <v>0.91</v>
      </c>
    </row>
    <row r="83" spans="1:28" ht="12.75">
      <c r="A83" t="s">
        <v>504</v>
      </c>
      <c r="B83" t="s">
        <v>505</v>
      </c>
      <c r="C83">
        <v>11.9</v>
      </c>
      <c r="D83" s="25">
        <f>(3.5)*$D$11</f>
        <v>3.5</v>
      </c>
      <c r="E83" s="82">
        <f aca="true" t="shared" si="11" ref="E83:E91">(4)*E$11</f>
        <v>4</v>
      </c>
      <c r="F83" s="82">
        <f>(3.5)*F$11</f>
        <v>3.5</v>
      </c>
      <c r="G83" s="82">
        <f>(0.5)*G$11</f>
        <v>0.5</v>
      </c>
      <c r="H83">
        <v>0.875</v>
      </c>
      <c r="I83">
        <v>0.875</v>
      </c>
      <c r="J83" s="82">
        <f>(0.994)*$J$11</f>
        <v>0.994</v>
      </c>
      <c r="K83" s="82">
        <f>(1.24)*$K$11</f>
        <v>1.24</v>
      </c>
      <c r="L83">
        <v>0.438</v>
      </c>
      <c r="M83" s="82">
        <f>(0.438)*M$11</f>
        <v>0.438</v>
      </c>
      <c r="N83" s="82">
        <f>(0.497)*N$11</f>
        <v>0.497</v>
      </c>
      <c r="O83" s="41">
        <f>(5.3)*$O$11</f>
        <v>5.3</v>
      </c>
      <c r="P83">
        <v>3.46</v>
      </c>
      <c r="Q83">
        <v>1.92</v>
      </c>
      <c r="R83" s="82">
        <f>(1.23)*R$11</f>
        <v>1.23</v>
      </c>
      <c r="S83" s="41">
        <f>(3.76)*S$11</f>
        <v>3.76</v>
      </c>
      <c r="T83">
        <v>2.69</v>
      </c>
      <c r="U83">
        <v>1.5</v>
      </c>
      <c r="V83" s="82">
        <f>(1.04)*V$11</f>
        <v>1.04</v>
      </c>
      <c r="W83" s="82">
        <f>(0.716)*W$11</f>
        <v>0.716</v>
      </c>
      <c r="X83" s="41">
        <f>(0.301)*X$11</f>
        <v>0.301</v>
      </c>
      <c r="Y83">
        <f>(0.302)*Y$11</f>
        <v>0.302</v>
      </c>
      <c r="Z83" s="82">
        <f>(2.03)*Z$11</f>
        <v>2.03</v>
      </c>
      <c r="AA83">
        <v>0.75</v>
      </c>
      <c r="AB83">
        <v>1</v>
      </c>
    </row>
    <row r="84" spans="1:28" ht="12.75">
      <c r="A84" t="s">
        <v>506</v>
      </c>
      <c r="B84" t="s">
        <v>507</v>
      </c>
      <c r="C84">
        <v>9.1</v>
      </c>
      <c r="D84" s="25">
        <f>(2.67)*$D$11</f>
        <v>2.67</v>
      </c>
      <c r="E84" s="82">
        <f t="shared" si="11"/>
        <v>4</v>
      </c>
      <c r="F84" s="82">
        <f>(3.5)*F$11</f>
        <v>3.5</v>
      </c>
      <c r="G84" s="82">
        <f>(0.375)*G$11</f>
        <v>0.375</v>
      </c>
      <c r="H84">
        <v>0.75</v>
      </c>
      <c r="I84">
        <v>0.75</v>
      </c>
      <c r="J84" s="82">
        <f>(0.947)*$J$11</f>
        <v>0.947</v>
      </c>
      <c r="K84" s="82">
        <f>(1.2)*$K$11</f>
        <v>1.2</v>
      </c>
      <c r="L84">
        <v>0.334</v>
      </c>
      <c r="M84" s="82">
        <f>(0.334)*M$11</f>
        <v>0.334</v>
      </c>
      <c r="N84" s="82">
        <f>(0.433)*N$11</f>
        <v>0.433</v>
      </c>
      <c r="O84" s="41">
        <f>(4.15)*$O$11</f>
        <v>4.15</v>
      </c>
      <c r="P84">
        <v>2.66</v>
      </c>
      <c r="Q84">
        <v>1.48</v>
      </c>
      <c r="R84" s="82">
        <f>(1.25)*R$11</f>
        <v>1.25</v>
      </c>
      <c r="S84" s="41">
        <f>(2.96)*S$11</f>
        <v>2.96</v>
      </c>
      <c r="T84">
        <v>2.06</v>
      </c>
      <c r="U84">
        <v>1.16</v>
      </c>
      <c r="V84" s="82">
        <f>(1.05)*V$11</f>
        <v>1.05</v>
      </c>
      <c r="W84" s="82">
        <f>(0.719)*W$11</f>
        <v>0.719</v>
      </c>
      <c r="X84" s="41">
        <f>(0.132)*X$11</f>
        <v>0.132</v>
      </c>
      <c r="Y84">
        <f>(0.134)*Y$11</f>
        <v>0.134</v>
      </c>
      <c r="Z84" s="82">
        <f>(2.06)*Z$11</f>
        <v>2.06</v>
      </c>
      <c r="AA84">
        <v>0.755</v>
      </c>
      <c r="AB84">
        <v>1</v>
      </c>
    </row>
    <row r="85" spans="1:28" ht="12.75">
      <c r="A85" t="s">
        <v>508</v>
      </c>
      <c r="B85" t="s">
        <v>509</v>
      </c>
      <c r="C85">
        <v>7.7</v>
      </c>
      <c r="D85" s="25">
        <f>(2.25)*$D$11</f>
        <v>2.25</v>
      </c>
      <c r="E85" s="82">
        <f t="shared" si="11"/>
        <v>4</v>
      </c>
      <c r="F85" s="82">
        <f>(3.5)*F$11</f>
        <v>3.5</v>
      </c>
      <c r="G85" s="82">
        <f>(0.3125)*G$11</f>
        <v>0.3125</v>
      </c>
      <c r="H85">
        <v>0.688</v>
      </c>
      <c r="I85">
        <v>0.6875</v>
      </c>
      <c r="J85" s="82">
        <f>(0.923)*$J$11</f>
        <v>0.923</v>
      </c>
      <c r="K85" s="82">
        <f>(1.17)*$K$11</f>
        <v>1.17</v>
      </c>
      <c r="L85">
        <v>0.281</v>
      </c>
      <c r="M85" s="82">
        <f>(0.281)*M$11</f>
        <v>0.281</v>
      </c>
      <c r="N85" s="82">
        <f>(0.401)*N$11</f>
        <v>0.401</v>
      </c>
      <c r="O85" s="41">
        <f>(3.53)*$O$11</f>
        <v>3.53</v>
      </c>
      <c r="P85">
        <v>2.24</v>
      </c>
      <c r="Q85">
        <v>1.25</v>
      </c>
      <c r="R85" s="82">
        <f>(1.25)*R$11</f>
        <v>1.25</v>
      </c>
      <c r="S85" s="41">
        <f>(2.52)*S$11</f>
        <v>2.52</v>
      </c>
      <c r="T85">
        <v>1.74</v>
      </c>
      <c r="U85">
        <v>0.98</v>
      </c>
      <c r="V85" s="82">
        <f>(1.06)*V$11</f>
        <v>1.06</v>
      </c>
      <c r="W85" s="82">
        <f>(0.721)*W$11</f>
        <v>0.721</v>
      </c>
      <c r="X85" s="41">
        <f>(0.0782)*X$11</f>
        <v>0.0782</v>
      </c>
      <c r="Y85">
        <f>(0.0798)*Y$11</f>
        <v>0.0798</v>
      </c>
      <c r="Z85" s="82">
        <f>(2.08)*Z$11</f>
        <v>2.08</v>
      </c>
      <c r="AA85">
        <v>0.757</v>
      </c>
      <c r="AB85">
        <v>1</v>
      </c>
    </row>
    <row r="86" spans="1:28" ht="12.75">
      <c r="A86" t="s">
        <v>510</v>
      </c>
      <c r="B86" t="s">
        <v>511</v>
      </c>
      <c r="C86">
        <v>6.2</v>
      </c>
      <c r="D86" s="25">
        <f>(1.81)*$D$11</f>
        <v>1.81</v>
      </c>
      <c r="E86" s="82">
        <f t="shared" si="11"/>
        <v>4</v>
      </c>
      <c r="F86" s="82">
        <f>(3.5)*F$11</f>
        <v>3.5</v>
      </c>
      <c r="G86" s="82">
        <f>(0.25)*G$11</f>
        <v>0.25</v>
      </c>
      <c r="H86">
        <v>0.625</v>
      </c>
      <c r="I86">
        <v>0.625</v>
      </c>
      <c r="J86" s="82">
        <f>(0.897)*$J$11</f>
        <v>0.897</v>
      </c>
      <c r="K86" s="82">
        <f>(1.14)*$K$11</f>
        <v>1.14</v>
      </c>
      <c r="L86">
        <v>0.227</v>
      </c>
      <c r="M86" s="82">
        <f>(0.227)*M$11</f>
        <v>0.227</v>
      </c>
      <c r="N86" s="82">
        <f>(0.368)*N$11</f>
        <v>0.368</v>
      </c>
      <c r="O86" s="41">
        <f>(2.89)*$O$11</f>
        <v>2.89</v>
      </c>
      <c r="P86">
        <v>1.81</v>
      </c>
      <c r="Q86">
        <v>1.01</v>
      </c>
      <c r="R86" s="82">
        <f>(1.26)*R$11</f>
        <v>1.26</v>
      </c>
      <c r="S86" s="41">
        <f>(2.07)*S$11</f>
        <v>2.07</v>
      </c>
      <c r="T86">
        <v>1.4</v>
      </c>
      <c r="U86">
        <v>0.794</v>
      </c>
      <c r="V86" s="82">
        <f>(1.07)*V$11</f>
        <v>1.07</v>
      </c>
      <c r="W86" s="82">
        <f>(0.723)*W$11</f>
        <v>0.723</v>
      </c>
      <c r="X86" s="41">
        <f>(0.0412)*X$11</f>
        <v>0.0412</v>
      </c>
      <c r="Y86">
        <f>(0.0419)*Y$11</f>
        <v>0.0419</v>
      </c>
      <c r="Z86" s="82">
        <f>(2.09)*Z$11</f>
        <v>2.09</v>
      </c>
      <c r="AA86">
        <v>0.759</v>
      </c>
      <c r="AB86">
        <v>0.91</v>
      </c>
    </row>
    <row r="87" spans="1:28" ht="12.75">
      <c r="A87" t="s">
        <v>512</v>
      </c>
      <c r="B87" t="s">
        <v>513</v>
      </c>
      <c r="C87">
        <v>13.6</v>
      </c>
      <c r="D87" s="25">
        <f>(3.89)*$D$11</f>
        <v>3.89</v>
      </c>
      <c r="E87" s="82">
        <f t="shared" si="11"/>
        <v>4</v>
      </c>
      <c r="F87" s="82">
        <f>(3)*F$11</f>
        <v>3</v>
      </c>
      <c r="G87" s="82">
        <f>(0.625)*G$11</f>
        <v>0.625</v>
      </c>
      <c r="H87">
        <v>1</v>
      </c>
      <c r="I87">
        <v>1</v>
      </c>
      <c r="J87" s="82">
        <f>(0.867)*$J$11</f>
        <v>0.867</v>
      </c>
      <c r="K87" s="82">
        <f>(1.37)*$K$11</f>
        <v>1.37</v>
      </c>
      <c r="L87">
        <v>0.498</v>
      </c>
      <c r="M87" s="82">
        <f>(0.498)*M$11</f>
        <v>0.498</v>
      </c>
      <c r="N87" s="82">
        <f>(0.81)*N$11</f>
        <v>0.81</v>
      </c>
      <c r="O87" s="41">
        <f>(6.01)*$O$11</f>
        <v>6.01</v>
      </c>
      <c r="P87">
        <v>4.08</v>
      </c>
      <c r="Q87">
        <v>2.28</v>
      </c>
      <c r="R87" s="82">
        <f>(1.23)*R$11</f>
        <v>1.23</v>
      </c>
      <c r="S87" s="41">
        <f>(2.85)*S$11</f>
        <v>2.85</v>
      </c>
      <c r="T87">
        <v>2.45</v>
      </c>
      <c r="U87">
        <v>1.34</v>
      </c>
      <c r="V87" s="82">
        <f>(0.845)*V$11</f>
        <v>0.845</v>
      </c>
      <c r="W87" s="82">
        <f>(0.631)*W$11</f>
        <v>0.631</v>
      </c>
      <c r="X87" s="41">
        <f>(0.529)*X$11</f>
        <v>0.529</v>
      </c>
      <c r="Y87">
        <f>(0.472)*Y$11</f>
        <v>0.472</v>
      </c>
      <c r="Z87" s="82">
        <f>(1.91)*Z$11</f>
        <v>1.91</v>
      </c>
      <c r="AA87">
        <v>0.534</v>
      </c>
      <c r="AB87">
        <v>1</v>
      </c>
    </row>
    <row r="88" spans="1:28" ht="12.75">
      <c r="A88" t="s">
        <v>514</v>
      </c>
      <c r="B88" t="s">
        <v>515</v>
      </c>
      <c r="C88">
        <v>11.1</v>
      </c>
      <c r="D88" s="25">
        <f>(3.25)*$D$11</f>
        <v>3.25</v>
      </c>
      <c r="E88" s="82">
        <f t="shared" si="11"/>
        <v>4</v>
      </c>
      <c r="F88" s="82">
        <f>(3)*F$11</f>
        <v>3</v>
      </c>
      <c r="G88" s="82">
        <f>(0.5)*G$11</f>
        <v>0.5</v>
      </c>
      <c r="H88">
        <v>0.875</v>
      </c>
      <c r="I88">
        <v>0.875</v>
      </c>
      <c r="J88" s="82">
        <f>(0.822)*$J$11</f>
        <v>0.822</v>
      </c>
      <c r="K88" s="82">
        <f>(1.32)*$K$11</f>
        <v>1.32</v>
      </c>
      <c r="L88">
        <v>0.407</v>
      </c>
      <c r="M88" s="82">
        <f>(0.407)*M$11</f>
        <v>0.407</v>
      </c>
      <c r="N88" s="82">
        <f>(0.747)*N$11</f>
        <v>0.747</v>
      </c>
      <c r="O88" s="41">
        <f>(5.02)*$O$11</f>
        <v>5.02</v>
      </c>
      <c r="P88">
        <v>3.36</v>
      </c>
      <c r="Q88">
        <v>1.87</v>
      </c>
      <c r="R88" s="82">
        <f>(1.24)*R$11</f>
        <v>1.24</v>
      </c>
      <c r="S88" s="41">
        <f>(2.4)*S$11</f>
        <v>2.4</v>
      </c>
      <c r="T88">
        <v>1.99</v>
      </c>
      <c r="U88">
        <v>1.1</v>
      </c>
      <c r="V88" s="82">
        <f>(0.858)*V$11</f>
        <v>0.858</v>
      </c>
      <c r="W88" s="82">
        <f>(0.633)*W$11</f>
        <v>0.633</v>
      </c>
      <c r="X88" s="41">
        <f>(0.281)*X$11</f>
        <v>0.281</v>
      </c>
      <c r="Y88">
        <f>(0.255)*Y$11</f>
        <v>0.255</v>
      </c>
      <c r="Z88" s="82">
        <f>(1.94)*Z$11</f>
        <v>1.94</v>
      </c>
      <c r="AA88">
        <v>0.542</v>
      </c>
      <c r="AB88">
        <v>1</v>
      </c>
    </row>
    <row r="89" spans="1:28" ht="12.75">
      <c r="A89" t="s">
        <v>516</v>
      </c>
      <c r="B89" t="s">
        <v>517</v>
      </c>
      <c r="C89">
        <v>8.5</v>
      </c>
      <c r="D89" s="25">
        <f>(2.48)*$D$11</f>
        <v>2.48</v>
      </c>
      <c r="E89" s="82">
        <f t="shared" si="11"/>
        <v>4</v>
      </c>
      <c r="F89" s="82">
        <f>(3)*F$11</f>
        <v>3</v>
      </c>
      <c r="G89" s="82">
        <f>(0.375)*G$11</f>
        <v>0.375</v>
      </c>
      <c r="H89">
        <v>0.75</v>
      </c>
      <c r="I89">
        <v>0.75</v>
      </c>
      <c r="J89" s="82">
        <f>(0.775)*$J$11</f>
        <v>0.775</v>
      </c>
      <c r="K89" s="82">
        <f>(1.27)*$K$11</f>
        <v>1.27</v>
      </c>
      <c r="L89">
        <v>0.311</v>
      </c>
      <c r="M89" s="82">
        <f>(0.311)*M$11</f>
        <v>0.311</v>
      </c>
      <c r="N89" s="82">
        <f>(0.683)*N$11</f>
        <v>0.683</v>
      </c>
      <c r="O89" s="41">
        <f>(3.94)*$O$11</f>
        <v>3.94</v>
      </c>
      <c r="P89">
        <v>2.6</v>
      </c>
      <c r="Q89">
        <v>1.44</v>
      </c>
      <c r="R89" s="82">
        <f>(1.26)*R$11</f>
        <v>1.26</v>
      </c>
      <c r="S89" s="41">
        <f>(1.89)*S$11</f>
        <v>1.89</v>
      </c>
      <c r="T89">
        <v>1.52</v>
      </c>
      <c r="U89">
        <v>0.851</v>
      </c>
      <c r="V89" s="82">
        <f>(0.873)*V$11</f>
        <v>0.873</v>
      </c>
      <c r="W89" s="82">
        <f>(0.636)*W$11</f>
        <v>0.636</v>
      </c>
      <c r="X89" s="41">
        <f>(0.123)*X$11</f>
        <v>0.123</v>
      </c>
      <c r="Y89">
        <f>(0.114)*Y$11</f>
        <v>0.114</v>
      </c>
      <c r="Z89" s="82">
        <f>(1.97)*Z$11</f>
        <v>1.97</v>
      </c>
      <c r="AA89">
        <v>0.551</v>
      </c>
      <c r="AB89">
        <v>1</v>
      </c>
    </row>
    <row r="90" spans="1:28" ht="12.75">
      <c r="A90" t="s">
        <v>518</v>
      </c>
      <c r="B90" t="s">
        <v>519</v>
      </c>
      <c r="C90">
        <v>7.2</v>
      </c>
      <c r="D90" s="25">
        <f>(2.09)*$D$11</f>
        <v>2.09</v>
      </c>
      <c r="E90" s="82">
        <f t="shared" si="11"/>
        <v>4</v>
      </c>
      <c r="F90" s="82">
        <f>(3)*F$11</f>
        <v>3</v>
      </c>
      <c r="G90" s="82">
        <f>(0.3125)*G$11</f>
        <v>0.3125</v>
      </c>
      <c r="H90">
        <v>0.688</v>
      </c>
      <c r="I90">
        <v>0.6875</v>
      </c>
      <c r="J90" s="82">
        <f>(0.75)*$J$11</f>
        <v>0.75</v>
      </c>
      <c r="K90" s="82">
        <f>(1.25)*$K$11</f>
        <v>1.25</v>
      </c>
      <c r="L90">
        <v>0.262</v>
      </c>
      <c r="M90" s="82">
        <f>(0.262)*M$11</f>
        <v>0.262</v>
      </c>
      <c r="N90" s="82">
        <f>(0.651)*N$11</f>
        <v>0.651</v>
      </c>
      <c r="O90" s="41">
        <f>(3.36)*$O$11</f>
        <v>3.36</v>
      </c>
      <c r="P90">
        <v>2.19</v>
      </c>
      <c r="Q90">
        <v>1.22</v>
      </c>
      <c r="R90" s="82">
        <f>(1.27)*R$11</f>
        <v>1.27</v>
      </c>
      <c r="S90" s="41">
        <f>(1.62)*S$11</f>
        <v>1.62</v>
      </c>
      <c r="T90">
        <v>1.28</v>
      </c>
      <c r="U90">
        <v>0.721</v>
      </c>
      <c r="V90" s="82">
        <f>(0.88)*V$11</f>
        <v>0.88</v>
      </c>
      <c r="W90" s="82">
        <f>(0.638)*W$11</f>
        <v>0.638</v>
      </c>
      <c r="X90" s="41">
        <f>(0.0731)*X$11</f>
        <v>0.0731</v>
      </c>
      <c r="Y90">
        <f>(0.0676)*Y$11</f>
        <v>0.0676</v>
      </c>
      <c r="Z90" s="82">
        <f>(1.98)*Z$11</f>
        <v>1.98</v>
      </c>
      <c r="AA90">
        <v>0.554</v>
      </c>
      <c r="AB90">
        <v>1</v>
      </c>
    </row>
    <row r="91" spans="1:28" ht="12.75">
      <c r="A91" t="s">
        <v>520</v>
      </c>
      <c r="B91" t="s">
        <v>521</v>
      </c>
      <c r="C91">
        <v>5.8</v>
      </c>
      <c r="D91" s="25">
        <f>(1.69)*$D$11</f>
        <v>1.69</v>
      </c>
      <c r="E91" s="82">
        <f t="shared" si="11"/>
        <v>4</v>
      </c>
      <c r="F91" s="82">
        <f>(3)*F$11</f>
        <v>3</v>
      </c>
      <c r="G91" s="82">
        <f>(0.25)*G$11</f>
        <v>0.25</v>
      </c>
      <c r="H91">
        <v>0.625</v>
      </c>
      <c r="I91">
        <v>0.625</v>
      </c>
      <c r="J91" s="82">
        <f>(0.725)*$J$11</f>
        <v>0.725</v>
      </c>
      <c r="K91" s="82">
        <f>(1.22)*$K$11</f>
        <v>1.22</v>
      </c>
      <c r="L91">
        <v>0.211</v>
      </c>
      <c r="M91" s="82">
        <f>(0.211)*M$11</f>
        <v>0.211</v>
      </c>
      <c r="N91" s="82">
        <f>(0.618)*N$11</f>
        <v>0.618</v>
      </c>
      <c r="O91" s="41">
        <f>(2.75)*$O$11</f>
        <v>2.75</v>
      </c>
      <c r="P91">
        <v>1.77</v>
      </c>
      <c r="Q91">
        <v>0.988</v>
      </c>
      <c r="R91" s="82">
        <f>(1.27)*R$11</f>
        <v>1.27</v>
      </c>
      <c r="S91" s="41">
        <f>(1.33)*S$11</f>
        <v>1.33</v>
      </c>
      <c r="T91">
        <v>1.03</v>
      </c>
      <c r="U91">
        <v>0.585</v>
      </c>
      <c r="V91" s="82">
        <f>(0.887)*V$11</f>
        <v>0.887</v>
      </c>
      <c r="W91" s="82">
        <f>(0.639)*W$11</f>
        <v>0.639</v>
      </c>
      <c r="X91" s="41">
        <f>(0.0386)*X$11</f>
        <v>0.0386</v>
      </c>
      <c r="Y91">
        <f>(0.0356)*Y$11</f>
        <v>0.0356</v>
      </c>
      <c r="Z91" s="82">
        <f>(1.99)*Z$11</f>
        <v>1.99</v>
      </c>
      <c r="AA91">
        <v>0.558</v>
      </c>
      <c r="AB91">
        <v>0.91</v>
      </c>
    </row>
    <row r="92" spans="1:28" ht="12.75">
      <c r="A92" t="s">
        <v>522</v>
      </c>
      <c r="B92" t="s">
        <v>523</v>
      </c>
      <c r="C92">
        <v>11.1</v>
      </c>
      <c r="D92" s="25">
        <f>(3.25)*$D$11</f>
        <v>3.25</v>
      </c>
      <c r="E92" s="82">
        <f aca="true" t="shared" si="12" ref="E92:F96">(3.5)*E$11</f>
        <v>3.5</v>
      </c>
      <c r="F92" s="82">
        <f t="shared" si="12"/>
        <v>3.5</v>
      </c>
      <c r="G92" s="82">
        <f>(0.5)*G$11</f>
        <v>0.5</v>
      </c>
      <c r="H92">
        <v>0.875</v>
      </c>
      <c r="I92">
        <v>0.875</v>
      </c>
      <c r="J92" s="82">
        <f>(1.05)*$J$11</f>
        <v>1.05</v>
      </c>
      <c r="K92" s="82">
        <f>(1.05)*$K$11</f>
        <v>1.05</v>
      </c>
      <c r="L92">
        <v>0.466</v>
      </c>
      <c r="M92" s="82">
        <f>(0.466)*M$11</f>
        <v>0.466</v>
      </c>
      <c r="N92" s="82">
        <f>(0.466)*N$11</f>
        <v>0.466</v>
      </c>
      <c r="O92" s="41">
        <f>(3.63)*$O$11</f>
        <v>3.63</v>
      </c>
      <c r="P92">
        <v>2.66</v>
      </c>
      <c r="Q92">
        <v>1.48</v>
      </c>
      <c r="R92" s="82">
        <f>(1.05)*R$11</f>
        <v>1.05</v>
      </c>
      <c r="S92" s="41">
        <f>(3.63)*S$11</f>
        <v>3.63</v>
      </c>
      <c r="T92">
        <v>2.66</v>
      </c>
      <c r="U92">
        <v>1.48</v>
      </c>
      <c r="V92" s="82">
        <f>(1.05)*V$11</f>
        <v>1.05</v>
      </c>
      <c r="W92" s="82">
        <f>(0.679)*W$11</f>
        <v>0.679</v>
      </c>
      <c r="X92" s="41">
        <f>(0.281)*X$11</f>
        <v>0.281</v>
      </c>
      <c r="Y92">
        <f>(0.238)*Y$11</f>
        <v>0.238</v>
      </c>
      <c r="Z92" s="82">
        <f>(1.87)*Z$11</f>
        <v>1.87</v>
      </c>
      <c r="AA92">
        <v>1</v>
      </c>
      <c r="AB92">
        <v>1</v>
      </c>
    </row>
    <row r="93" spans="1:28" ht="12.75">
      <c r="A93" t="s">
        <v>524</v>
      </c>
      <c r="B93" t="s">
        <v>525</v>
      </c>
      <c r="C93">
        <v>9.8</v>
      </c>
      <c r="D93" s="25">
        <f>(2.87)*$D$11</f>
        <v>2.87</v>
      </c>
      <c r="E93" s="82">
        <f t="shared" si="12"/>
        <v>3.5</v>
      </c>
      <c r="F93" s="82">
        <f t="shared" si="12"/>
        <v>3.5</v>
      </c>
      <c r="G93" s="82">
        <f>(0.4375)*G$11</f>
        <v>0.4375</v>
      </c>
      <c r="H93">
        <v>0.813</v>
      </c>
      <c r="I93">
        <v>0.8125</v>
      </c>
      <c r="J93" s="82">
        <f>(1.03)*$J$11</f>
        <v>1.03</v>
      </c>
      <c r="K93" s="82">
        <f>(1.03)*$K$11</f>
        <v>1.03</v>
      </c>
      <c r="L93">
        <v>0.412</v>
      </c>
      <c r="M93" s="82">
        <f>(0.412)*M$11</f>
        <v>0.412</v>
      </c>
      <c r="N93" s="82">
        <f>(0.412)*N$11</f>
        <v>0.412</v>
      </c>
      <c r="O93" s="41">
        <f>(3.25)*$O$11</f>
        <v>3.25</v>
      </c>
      <c r="P93">
        <v>2.36</v>
      </c>
      <c r="Q93">
        <v>1.32</v>
      </c>
      <c r="R93" s="82">
        <f>(1.06)*R$11</f>
        <v>1.06</v>
      </c>
      <c r="S93" s="41">
        <f>(3.25)*S$11</f>
        <v>3.25</v>
      </c>
      <c r="T93">
        <v>2.36</v>
      </c>
      <c r="U93">
        <v>1.32</v>
      </c>
      <c r="V93" s="82">
        <f>(1.06)*V$11</f>
        <v>1.06</v>
      </c>
      <c r="W93" s="82">
        <f>(0.681)*W$11</f>
        <v>0.681</v>
      </c>
      <c r="X93" s="41">
        <f>(0.192)*X$11</f>
        <v>0.192</v>
      </c>
      <c r="Y93">
        <f>(0.164)*Y$11</f>
        <v>0.164</v>
      </c>
      <c r="Z93" s="82">
        <f>(1.89)*Z$11</f>
        <v>1.89</v>
      </c>
      <c r="AA93">
        <v>1</v>
      </c>
      <c r="AB93">
        <v>1</v>
      </c>
    </row>
    <row r="94" spans="1:28" ht="12.75">
      <c r="A94" t="s">
        <v>526</v>
      </c>
      <c r="B94" t="s">
        <v>527</v>
      </c>
      <c r="C94">
        <v>8.5</v>
      </c>
      <c r="D94" s="25">
        <f>(2.48)*$D$11</f>
        <v>2.48</v>
      </c>
      <c r="E94" s="82">
        <f t="shared" si="12"/>
        <v>3.5</v>
      </c>
      <c r="F94" s="82">
        <f t="shared" si="12"/>
        <v>3.5</v>
      </c>
      <c r="G94" s="82">
        <f>(0.375)*G$11</f>
        <v>0.375</v>
      </c>
      <c r="H94">
        <v>0.75</v>
      </c>
      <c r="I94">
        <v>0.75</v>
      </c>
      <c r="J94" s="82">
        <f>(1)*$J$11</f>
        <v>1</v>
      </c>
      <c r="K94" s="82">
        <f>(1)*$K$11</f>
        <v>1</v>
      </c>
      <c r="L94">
        <v>0.357</v>
      </c>
      <c r="M94" s="82">
        <f>(0.357)*M$11</f>
        <v>0.357</v>
      </c>
      <c r="N94" s="82">
        <f>(0.357)*N$11</f>
        <v>0.357</v>
      </c>
      <c r="O94" s="41">
        <f>(2.86)*$O$11</f>
        <v>2.86</v>
      </c>
      <c r="P94">
        <v>2.06</v>
      </c>
      <c r="Q94">
        <v>1.15</v>
      </c>
      <c r="R94" s="82">
        <f>(1.07)*R$11</f>
        <v>1.07</v>
      </c>
      <c r="S94" s="41">
        <f>(2.86)*S$11</f>
        <v>2.86</v>
      </c>
      <c r="T94">
        <v>2.05</v>
      </c>
      <c r="U94">
        <v>1.15</v>
      </c>
      <c r="V94" s="82">
        <f>(1.07)*V$11</f>
        <v>1.07</v>
      </c>
      <c r="W94" s="82">
        <f>(0.683)*W$11</f>
        <v>0.683</v>
      </c>
      <c r="X94" s="41">
        <f>(0.123)*X$11</f>
        <v>0.123</v>
      </c>
      <c r="Y94">
        <f>(0.106)*Y$11</f>
        <v>0.106</v>
      </c>
      <c r="Z94" s="82">
        <f>(1.9)*Z$11</f>
        <v>1.9</v>
      </c>
      <c r="AA94">
        <v>1</v>
      </c>
      <c r="AB94">
        <v>1</v>
      </c>
    </row>
    <row r="95" spans="1:28" ht="12.75">
      <c r="A95" t="s">
        <v>528</v>
      </c>
      <c r="B95" t="s">
        <v>529</v>
      </c>
      <c r="C95">
        <v>7.2</v>
      </c>
      <c r="D95" s="25">
        <f>(2.09)*$D$11</f>
        <v>2.09</v>
      </c>
      <c r="E95" s="82">
        <f t="shared" si="12"/>
        <v>3.5</v>
      </c>
      <c r="F95" s="82">
        <f t="shared" si="12"/>
        <v>3.5</v>
      </c>
      <c r="G95" s="82">
        <f>(0.3125)*G$11</f>
        <v>0.3125</v>
      </c>
      <c r="H95">
        <v>0.688</v>
      </c>
      <c r="I95">
        <v>0.6875</v>
      </c>
      <c r="J95" s="82">
        <f>(0.979)*$J$11</f>
        <v>0.979</v>
      </c>
      <c r="K95" s="82">
        <f>(0.979)*$K$11</f>
        <v>0.979</v>
      </c>
      <c r="L95">
        <v>0.301</v>
      </c>
      <c r="M95" s="82">
        <f>(0.301)*M$11</f>
        <v>0.301</v>
      </c>
      <c r="N95" s="82">
        <f>(0.301)*N$11</f>
        <v>0.301</v>
      </c>
      <c r="O95" s="41">
        <f>(2.44)*$O$11</f>
        <v>2.44</v>
      </c>
      <c r="P95">
        <v>1.74</v>
      </c>
      <c r="Q95">
        <v>0.969</v>
      </c>
      <c r="R95" s="82">
        <f>(1.08)*R$11</f>
        <v>1.08</v>
      </c>
      <c r="S95" s="41">
        <f>(2.44)*S$11</f>
        <v>2.44</v>
      </c>
      <c r="T95">
        <v>1.74</v>
      </c>
      <c r="U95">
        <v>0.969</v>
      </c>
      <c r="V95" s="82">
        <f>(1.08)*V$11</f>
        <v>1.08</v>
      </c>
      <c r="W95" s="82">
        <f>(0.685)*W$11</f>
        <v>0.685</v>
      </c>
      <c r="X95" s="41">
        <f>(0.0731)*X$11</f>
        <v>0.0731</v>
      </c>
      <c r="Y95">
        <f>(0.0634)*Y$11</f>
        <v>0.0634</v>
      </c>
      <c r="Z95" s="82">
        <f>(1.92)*Z$11</f>
        <v>1.92</v>
      </c>
      <c r="AA95">
        <v>1</v>
      </c>
      <c r="AB95">
        <v>1</v>
      </c>
    </row>
    <row r="96" spans="1:28" ht="12.75">
      <c r="A96" t="s">
        <v>530</v>
      </c>
      <c r="B96" t="s">
        <v>531</v>
      </c>
      <c r="C96">
        <v>5.8</v>
      </c>
      <c r="D96" s="25">
        <f>(1.69)*$D$11</f>
        <v>1.69</v>
      </c>
      <c r="E96" s="82">
        <f t="shared" si="12"/>
        <v>3.5</v>
      </c>
      <c r="F96" s="82">
        <f t="shared" si="12"/>
        <v>3.5</v>
      </c>
      <c r="G96" s="82">
        <f>(0.25)*G$11</f>
        <v>0.25</v>
      </c>
      <c r="H96">
        <v>0.625</v>
      </c>
      <c r="I96">
        <v>0.625</v>
      </c>
      <c r="J96" s="82">
        <f>(0.954)*$J$11</f>
        <v>0.954</v>
      </c>
      <c r="K96" s="82">
        <f>(0.954)*$K$11</f>
        <v>0.954</v>
      </c>
      <c r="L96">
        <v>0.243</v>
      </c>
      <c r="M96" s="82">
        <f>(0.243)*M$11</f>
        <v>0.243</v>
      </c>
      <c r="N96" s="82">
        <f>(0.243)*N$11</f>
        <v>0.243</v>
      </c>
      <c r="O96" s="41">
        <f>(2)*$O$11</f>
        <v>2</v>
      </c>
      <c r="P96">
        <v>1.41</v>
      </c>
      <c r="Q96">
        <v>0.787</v>
      </c>
      <c r="R96" s="82">
        <f>(1.09)*R$11</f>
        <v>1.09</v>
      </c>
      <c r="S96" s="41">
        <f>(2)*S$11</f>
        <v>2</v>
      </c>
      <c r="T96">
        <v>1.41</v>
      </c>
      <c r="U96">
        <v>0.787</v>
      </c>
      <c r="V96" s="82">
        <f>(1.09)*V$11</f>
        <v>1.09</v>
      </c>
      <c r="W96" s="82">
        <f>(0.688)*W$11</f>
        <v>0.688</v>
      </c>
      <c r="X96" s="41">
        <f>(0.0386)*X$11</f>
        <v>0.0386</v>
      </c>
      <c r="Y96">
        <f>(0.0334)*Y$11</f>
        <v>0.0334</v>
      </c>
      <c r="Z96" s="82">
        <f>(1.93)*Z$11</f>
        <v>1.93</v>
      </c>
      <c r="AA96">
        <v>1</v>
      </c>
      <c r="AB96">
        <v>0.97</v>
      </c>
    </row>
    <row r="97" spans="1:28" ht="12.75">
      <c r="A97" t="s">
        <v>532</v>
      </c>
      <c r="B97" t="s">
        <v>533</v>
      </c>
      <c r="C97">
        <v>10.2</v>
      </c>
      <c r="D97" s="25">
        <f>(3)*$D$11</f>
        <v>3</v>
      </c>
      <c r="E97" s="82">
        <f aca="true" t="shared" si="13" ref="E97:E105">(3.5)*E$11</f>
        <v>3.5</v>
      </c>
      <c r="F97" s="82">
        <f>(3)*F$11</f>
        <v>3</v>
      </c>
      <c r="G97" s="82">
        <f>(0.5)*G$11</f>
        <v>0.5</v>
      </c>
      <c r="H97">
        <v>0.875</v>
      </c>
      <c r="I97">
        <v>0.875</v>
      </c>
      <c r="J97" s="82">
        <f>(0.869)*$J$11</f>
        <v>0.869</v>
      </c>
      <c r="K97" s="82">
        <f>(1.12)*$K$11</f>
        <v>1.12</v>
      </c>
      <c r="L97">
        <v>0.431</v>
      </c>
      <c r="M97" s="82">
        <f>(0.431)*M$11</f>
        <v>0.431</v>
      </c>
      <c r="N97" s="82">
        <f>(0.48)*N$11</f>
        <v>0.48</v>
      </c>
      <c r="O97" s="41">
        <f>(3.45)*$O$11</f>
        <v>3.45</v>
      </c>
      <c r="P97">
        <v>2.61</v>
      </c>
      <c r="Q97">
        <v>1.45</v>
      </c>
      <c r="R97" s="82">
        <f>(1.07)*R$11</f>
        <v>1.07</v>
      </c>
      <c r="S97" s="41">
        <f>(2.32)*S$11</f>
        <v>2.32</v>
      </c>
      <c r="T97">
        <v>1.97</v>
      </c>
      <c r="U97">
        <v>1.09</v>
      </c>
      <c r="V97" s="82">
        <f>(0.877)*V$11</f>
        <v>0.877</v>
      </c>
      <c r="W97" s="82">
        <f>(0.618)*W$11</f>
        <v>0.618</v>
      </c>
      <c r="X97" s="41">
        <f>(0.26)*X$11</f>
        <v>0.26</v>
      </c>
      <c r="Y97">
        <f>(0.191)*Y$11</f>
        <v>0.191</v>
      </c>
      <c r="Z97" s="82">
        <f>(1.75)*Z$11</f>
        <v>1.75</v>
      </c>
      <c r="AA97">
        <v>0.713</v>
      </c>
      <c r="AB97">
        <v>1</v>
      </c>
    </row>
    <row r="98" spans="1:28" ht="12.75">
      <c r="A98" t="s">
        <v>534</v>
      </c>
      <c r="B98" t="s">
        <v>535</v>
      </c>
      <c r="C98">
        <v>9.1</v>
      </c>
      <c r="D98" s="25">
        <f>(2.65)*$D$11</f>
        <v>2.65</v>
      </c>
      <c r="E98" s="82">
        <f t="shared" si="13"/>
        <v>3.5</v>
      </c>
      <c r="F98" s="82">
        <f>(3)*F$11</f>
        <v>3</v>
      </c>
      <c r="G98" s="82">
        <f>(0.4375)*G$11</f>
        <v>0.4375</v>
      </c>
      <c r="H98">
        <v>0.813</v>
      </c>
      <c r="I98">
        <v>0.8125</v>
      </c>
      <c r="J98" s="82">
        <f>(0.846)*$J$11</f>
        <v>0.846</v>
      </c>
      <c r="K98" s="82">
        <f>(1.09)*$K$11</f>
        <v>1.09</v>
      </c>
      <c r="L98">
        <v>0.382</v>
      </c>
      <c r="M98" s="82">
        <f>(0.382)*M$11</f>
        <v>0.382</v>
      </c>
      <c r="N98" s="82">
        <f>(0.446)*N$11</f>
        <v>0.446</v>
      </c>
      <c r="O98" s="41">
        <f>(3.1)*$O$11</f>
        <v>3.1</v>
      </c>
      <c r="P98">
        <v>2.32</v>
      </c>
      <c r="Q98">
        <v>1.29</v>
      </c>
      <c r="R98" s="82">
        <f>(1.08)*R$11</f>
        <v>1.08</v>
      </c>
      <c r="S98" s="41">
        <f>(2.09)*S$11</f>
        <v>2.09</v>
      </c>
      <c r="T98">
        <v>1.75</v>
      </c>
      <c r="U98">
        <v>0.971</v>
      </c>
      <c r="V98" s="82">
        <f>(0.885)*V$11</f>
        <v>0.885</v>
      </c>
      <c r="W98" s="82">
        <f>(0.62)*W$11</f>
        <v>0.62</v>
      </c>
      <c r="X98" s="41">
        <f>(0.178)*X$11</f>
        <v>0.178</v>
      </c>
      <c r="Y98">
        <f>(0.132)*Y$11</f>
        <v>0.132</v>
      </c>
      <c r="Z98" s="82">
        <f>(1.76)*Z$11</f>
        <v>1.76</v>
      </c>
      <c r="AA98">
        <v>0.717</v>
      </c>
      <c r="AB98">
        <v>1</v>
      </c>
    </row>
    <row r="99" spans="1:28" ht="12.75">
      <c r="A99" t="s">
        <v>536</v>
      </c>
      <c r="B99" t="s">
        <v>537</v>
      </c>
      <c r="C99">
        <v>7.9</v>
      </c>
      <c r="D99" s="25">
        <f>(2.3)*$D$11</f>
        <v>2.3</v>
      </c>
      <c r="E99" s="82">
        <f t="shared" si="13"/>
        <v>3.5</v>
      </c>
      <c r="F99" s="82">
        <f>(3)*F$11</f>
        <v>3</v>
      </c>
      <c r="G99" s="82">
        <f>(0.375)*G$11</f>
        <v>0.375</v>
      </c>
      <c r="H99">
        <v>0.75</v>
      </c>
      <c r="I99">
        <v>0.75</v>
      </c>
      <c r="J99" s="82">
        <f>(0.823)*$J$11</f>
        <v>0.823</v>
      </c>
      <c r="K99" s="82">
        <f>(1.07)*$K$11</f>
        <v>1.07</v>
      </c>
      <c r="L99">
        <v>0.331</v>
      </c>
      <c r="M99" s="82">
        <f>(0.331)*M$11</f>
        <v>0.331</v>
      </c>
      <c r="N99" s="82">
        <f>(0.411)*N$11</f>
        <v>0.411</v>
      </c>
      <c r="O99" s="41">
        <f>(2.73)*$O$11</f>
        <v>2.73</v>
      </c>
      <c r="P99">
        <v>2.03</v>
      </c>
      <c r="Q99">
        <v>1.12</v>
      </c>
      <c r="R99" s="82">
        <f>(1.09)*R$11</f>
        <v>1.09</v>
      </c>
      <c r="S99" s="41">
        <f>(1.84)*S$11</f>
        <v>1.84</v>
      </c>
      <c r="T99">
        <v>1.52</v>
      </c>
      <c r="U99">
        <v>0.847</v>
      </c>
      <c r="V99" s="82">
        <f>(0.892)*V$11</f>
        <v>0.892</v>
      </c>
      <c r="W99" s="82">
        <f>(0.622)*W$11</f>
        <v>0.622</v>
      </c>
      <c r="X99" s="41">
        <f>(0.114)*X$11</f>
        <v>0.114</v>
      </c>
      <c r="Y99">
        <f>(0.0858)*Y$11</f>
        <v>0.0858</v>
      </c>
      <c r="Z99" s="82">
        <f>(1.78)*Z$11</f>
        <v>1.78</v>
      </c>
      <c r="AA99">
        <v>0.72</v>
      </c>
      <c r="AB99">
        <v>1</v>
      </c>
    </row>
    <row r="100" spans="1:28" ht="12.75">
      <c r="A100" t="s">
        <v>538</v>
      </c>
      <c r="B100" t="s">
        <v>539</v>
      </c>
      <c r="C100">
        <v>6.6</v>
      </c>
      <c r="D100" s="25">
        <f>(1.93)*$D$11</f>
        <v>1.93</v>
      </c>
      <c r="E100" s="82">
        <f t="shared" si="13"/>
        <v>3.5</v>
      </c>
      <c r="F100" s="82">
        <f>(3)*F$11</f>
        <v>3</v>
      </c>
      <c r="G100" s="82">
        <f>(0.3125)*G$11</f>
        <v>0.3125</v>
      </c>
      <c r="H100">
        <v>0.688</v>
      </c>
      <c r="I100">
        <v>0.6875</v>
      </c>
      <c r="J100" s="82">
        <f>(0.798)*$J$11</f>
        <v>0.798</v>
      </c>
      <c r="K100" s="82">
        <f>(1.05)*$K$11</f>
        <v>1.05</v>
      </c>
      <c r="L100">
        <v>0.279</v>
      </c>
      <c r="M100" s="82">
        <f>(0.279)*M$11</f>
        <v>0.279</v>
      </c>
      <c r="N100" s="82">
        <f>(0.375)*N$11</f>
        <v>0.375</v>
      </c>
      <c r="O100" s="41">
        <f>(2.33)*$O$11</f>
        <v>2.33</v>
      </c>
      <c r="P100">
        <v>1.72</v>
      </c>
      <c r="Q100">
        <v>0.951</v>
      </c>
      <c r="R100" s="82">
        <f>(1.09)*R$11</f>
        <v>1.09</v>
      </c>
      <c r="S100" s="41">
        <f>(1.58)*S$11</f>
        <v>1.58</v>
      </c>
      <c r="T100">
        <v>1.28</v>
      </c>
      <c r="U100">
        <v>0.718</v>
      </c>
      <c r="V100" s="82">
        <f>(0.9)*V$11</f>
        <v>0.9</v>
      </c>
      <c r="W100" s="82">
        <f>(0.624)*W$11</f>
        <v>0.624</v>
      </c>
      <c r="X100" s="41">
        <f>(0.068)*X$11</f>
        <v>0.068</v>
      </c>
      <c r="Y100">
        <f>(0.0512)*Y$11</f>
        <v>0.0512</v>
      </c>
      <c r="Z100" s="82">
        <f>(1.79)*Z$11</f>
        <v>1.79</v>
      </c>
      <c r="AA100">
        <v>0.722</v>
      </c>
      <c r="AB100">
        <v>1</v>
      </c>
    </row>
    <row r="101" spans="1:28" ht="12.75">
      <c r="A101" t="s">
        <v>540</v>
      </c>
      <c r="B101" t="s">
        <v>541</v>
      </c>
      <c r="C101">
        <v>5.4</v>
      </c>
      <c r="D101" s="25">
        <f>(1.56)*$D$11</f>
        <v>1.56</v>
      </c>
      <c r="E101" s="82">
        <f t="shared" si="13"/>
        <v>3.5</v>
      </c>
      <c r="F101" s="82">
        <f>(3)*F$11</f>
        <v>3</v>
      </c>
      <c r="G101" s="82">
        <f>(0.25)*G$11</f>
        <v>0.25</v>
      </c>
      <c r="H101">
        <v>0.625</v>
      </c>
      <c r="I101">
        <v>0.625</v>
      </c>
      <c r="J101" s="82">
        <f>(0.773)*$J$11</f>
        <v>0.773</v>
      </c>
      <c r="K101" s="82">
        <f>(1.02)*$K$11</f>
        <v>1.02</v>
      </c>
      <c r="L101">
        <v>0.226</v>
      </c>
      <c r="M101" s="82">
        <f>(0.226)*M$11</f>
        <v>0.226</v>
      </c>
      <c r="N101" s="82">
        <f>(0.336)*N$11</f>
        <v>0.336</v>
      </c>
      <c r="O101" s="41">
        <f>(1.92)*$O$11</f>
        <v>1.92</v>
      </c>
      <c r="P101">
        <v>1.39</v>
      </c>
      <c r="Q101">
        <v>0.773</v>
      </c>
      <c r="R101" s="82">
        <f>(1.1)*R$11</f>
        <v>1.1</v>
      </c>
      <c r="S101" s="41">
        <f>(1.3)*S$11</f>
        <v>1.3</v>
      </c>
      <c r="T101">
        <v>1.04</v>
      </c>
      <c r="U101">
        <v>0.585</v>
      </c>
      <c r="V101" s="82">
        <f>(0.908)*V$11</f>
        <v>0.908</v>
      </c>
      <c r="W101" s="82">
        <f>(0.628)*W$11</f>
        <v>0.628</v>
      </c>
      <c r="X101" s="41">
        <f>(0.036)*X$11</f>
        <v>0.036</v>
      </c>
      <c r="Y101">
        <f>(0.027)*Y$11</f>
        <v>0.027</v>
      </c>
      <c r="Z101" s="82">
        <f>(1.8)*Z$11</f>
        <v>1.8</v>
      </c>
      <c r="AA101">
        <v>0.725</v>
      </c>
      <c r="AB101">
        <v>0.97</v>
      </c>
    </row>
    <row r="102" spans="1:28" ht="12.75">
      <c r="A102" t="s">
        <v>542</v>
      </c>
      <c r="B102" t="s">
        <v>543</v>
      </c>
      <c r="C102">
        <v>9.4</v>
      </c>
      <c r="D102" s="25">
        <f>(2.75)*$D$11</f>
        <v>2.75</v>
      </c>
      <c r="E102" s="82">
        <f t="shared" si="13"/>
        <v>3.5</v>
      </c>
      <c r="F102" s="82">
        <f>(2.5)*F$11</f>
        <v>2.5</v>
      </c>
      <c r="G102" s="82">
        <f>(0.5)*G$11</f>
        <v>0.5</v>
      </c>
      <c r="H102">
        <v>0.875</v>
      </c>
      <c r="I102">
        <v>0.875</v>
      </c>
      <c r="J102" s="82">
        <f>(0.701)*$J$11</f>
        <v>0.701</v>
      </c>
      <c r="K102" s="82">
        <f>(1.2)*$K$11</f>
        <v>1.2</v>
      </c>
      <c r="L102">
        <v>0.395</v>
      </c>
      <c r="M102" s="82">
        <f>(0.395)*M$11</f>
        <v>0.395</v>
      </c>
      <c r="N102" s="82">
        <f>(0.736)*N$11</f>
        <v>0.736</v>
      </c>
      <c r="O102" s="41">
        <f>(3.24)*$O$11</f>
        <v>3.24</v>
      </c>
      <c r="P102">
        <v>2.52</v>
      </c>
      <c r="Q102">
        <v>1.41</v>
      </c>
      <c r="R102" s="82">
        <f>(1.08)*R$11</f>
        <v>1.08</v>
      </c>
      <c r="S102" s="41">
        <f>(1.36)*S$11</f>
        <v>1.36</v>
      </c>
      <c r="T102">
        <v>1.39</v>
      </c>
      <c r="U102">
        <v>0.756</v>
      </c>
      <c r="V102" s="82">
        <f>(0.701)*V$11</f>
        <v>0.701</v>
      </c>
      <c r="W102" s="82">
        <f>(0.532)*W$11</f>
        <v>0.532</v>
      </c>
      <c r="X102" s="41">
        <f>(0.234)*X$11</f>
        <v>0.234</v>
      </c>
      <c r="Y102">
        <f>(0.159)*Y$11</f>
        <v>0.159</v>
      </c>
      <c r="Z102" s="82">
        <f>(1.66)*Z$11</f>
        <v>1.66</v>
      </c>
      <c r="AA102">
        <v>0.485</v>
      </c>
      <c r="AB102">
        <v>1</v>
      </c>
    </row>
    <row r="103" spans="1:28" ht="12.75">
      <c r="A103" t="s">
        <v>544</v>
      </c>
      <c r="B103" t="s">
        <v>545</v>
      </c>
      <c r="C103">
        <v>7.2</v>
      </c>
      <c r="D103" s="25">
        <f>(2.11)*$D$11</f>
        <v>2.11</v>
      </c>
      <c r="E103" s="82">
        <f t="shared" si="13"/>
        <v>3.5</v>
      </c>
      <c r="F103" s="82">
        <f>(2.5)*F$11</f>
        <v>2.5</v>
      </c>
      <c r="G103" s="82">
        <f>(0.375)*G$11</f>
        <v>0.375</v>
      </c>
      <c r="H103">
        <v>0.75</v>
      </c>
      <c r="I103">
        <v>0.75</v>
      </c>
      <c r="J103" s="82">
        <f>(0.655)*$J$11</f>
        <v>0.655</v>
      </c>
      <c r="K103" s="82">
        <f>(1.15)*$K$11</f>
        <v>1.15</v>
      </c>
      <c r="L103">
        <v>0.303</v>
      </c>
      <c r="M103" s="82">
        <f>(0.303)*M$11</f>
        <v>0.303</v>
      </c>
      <c r="N103" s="82">
        <f>(0.668)*N$11</f>
        <v>0.668</v>
      </c>
      <c r="O103" s="41">
        <f>(2.56)*$O$11</f>
        <v>2.56</v>
      </c>
      <c r="P103">
        <v>1.96</v>
      </c>
      <c r="Q103">
        <v>1.09</v>
      </c>
      <c r="R103" s="82">
        <f>(1.1)*R$11</f>
        <v>1.1</v>
      </c>
      <c r="S103" s="41">
        <f>(1.09)*S$11</f>
        <v>1.09</v>
      </c>
      <c r="T103">
        <v>1.07</v>
      </c>
      <c r="U103">
        <v>0.589</v>
      </c>
      <c r="V103" s="82">
        <f>(0.716)*V$11</f>
        <v>0.716</v>
      </c>
      <c r="W103" s="82">
        <f>(0.535)*W$11</f>
        <v>0.535</v>
      </c>
      <c r="X103" s="41">
        <f>(0.103)*X$11</f>
        <v>0.103</v>
      </c>
      <c r="Y103">
        <f>(0.0714)*Y$11</f>
        <v>0.0714</v>
      </c>
      <c r="Z103" s="82">
        <f>(1.69)*Z$11</f>
        <v>1.69</v>
      </c>
      <c r="AA103">
        <v>0.495</v>
      </c>
      <c r="AB103">
        <v>1</v>
      </c>
    </row>
    <row r="104" spans="1:28" ht="12.75">
      <c r="A104" t="s">
        <v>546</v>
      </c>
      <c r="B104" t="s">
        <v>547</v>
      </c>
      <c r="C104">
        <v>6.1</v>
      </c>
      <c r="D104" s="25">
        <f>(1.78)*$D$11</f>
        <v>1.78</v>
      </c>
      <c r="E104" s="82">
        <f t="shared" si="13"/>
        <v>3.5</v>
      </c>
      <c r="F104" s="82">
        <f>(2.5)*F$11</f>
        <v>2.5</v>
      </c>
      <c r="G104" s="82">
        <f>(0.3125)*G$11</f>
        <v>0.3125</v>
      </c>
      <c r="H104">
        <v>0.688</v>
      </c>
      <c r="I104">
        <v>0.6875</v>
      </c>
      <c r="J104" s="82">
        <f>(0.632)*$J$11</f>
        <v>0.632</v>
      </c>
      <c r="K104" s="82">
        <f>(1.13)*$K$11</f>
        <v>1.13</v>
      </c>
      <c r="L104">
        <v>0.256</v>
      </c>
      <c r="M104" s="82">
        <f>(0.256)*M$11</f>
        <v>0.256</v>
      </c>
      <c r="N104" s="82">
        <f>(0.633)*N$11</f>
        <v>0.633</v>
      </c>
      <c r="O104" s="41">
        <f>(2.2)*$O$11</f>
        <v>2.2</v>
      </c>
      <c r="P104">
        <v>1.67</v>
      </c>
      <c r="Q104">
        <v>0.925</v>
      </c>
      <c r="R104" s="82">
        <f>(1.11)*R$11</f>
        <v>1.11</v>
      </c>
      <c r="S104" s="41">
        <f>(0.937)*S$11</f>
        <v>0.937</v>
      </c>
      <c r="T104">
        <v>0.9</v>
      </c>
      <c r="U104">
        <v>0.501</v>
      </c>
      <c r="V104" s="82">
        <f>(0.723)*V$11</f>
        <v>0.723</v>
      </c>
      <c r="W104" s="82">
        <f>(0.538)*W$11</f>
        <v>0.538</v>
      </c>
      <c r="X104" s="41">
        <f>(0.0611)*X$11</f>
        <v>0.0611</v>
      </c>
      <c r="Y104">
        <f>(0.0426)*Y$11</f>
        <v>0.0426</v>
      </c>
      <c r="Z104" s="82">
        <f>(1.71)*Z$11</f>
        <v>1.71</v>
      </c>
      <c r="AA104">
        <v>0.5</v>
      </c>
      <c r="AB104">
        <v>1</v>
      </c>
    </row>
    <row r="105" spans="1:28" ht="12.75">
      <c r="A105" t="s">
        <v>548</v>
      </c>
      <c r="B105" t="s">
        <v>549</v>
      </c>
      <c r="C105">
        <v>4.9</v>
      </c>
      <c r="D105" s="25">
        <f>(1.44)*$D$11</f>
        <v>1.44</v>
      </c>
      <c r="E105" s="82">
        <f t="shared" si="13"/>
        <v>3.5</v>
      </c>
      <c r="F105" s="82">
        <f>(2.5)*F$11</f>
        <v>2.5</v>
      </c>
      <c r="G105" s="82">
        <f>(0.25)*G$11</f>
        <v>0.25</v>
      </c>
      <c r="H105">
        <v>0.625</v>
      </c>
      <c r="I105">
        <v>0.625</v>
      </c>
      <c r="J105" s="82">
        <f>(0.607)*$J$11</f>
        <v>0.607</v>
      </c>
      <c r="K105" s="82">
        <f>(1.1)*$K$11</f>
        <v>1.1</v>
      </c>
      <c r="L105">
        <v>0.207</v>
      </c>
      <c r="M105" s="82">
        <f>(0.207)*M$11</f>
        <v>0.207</v>
      </c>
      <c r="N105" s="82">
        <f>(0.596)*N$11</f>
        <v>0.596</v>
      </c>
      <c r="O105" s="41">
        <f>(1.81)*$O$11</f>
        <v>1.81</v>
      </c>
      <c r="P105">
        <v>1.36</v>
      </c>
      <c r="Q105">
        <v>0.753</v>
      </c>
      <c r="R105" s="82">
        <f>(1.12)*R$11</f>
        <v>1.12</v>
      </c>
      <c r="S105" s="41">
        <f>(0.775)*S$11</f>
        <v>0.775</v>
      </c>
      <c r="T105">
        <v>0.728</v>
      </c>
      <c r="U105">
        <v>0.41</v>
      </c>
      <c r="V105" s="82">
        <f>(0.731)*V$11</f>
        <v>0.731</v>
      </c>
      <c r="W105" s="82">
        <f>(0.541)*W$11</f>
        <v>0.541</v>
      </c>
      <c r="X105" s="41">
        <f>(0.0322)*X$11</f>
        <v>0.0322</v>
      </c>
      <c r="Y105">
        <f>(0.0225)*Y$11</f>
        <v>0.0225</v>
      </c>
      <c r="Z105" s="82">
        <f>(1.72)*Z$11</f>
        <v>1.72</v>
      </c>
      <c r="AA105">
        <v>0.504</v>
      </c>
      <c r="AB105">
        <v>0.97</v>
      </c>
    </row>
    <row r="106" spans="1:28" ht="12.75">
      <c r="A106" t="s">
        <v>550</v>
      </c>
      <c r="B106" t="s">
        <v>551</v>
      </c>
      <c r="C106">
        <v>9.4</v>
      </c>
      <c r="D106" s="25">
        <f>(2.75)*$D$11</f>
        <v>2.75</v>
      </c>
      <c r="E106" s="82">
        <f aca="true" t="shared" si="14" ref="E106:F111">(3)*E$11</f>
        <v>3</v>
      </c>
      <c r="F106" s="82">
        <f t="shared" si="14"/>
        <v>3</v>
      </c>
      <c r="G106" s="82">
        <f>(0.5)*G$11</f>
        <v>0.5</v>
      </c>
      <c r="H106">
        <v>0.875</v>
      </c>
      <c r="I106">
        <v>0.875</v>
      </c>
      <c r="J106" s="82">
        <f>(0.929)*$J$11</f>
        <v>0.929</v>
      </c>
      <c r="K106" s="82">
        <f>(0.929)*$K$11</f>
        <v>0.929</v>
      </c>
      <c r="L106">
        <v>0.458</v>
      </c>
      <c r="M106" s="82">
        <f>(0.458)*M$11</f>
        <v>0.458</v>
      </c>
      <c r="N106" s="82">
        <f>(0.458)*N$11</f>
        <v>0.458</v>
      </c>
      <c r="O106" s="41">
        <f>(2.2)*$O$11</f>
        <v>2.2</v>
      </c>
      <c r="P106">
        <v>1.91</v>
      </c>
      <c r="Q106">
        <v>1.06</v>
      </c>
      <c r="R106" s="82">
        <f>(0.895)*R$11</f>
        <v>0.895</v>
      </c>
      <c r="S106" s="41">
        <f>(2.2)*S$11</f>
        <v>2.2</v>
      </c>
      <c r="T106">
        <v>1.91</v>
      </c>
      <c r="U106">
        <v>1.06</v>
      </c>
      <c r="V106" s="82">
        <f>(0.895)*V$11</f>
        <v>0.895</v>
      </c>
      <c r="W106" s="82">
        <f>(0.58)*W$11</f>
        <v>0.58</v>
      </c>
      <c r="X106" s="41">
        <f>(0.23)*X$11</f>
        <v>0.23</v>
      </c>
      <c r="Y106">
        <f>(0.144)*Y$11</f>
        <v>0.144</v>
      </c>
      <c r="Z106" s="82">
        <f>(1.59)*Z$11</f>
        <v>1.59</v>
      </c>
      <c r="AA106">
        <v>1</v>
      </c>
      <c r="AB106">
        <v>1</v>
      </c>
    </row>
    <row r="107" spans="1:28" ht="12.75">
      <c r="A107" t="s">
        <v>552</v>
      </c>
      <c r="B107" t="s">
        <v>553</v>
      </c>
      <c r="C107">
        <v>8.3</v>
      </c>
      <c r="D107" s="25">
        <f>(2.43)*$D$11</f>
        <v>2.43</v>
      </c>
      <c r="E107" s="82">
        <f t="shared" si="14"/>
        <v>3</v>
      </c>
      <c r="F107" s="82">
        <f t="shared" si="14"/>
        <v>3</v>
      </c>
      <c r="G107" s="82">
        <f>(0.4375)*G$11</f>
        <v>0.4375</v>
      </c>
      <c r="H107">
        <v>0.813</v>
      </c>
      <c r="I107">
        <v>0.8125</v>
      </c>
      <c r="J107" s="82">
        <f>(0.907)*$J$11</f>
        <v>0.907</v>
      </c>
      <c r="K107" s="82">
        <f>(0.907)*$K$11</f>
        <v>0.907</v>
      </c>
      <c r="L107">
        <v>0.405</v>
      </c>
      <c r="M107" s="82">
        <f>(0.405)*M$11</f>
        <v>0.405</v>
      </c>
      <c r="N107" s="82">
        <f>(0.405)*N$11</f>
        <v>0.405</v>
      </c>
      <c r="O107" s="41">
        <f>(1.98)*$O$11</f>
        <v>1.98</v>
      </c>
      <c r="P107">
        <v>1.7</v>
      </c>
      <c r="Q107">
        <v>0.946</v>
      </c>
      <c r="R107" s="82">
        <f>(0.903)*R$11</f>
        <v>0.903</v>
      </c>
      <c r="S107" s="41">
        <f>(1.98)*S$11</f>
        <v>1.98</v>
      </c>
      <c r="T107">
        <v>1.7</v>
      </c>
      <c r="U107">
        <v>0.946</v>
      </c>
      <c r="V107" s="82">
        <f>(0.903)*V$11</f>
        <v>0.903</v>
      </c>
      <c r="W107" s="82">
        <f>(0.58)*W$11</f>
        <v>0.58</v>
      </c>
      <c r="X107" s="41">
        <f>(0.157)*X$11</f>
        <v>0.157</v>
      </c>
      <c r="Y107">
        <f>(0.1)*Y$11</f>
        <v>0.1</v>
      </c>
      <c r="Z107" s="82">
        <f>(1.6)*Z$11</f>
        <v>1.6</v>
      </c>
      <c r="AA107">
        <v>1</v>
      </c>
      <c r="AB107">
        <v>1</v>
      </c>
    </row>
    <row r="108" spans="1:28" ht="12.75">
      <c r="A108" t="s">
        <v>554</v>
      </c>
      <c r="B108" t="s">
        <v>555</v>
      </c>
      <c r="C108">
        <v>7.2</v>
      </c>
      <c r="D108" s="25">
        <f>(2.11)*$D$11</f>
        <v>2.11</v>
      </c>
      <c r="E108" s="82">
        <f t="shared" si="14"/>
        <v>3</v>
      </c>
      <c r="F108" s="82">
        <f t="shared" si="14"/>
        <v>3</v>
      </c>
      <c r="G108" s="82">
        <f>(0.375)*G$11</f>
        <v>0.375</v>
      </c>
      <c r="H108">
        <v>0.75</v>
      </c>
      <c r="I108">
        <v>0.75</v>
      </c>
      <c r="J108" s="82">
        <f>(0.884)*$J$11</f>
        <v>0.884</v>
      </c>
      <c r="K108" s="82">
        <f>(0.884)*$K$11</f>
        <v>0.884</v>
      </c>
      <c r="L108">
        <v>0.351</v>
      </c>
      <c r="M108" s="82">
        <f>(0.351)*M$11</f>
        <v>0.351</v>
      </c>
      <c r="N108" s="82">
        <f>(0.351)*N$11</f>
        <v>0.351</v>
      </c>
      <c r="O108" s="41">
        <f>(1.75)*$O$11</f>
        <v>1.75</v>
      </c>
      <c r="P108">
        <v>1.48</v>
      </c>
      <c r="Q108">
        <v>0.825</v>
      </c>
      <c r="R108" s="82">
        <f>(0.91)*R$11</f>
        <v>0.91</v>
      </c>
      <c r="S108" s="41">
        <f>(1.75)*S$11</f>
        <v>1.75</v>
      </c>
      <c r="T108">
        <v>1.48</v>
      </c>
      <c r="U108">
        <v>0.825</v>
      </c>
      <c r="V108" s="82">
        <f>(0.91)*V$11</f>
        <v>0.91</v>
      </c>
      <c r="W108" s="82">
        <f>(0.581)*W$11</f>
        <v>0.581</v>
      </c>
      <c r="X108" s="41">
        <f>(0.101)*X$11</f>
        <v>0.101</v>
      </c>
      <c r="Y108">
        <f>(0.0652)*Y$11</f>
        <v>0.0652</v>
      </c>
      <c r="Z108" s="82">
        <f>(1.62)*Z$11</f>
        <v>1.62</v>
      </c>
      <c r="AA108">
        <v>1</v>
      </c>
      <c r="AB108">
        <v>1</v>
      </c>
    </row>
    <row r="109" spans="1:28" ht="12.75">
      <c r="A109" t="s">
        <v>556</v>
      </c>
      <c r="B109" t="s">
        <v>557</v>
      </c>
      <c r="C109">
        <v>6.1</v>
      </c>
      <c r="D109" s="25">
        <f>(1.78)*$D$11</f>
        <v>1.78</v>
      </c>
      <c r="E109" s="82">
        <f t="shared" si="14"/>
        <v>3</v>
      </c>
      <c r="F109" s="82">
        <f t="shared" si="14"/>
        <v>3</v>
      </c>
      <c r="G109" s="82">
        <f>(0.3125)*G$11</f>
        <v>0.3125</v>
      </c>
      <c r="H109">
        <v>0.688</v>
      </c>
      <c r="I109">
        <v>0.6875</v>
      </c>
      <c r="J109" s="82">
        <f>(0.86)*$J$11</f>
        <v>0.86</v>
      </c>
      <c r="K109" s="82">
        <f>(0.86)*$K$11</f>
        <v>0.86</v>
      </c>
      <c r="L109">
        <v>0.296</v>
      </c>
      <c r="M109" s="82">
        <f>(0.296)*M$11</f>
        <v>0.296</v>
      </c>
      <c r="N109" s="82">
        <f>(0.296)*N$11</f>
        <v>0.296</v>
      </c>
      <c r="O109" s="41">
        <f>(1.5)*$O$11</f>
        <v>1.5</v>
      </c>
      <c r="P109">
        <v>1.26</v>
      </c>
      <c r="Q109">
        <v>0.699</v>
      </c>
      <c r="R109" s="82">
        <f>(0.918)*R$11</f>
        <v>0.918</v>
      </c>
      <c r="S109" s="41">
        <f>(1.5)*S$11</f>
        <v>1.5</v>
      </c>
      <c r="T109">
        <v>1.25</v>
      </c>
      <c r="U109">
        <v>0.699</v>
      </c>
      <c r="V109" s="82">
        <f>(0.918)*V$11</f>
        <v>0.918</v>
      </c>
      <c r="W109" s="82">
        <f>(0.583)*W$11</f>
        <v>0.583</v>
      </c>
      <c r="X109" s="41">
        <f>(0.0597)*X$11</f>
        <v>0.0597</v>
      </c>
      <c r="Y109">
        <f>(0.039)*Y$11</f>
        <v>0.039</v>
      </c>
      <c r="Z109" s="82">
        <f>(1.64)*Z$11</f>
        <v>1.64</v>
      </c>
      <c r="AA109">
        <v>1</v>
      </c>
      <c r="AB109">
        <v>1</v>
      </c>
    </row>
    <row r="110" spans="1:28" ht="12.75">
      <c r="A110" t="s">
        <v>558</v>
      </c>
      <c r="B110" t="s">
        <v>559</v>
      </c>
      <c r="C110">
        <v>4.9</v>
      </c>
      <c r="D110" s="25">
        <f>(1.44)*$D$11</f>
        <v>1.44</v>
      </c>
      <c r="E110" s="82">
        <f t="shared" si="14"/>
        <v>3</v>
      </c>
      <c r="F110" s="82">
        <f t="shared" si="14"/>
        <v>3</v>
      </c>
      <c r="G110" s="82">
        <f>(0.25)*G$11</f>
        <v>0.25</v>
      </c>
      <c r="H110">
        <v>0.625</v>
      </c>
      <c r="I110">
        <v>0.625</v>
      </c>
      <c r="J110" s="82">
        <f>(0.836)*$J$11</f>
        <v>0.836</v>
      </c>
      <c r="K110" s="82">
        <f>(0.836)*$K$11</f>
        <v>0.836</v>
      </c>
      <c r="L110">
        <v>0.239</v>
      </c>
      <c r="M110" s="82">
        <f>(0.239)*M$11</f>
        <v>0.239</v>
      </c>
      <c r="N110" s="82">
        <f>(0.239)*N$11</f>
        <v>0.239</v>
      </c>
      <c r="O110" s="41">
        <f>(1.23)*$O$11</f>
        <v>1.23</v>
      </c>
      <c r="P110">
        <v>1.02</v>
      </c>
      <c r="Q110">
        <v>0.569</v>
      </c>
      <c r="R110" s="82">
        <f>(0.926)*R$11</f>
        <v>0.926</v>
      </c>
      <c r="S110" s="41">
        <f>(1.23)*S$11</f>
        <v>1.23</v>
      </c>
      <c r="T110">
        <v>1.02</v>
      </c>
      <c r="U110">
        <v>0.569</v>
      </c>
      <c r="V110" s="82">
        <f>(0.926)*V$11</f>
        <v>0.926</v>
      </c>
      <c r="W110" s="82">
        <f>(0.585)*W$11</f>
        <v>0.585</v>
      </c>
      <c r="X110" s="41">
        <f>(0.0313)*X$11</f>
        <v>0.0313</v>
      </c>
      <c r="Y110">
        <f>(0.0206)*Y$11</f>
        <v>0.0206</v>
      </c>
      <c r="Z110" s="82">
        <f>(1.65)*Z$11</f>
        <v>1.65</v>
      </c>
      <c r="AA110">
        <v>1</v>
      </c>
      <c r="AB110">
        <v>1</v>
      </c>
    </row>
    <row r="111" spans="1:28" ht="12.75">
      <c r="A111" t="s">
        <v>560</v>
      </c>
      <c r="B111" t="s">
        <v>561</v>
      </c>
      <c r="C111">
        <v>3.71</v>
      </c>
      <c r="D111" s="25">
        <f>(1.09)*$D$11</f>
        <v>1.09</v>
      </c>
      <c r="E111" s="82">
        <f t="shared" si="14"/>
        <v>3</v>
      </c>
      <c r="F111" s="82">
        <f t="shared" si="14"/>
        <v>3</v>
      </c>
      <c r="G111" s="82">
        <f>(0.1875)*G$11</f>
        <v>0.1875</v>
      </c>
      <c r="H111">
        <v>0.563</v>
      </c>
      <c r="I111">
        <v>0.5625</v>
      </c>
      <c r="J111" s="82">
        <f>(0.812)*$J$11</f>
        <v>0.812</v>
      </c>
      <c r="K111" s="82">
        <f>(0.812)*$K$11</f>
        <v>0.812</v>
      </c>
      <c r="L111">
        <v>0.181</v>
      </c>
      <c r="M111" s="82">
        <f>(0.181)*M$11</f>
        <v>0.181</v>
      </c>
      <c r="N111" s="82">
        <f>(0.181)*N$11</f>
        <v>0.181</v>
      </c>
      <c r="O111" s="41">
        <f>(0.948)*$O$11</f>
        <v>0.948</v>
      </c>
      <c r="P111">
        <v>0.774</v>
      </c>
      <c r="Q111">
        <v>0.433</v>
      </c>
      <c r="R111" s="82">
        <f>(0.933)*R$11</f>
        <v>0.933</v>
      </c>
      <c r="S111" s="41">
        <f>(0.948)*S$11</f>
        <v>0.948</v>
      </c>
      <c r="T111">
        <v>0.774</v>
      </c>
      <c r="U111">
        <v>0.433</v>
      </c>
      <c r="V111" s="82">
        <f>(0.933)*V$11</f>
        <v>0.933</v>
      </c>
      <c r="W111" s="82">
        <f>(0.586)*W$11</f>
        <v>0.586</v>
      </c>
      <c r="X111" s="41">
        <f>(0.0136)*X$11</f>
        <v>0.0136</v>
      </c>
      <c r="Y111">
        <f>(0.00899)*Y$11</f>
        <v>0.00899</v>
      </c>
      <c r="Z111" s="82">
        <f>(1.67)*Z$11</f>
        <v>1.67</v>
      </c>
      <c r="AA111">
        <v>1</v>
      </c>
      <c r="AB111">
        <v>0.91</v>
      </c>
    </row>
    <row r="112" spans="1:28" ht="12.75">
      <c r="A112" t="s">
        <v>231</v>
      </c>
      <c r="B112" t="s">
        <v>562</v>
      </c>
      <c r="C112">
        <v>8.5</v>
      </c>
      <c r="D112" s="25">
        <f>(2.5)*$D$11</f>
        <v>2.5</v>
      </c>
      <c r="E112" s="82">
        <f aca="true" t="shared" si="15" ref="E112:E122">(3)*E$11</f>
        <v>3</v>
      </c>
      <c r="F112" s="82">
        <f aca="true" t="shared" si="16" ref="F112:F117">(2.5)*F$11</f>
        <v>2.5</v>
      </c>
      <c r="G112" s="82">
        <f>(0.5)*G$11</f>
        <v>0.5</v>
      </c>
      <c r="H112">
        <v>0.875</v>
      </c>
      <c r="I112">
        <v>0.875</v>
      </c>
      <c r="J112" s="82">
        <f>(0.746)*$J$11</f>
        <v>0.746</v>
      </c>
      <c r="K112" s="82">
        <f>(0.995)*$K$11</f>
        <v>0.995</v>
      </c>
      <c r="L112">
        <v>0.418</v>
      </c>
      <c r="M112" s="82">
        <f>(0.418)*M$11</f>
        <v>0.418</v>
      </c>
      <c r="N112" s="82">
        <f>(0.494)*N$11</f>
        <v>0.494</v>
      </c>
      <c r="O112" s="41">
        <f>(2.07)*$O$11</f>
        <v>2.07</v>
      </c>
      <c r="P112">
        <v>1.86</v>
      </c>
      <c r="Q112">
        <v>1.03</v>
      </c>
      <c r="R112" s="82">
        <f>(0.91)*R$11</f>
        <v>0.91</v>
      </c>
      <c r="S112" s="41">
        <f>(1.29)*S$11</f>
        <v>1.29</v>
      </c>
      <c r="T112">
        <v>1.34</v>
      </c>
      <c r="U112">
        <v>0.736</v>
      </c>
      <c r="V112" s="82">
        <f>(0.718)*V$11</f>
        <v>0.718</v>
      </c>
      <c r="W112" s="82">
        <f>(0.516)*W$11</f>
        <v>0.516</v>
      </c>
      <c r="X112" s="41">
        <f>(0.213)*X$11</f>
        <v>0.213</v>
      </c>
      <c r="Y112">
        <f>(0.112)*Y$11</f>
        <v>0.112</v>
      </c>
      <c r="Z112" s="82">
        <f>(1.46)*Z$11</f>
        <v>1.46</v>
      </c>
      <c r="AA112">
        <v>0.666</v>
      </c>
      <c r="AB112">
        <v>1</v>
      </c>
    </row>
    <row r="113" spans="1:28" ht="12.75">
      <c r="A113" t="s">
        <v>563</v>
      </c>
      <c r="B113" t="s">
        <v>564</v>
      </c>
      <c r="C113">
        <v>7.6</v>
      </c>
      <c r="D113" s="25">
        <f>(2.21)*$D$11</f>
        <v>2.21</v>
      </c>
      <c r="E113" s="82">
        <f t="shared" si="15"/>
        <v>3</v>
      </c>
      <c r="F113" s="82">
        <f t="shared" si="16"/>
        <v>2.5</v>
      </c>
      <c r="G113" s="82">
        <f>(0.4375)*G$11</f>
        <v>0.4375</v>
      </c>
      <c r="H113">
        <v>0.813</v>
      </c>
      <c r="I113">
        <v>0.8125</v>
      </c>
      <c r="J113" s="82">
        <f>(0.724)*$J$11</f>
        <v>0.724</v>
      </c>
      <c r="K113" s="82">
        <f>(0.972)*$K$11</f>
        <v>0.972</v>
      </c>
      <c r="L113">
        <v>0.37</v>
      </c>
      <c r="M113" s="82">
        <f>(0.37)*M$11</f>
        <v>0.37</v>
      </c>
      <c r="N113" s="82">
        <f>(0.462)*N$11</f>
        <v>0.462</v>
      </c>
      <c r="O113" s="41">
        <f>(1.87)*$O$11</f>
        <v>1.87</v>
      </c>
      <c r="P113">
        <v>1.66</v>
      </c>
      <c r="Q113">
        <v>0.921</v>
      </c>
      <c r="R113" s="82">
        <f>(0.917)*R$11</f>
        <v>0.917</v>
      </c>
      <c r="S113" s="41">
        <f>(1.17)*S$11</f>
        <v>1.17</v>
      </c>
      <c r="T113">
        <v>1.19</v>
      </c>
      <c r="U113">
        <v>0.656</v>
      </c>
      <c r="V113" s="82">
        <f>(0.724)*V$11</f>
        <v>0.724</v>
      </c>
      <c r="W113" s="82">
        <f>(0.516)*W$11</f>
        <v>0.516</v>
      </c>
      <c r="X113" s="41">
        <f>(0.146)*X$11</f>
        <v>0.146</v>
      </c>
      <c r="Y113">
        <f>(0.0777)*Y$11</f>
        <v>0.0777</v>
      </c>
      <c r="Z113" s="82">
        <f>(1.48)*Z$11</f>
        <v>1.48</v>
      </c>
      <c r="AA113">
        <v>0.671</v>
      </c>
      <c r="AB113">
        <v>1</v>
      </c>
    </row>
    <row r="114" spans="1:28" ht="12.75">
      <c r="A114" t="s">
        <v>565</v>
      </c>
      <c r="B114" t="s">
        <v>566</v>
      </c>
      <c r="C114">
        <v>6.6</v>
      </c>
      <c r="D114" s="25">
        <f>(1.92)*$D$11</f>
        <v>1.92</v>
      </c>
      <c r="E114" s="82">
        <f t="shared" si="15"/>
        <v>3</v>
      </c>
      <c r="F114" s="82">
        <f t="shared" si="16"/>
        <v>2.5</v>
      </c>
      <c r="G114" s="82">
        <f>(0.375)*G$11</f>
        <v>0.375</v>
      </c>
      <c r="H114">
        <v>0.75</v>
      </c>
      <c r="I114">
        <v>0.75</v>
      </c>
      <c r="J114" s="82">
        <f>(0.701)*$J$11</f>
        <v>0.701</v>
      </c>
      <c r="K114" s="82">
        <f>(0.949)*$K$11</f>
        <v>0.949</v>
      </c>
      <c r="L114">
        <v>0.321</v>
      </c>
      <c r="M114" s="82">
        <f>(0.321)*M$11</f>
        <v>0.321</v>
      </c>
      <c r="N114" s="82">
        <f>(0.43)*N$11</f>
        <v>0.43</v>
      </c>
      <c r="O114" s="41">
        <f>(1.65)*$O$11</f>
        <v>1.65</v>
      </c>
      <c r="P114">
        <v>1.45</v>
      </c>
      <c r="Q114">
        <v>0.803</v>
      </c>
      <c r="R114" s="82">
        <f>(0.924)*R$11</f>
        <v>0.924</v>
      </c>
      <c r="S114" s="41">
        <f>(1.03)*S$11</f>
        <v>1.03</v>
      </c>
      <c r="T114">
        <v>1.03</v>
      </c>
      <c r="U114">
        <v>0.573</v>
      </c>
      <c r="V114" s="82">
        <f>(0.731)*V$11</f>
        <v>0.731</v>
      </c>
      <c r="W114" s="82">
        <f>(0.517)*W$11</f>
        <v>0.517</v>
      </c>
      <c r="X114" s="41">
        <f>(0.0943)*X$11</f>
        <v>0.0943</v>
      </c>
      <c r="Y114">
        <f>(0.0507)*Y$11</f>
        <v>0.0507</v>
      </c>
      <c r="Z114" s="82">
        <f>(1.49)*Z$11</f>
        <v>1.49</v>
      </c>
      <c r="AA114">
        <v>0.675</v>
      </c>
      <c r="AB114">
        <v>1</v>
      </c>
    </row>
    <row r="115" spans="1:28" ht="12.75">
      <c r="A115" t="s">
        <v>567</v>
      </c>
      <c r="B115" t="s">
        <v>568</v>
      </c>
      <c r="C115">
        <v>5.6</v>
      </c>
      <c r="D115" s="25">
        <f>(1.67)*$D$11</f>
        <v>1.67</v>
      </c>
      <c r="E115" s="82">
        <f t="shared" si="15"/>
        <v>3</v>
      </c>
      <c r="F115" s="82">
        <f t="shared" si="16"/>
        <v>2.5</v>
      </c>
      <c r="G115" s="82">
        <f>(0.3125)*G$11</f>
        <v>0.3125</v>
      </c>
      <c r="H115">
        <v>0.688</v>
      </c>
      <c r="I115">
        <v>0.6875</v>
      </c>
      <c r="J115" s="82">
        <f>(0.677)*$J$11</f>
        <v>0.677</v>
      </c>
      <c r="K115" s="82">
        <f>(0.925)*$K$11</f>
        <v>0.925</v>
      </c>
      <c r="L115">
        <v>0.271</v>
      </c>
      <c r="M115" s="82">
        <f>(0.271)*M$11</f>
        <v>0.271</v>
      </c>
      <c r="N115" s="82">
        <f>(0.397)*N$11</f>
        <v>0.397</v>
      </c>
      <c r="O115" s="41">
        <f>(1.41)*$O$11</f>
        <v>1.41</v>
      </c>
      <c r="P115">
        <v>1.23</v>
      </c>
      <c r="Q115">
        <v>0.681</v>
      </c>
      <c r="R115" s="82">
        <f>(0.932)*R$11</f>
        <v>0.932</v>
      </c>
      <c r="S115" s="41">
        <f>(0.888)*S$11</f>
        <v>0.888</v>
      </c>
      <c r="T115">
        <v>0.873</v>
      </c>
      <c r="U115">
        <v>0.487</v>
      </c>
      <c r="V115" s="82">
        <f>(0.739)*V$11</f>
        <v>0.739</v>
      </c>
      <c r="W115" s="82">
        <f>(0.518)*W$11</f>
        <v>0.518</v>
      </c>
      <c r="X115" s="41">
        <f>(0.056)*X$11</f>
        <v>0.056</v>
      </c>
      <c r="Y115">
        <f>(0.0304)*Y$11</f>
        <v>0.0304</v>
      </c>
      <c r="Z115" s="82">
        <f>(1.51)*Z$11</f>
        <v>1.51</v>
      </c>
      <c r="AA115">
        <v>0.679</v>
      </c>
      <c r="AB115">
        <v>1</v>
      </c>
    </row>
    <row r="116" spans="1:28" ht="12.75">
      <c r="A116" t="s">
        <v>569</v>
      </c>
      <c r="B116" t="s">
        <v>570</v>
      </c>
      <c r="C116">
        <v>4.5</v>
      </c>
      <c r="D116" s="25">
        <f>(1.31)*$D$11</f>
        <v>1.31</v>
      </c>
      <c r="E116" s="82">
        <f t="shared" si="15"/>
        <v>3</v>
      </c>
      <c r="F116" s="82">
        <f t="shared" si="16"/>
        <v>2.5</v>
      </c>
      <c r="G116" s="82">
        <f>(0.25)*G$11</f>
        <v>0.25</v>
      </c>
      <c r="H116">
        <v>0.625</v>
      </c>
      <c r="I116">
        <v>0.625</v>
      </c>
      <c r="J116" s="82">
        <f>(0.653)*$J$11</f>
        <v>0.653</v>
      </c>
      <c r="K116" s="82">
        <f>(0.9)*$K$11</f>
        <v>0.9</v>
      </c>
      <c r="L116">
        <v>0.22</v>
      </c>
      <c r="M116" s="82">
        <f>(0.22)*M$11</f>
        <v>0.22</v>
      </c>
      <c r="N116" s="82">
        <f>(0.363)*N$11</f>
        <v>0.363</v>
      </c>
      <c r="O116" s="41">
        <f>(1.16)*$O$11</f>
        <v>1.16</v>
      </c>
      <c r="P116">
        <v>1</v>
      </c>
      <c r="Q116">
        <v>0.555</v>
      </c>
      <c r="R116" s="82">
        <f>(0.94)*R$11</f>
        <v>0.94</v>
      </c>
      <c r="S116" s="41">
        <f>(0.734)*S$11</f>
        <v>0.734</v>
      </c>
      <c r="T116">
        <v>0.707</v>
      </c>
      <c r="U116">
        <v>0.397</v>
      </c>
      <c r="V116" s="82">
        <f>(0.746)*V$11</f>
        <v>0.746</v>
      </c>
      <c r="W116" s="82">
        <f>(0.52)*W$11</f>
        <v>0.52</v>
      </c>
      <c r="X116" s="41">
        <f>(0.0296)*X$11</f>
        <v>0.0296</v>
      </c>
      <c r="Y116">
        <f>(0.0161)*Y$11</f>
        <v>0.0161</v>
      </c>
      <c r="Z116" s="82">
        <f>(1.52)*Z$11</f>
        <v>1.52</v>
      </c>
      <c r="AA116">
        <v>0.683</v>
      </c>
      <c r="AB116">
        <v>1</v>
      </c>
    </row>
    <row r="117" spans="1:28" ht="12.75">
      <c r="A117" t="s">
        <v>571</v>
      </c>
      <c r="B117" t="s">
        <v>572</v>
      </c>
      <c r="C117">
        <v>3.39</v>
      </c>
      <c r="D117" s="25">
        <f>(0.996)*$D$11</f>
        <v>0.996</v>
      </c>
      <c r="E117" s="82">
        <f t="shared" si="15"/>
        <v>3</v>
      </c>
      <c r="F117" s="82">
        <f t="shared" si="16"/>
        <v>2.5</v>
      </c>
      <c r="G117" s="82">
        <f>(0.1875)*G$11</f>
        <v>0.1875</v>
      </c>
      <c r="H117">
        <v>0.563</v>
      </c>
      <c r="I117">
        <v>0.5625</v>
      </c>
      <c r="J117" s="82">
        <f>(0.627)*$J$11</f>
        <v>0.627</v>
      </c>
      <c r="K117" s="82">
        <f>(0.874)*$K$11</f>
        <v>0.874</v>
      </c>
      <c r="L117">
        <v>0.167</v>
      </c>
      <c r="M117" s="82">
        <f>(0.167)*M$11</f>
        <v>0.167</v>
      </c>
      <c r="N117" s="82">
        <f>(0.328)*N$11</f>
        <v>0.328</v>
      </c>
      <c r="O117" s="41">
        <f>(0.899)*$O$11</f>
        <v>0.899</v>
      </c>
      <c r="P117">
        <v>0.761</v>
      </c>
      <c r="Q117">
        <v>0.423</v>
      </c>
      <c r="R117" s="82">
        <f>(0.947)*R$11</f>
        <v>0.947</v>
      </c>
      <c r="S117" s="41">
        <f>(0.568)*S$11</f>
        <v>0.568</v>
      </c>
      <c r="T117">
        <v>0.536</v>
      </c>
      <c r="U117">
        <v>0.303</v>
      </c>
      <c r="V117" s="82">
        <f>(0.753)*V$11</f>
        <v>0.753</v>
      </c>
      <c r="W117" s="82">
        <f>(0.521)*W$11</f>
        <v>0.521</v>
      </c>
      <c r="X117" s="41">
        <f>(0.013)*X$11</f>
        <v>0.013</v>
      </c>
      <c r="Y117">
        <f>(0.00705)*Y$11</f>
        <v>0.00705</v>
      </c>
      <c r="Z117" s="82">
        <f>(1.54)*Z$11</f>
        <v>1.54</v>
      </c>
      <c r="AA117">
        <v>0.687</v>
      </c>
      <c r="AB117">
        <v>0.91</v>
      </c>
    </row>
    <row r="118" spans="1:28" ht="12.75">
      <c r="A118" t="s">
        <v>573</v>
      </c>
      <c r="B118" t="s">
        <v>574</v>
      </c>
      <c r="C118">
        <v>7.7</v>
      </c>
      <c r="D118" s="25">
        <f>(2.25)*$D$11</f>
        <v>2.25</v>
      </c>
      <c r="E118" s="82">
        <f t="shared" si="15"/>
        <v>3</v>
      </c>
      <c r="F118" s="82">
        <f>(2)*F$11</f>
        <v>2</v>
      </c>
      <c r="G118" s="82">
        <f>(0.5)*G$11</f>
        <v>0.5</v>
      </c>
      <c r="H118">
        <v>0.813</v>
      </c>
      <c r="I118">
        <v>0.8125</v>
      </c>
      <c r="J118" s="82">
        <f>(0.58)*$J$11</f>
        <v>0.58</v>
      </c>
      <c r="K118" s="82">
        <f>(1.08)*$K$11</f>
        <v>1.08</v>
      </c>
      <c r="L118">
        <v>0.377</v>
      </c>
      <c r="M118" s="82">
        <f>(0.377)*M$11</f>
        <v>0.377</v>
      </c>
      <c r="N118" s="82">
        <f>(0.736)*N$11</f>
        <v>0.736</v>
      </c>
      <c r="O118" s="41">
        <f>(1.92)*$O$11</f>
        <v>1.92</v>
      </c>
      <c r="P118">
        <v>1.78</v>
      </c>
      <c r="Q118">
        <v>1</v>
      </c>
      <c r="R118" s="82">
        <f>(0.922)*R$11</f>
        <v>0.922</v>
      </c>
      <c r="S118" s="41">
        <f>(0.667)*S$11</f>
        <v>0.667</v>
      </c>
      <c r="T118">
        <v>0.887</v>
      </c>
      <c r="U118">
        <v>0.47</v>
      </c>
      <c r="V118" s="82">
        <f>(0.543)*V$11</f>
        <v>0.543</v>
      </c>
      <c r="W118" s="82">
        <f>(0.425)*W$11</f>
        <v>0.425</v>
      </c>
      <c r="X118" s="41">
        <f>(0.192)*X$11</f>
        <v>0.192</v>
      </c>
      <c r="Y118">
        <f>(0.0908)*Y$11</f>
        <v>0.0908</v>
      </c>
      <c r="Z118" s="82">
        <f>(1.39)*Z$11</f>
        <v>1.39</v>
      </c>
      <c r="AA118">
        <v>0.413</v>
      </c>
      <c r="AB118">
        <v>1</v>
      </c>
    </row>
    <row r="119" spans="1:28" ht="12.75">
      <c r="A119" t="s">
        <v>575</v>
      </c>
      <c r="B119" t="s">
        <v>576</v>
      </c>
      <c r="C119">
        <v>5.9</v>
      </c>
      <c r="D119" s="25">
        <f>(1.73)*$D$11</f>
        <v>1.73</v>
      </c>
      <c r="E119" s="82">
        <f t="shared" si="15"/>
        <v>3</v>
      </c>
      <c r="F119" s="82">
        <f>(2)*F$11</f>
        <v>2</v>
      </c>
      <c r="G119" s="82">
        <f>(0.375)*G$11</f>
        <v>0.375</v>
      </c>
      <c r="H119">
        <v>0.688</v>
      </c>
      <c r="I119">
        <v>0.6875</v>
      </c>
      <c r="J119" s="82">
        <f>(0.535)*$J$11</f>
        <v>0.535</v>
      </c>
      <c r="K119" s="82">
        <f>(1.03)*$K$11</f>
        <v>1.03</v>
      </c>
      <c r="L119">
        <v>0.291</v>
      </c>
      <c r="M119" s="82">
        <f>(0.291)*M$11</f>
        <v>0.291</v>
      </c>
      <c r="N119" s="82">
        <f>(0.668)*N$11</f>
        <v>0.668</v>
      </c>
      <c r="O119" s="41">
        <f>(1.54)*$O$11</f>
        <v>1.54</v>
      </c>
      <c r="P119">
        <v>1.39</v>
      </c>
      <c r="Q119">
        <v>0.779</v>
      </c>
      <c r="R119" s="82">
        <f>(0.937)*R$11</f>
        <v>0.937</v>
      </c>
      <c r="S119" s="41">
        <f>(0.539)*S$11</f>
        <v>0.539</v>
      </c>
      <c r="T119">
        <v>0.679</v>
      </c>
      <c r="U119">
        <v>0.368</v>
      </c>
      <c r="V119" s="82">
        <f>(0.555)*V$11</f>
        <v>0.555</v>
      </c>
      <c r="W119" s="82">
        <f>(0.426)*W$11</f>
        <v>0.426</v>
      </c>
      <c r="X119" s="41">
        <f>(0.0855)*X$11</f>
        <v>0.0855</v>
      </c>
      <c r="Y119">
        <f>(0.0413)*Y$11</f>
        <v>0.0413</v>
      </c>
      <c r="Z119" s="82">
        <f>(1.42)*Z$11</f>
        <v>1.42</v>
      </c>
      <c r="AA119">
        <v>0.426</v>
      </c>
      <c r="AB119">
        <v>1</v>
      </c>
    </row>
    <row r="120" spans="1:28" ht="12.75">
      <c r="A120" t="s">
        <v>577</v>
      </c>
      <c r="B120" t="s">
        <v>578</v>
      </c>
      <c r="C120">
        <v>5</v>
      </c>
      <c r="D120" s="25">
        <f>(1.46)*$D$11</f>
        <v>1.46</v>
      </c>
      <c r="E120" s="82">
        <f t="shared" si="15"/>
        <v>3</v>
      </c>
      <c r="F120" s="82">
        <f>(2)*F$11</f>
        <v>2</v>
      </c>
      <c r="G120" s="82">
        <f>(0.3125)*G$11</f>
        <v>0.3125</v>
      </c>
      <c r="H120">
        <v>0.625</v>
      </c>
      <c r="I120">
        <v>0.625</v>
      </c>
      <c r="J120" s="82">
        <f>(0.511)*$J$11</f>
        <v>0.511</v>
      </c>
      <c r="K120" s="82">
        <f>(1.01)*$K$11</f>
        <v>1.01</v>
      </c>
      <c r="L120">
        <v>0.247</v>
      </c>
      <c r="M120" s="82">
        <f>(0.247)*M$11</f>
        <v>0.247</v>
      </c>
      <c r="N120" s="82">
        <f>(0.633)*N$11</f>
        <v>0.633</v>
      </c>
      <c r="O120" s="41">
        <f>(1.32)*$O$11</f>
        <v>1.32</v>
      </c>
      <c r="P120">
        <v>1.19</v>
      </c>
      <c r="Q120">
        <v>0.662</v>
      </c>
      <c r="R120" s="82">
        <f>(0.945)*R$11</f>
        <v>0.945</v>
      </c>
      <c r="S120" s="41">
        <f>(0.467)*S$11</f>
        <v>0.467</v>
      </c>
      <c r="T120">
        <v>0.572</v>
      </c>
      <c r="U120">
        <v>0.314</v>
      </c>
      <c r="V120" s="82">
        <f>(0.562)*V$11</f>
        <v>0.562</v>
      </c>
      <c r="W120" s="82">
        <f>(0.428)*W$11</f>
        <v>0.428</v>
      </c>
      <c r="X120" s="41">
        <f>(0.051)*X$11</f>
        <v>0.051</v>
      </c>
      <c r="Y120">
        <f>(0.0248)*Y$11</f>
        <v>0.0248</v>
      </c>
      <c r="Z120" s="82">
        <f>(1.43)*Z$11</f>
        <v>1.43</v>
      </c>
      <c r="AA120">
        <v>0.432</v>
      </c>
      <c r="AB120">
        <v>1</v>
      </c>
    </row>
    <row r="121" spans="1:28" ht="12.75">
      <c r="A121" t="s">
        <v>579</v>
      </c>
      <c r="B121" t="s">
        <v>580</v>
      </c>
      <c r="C121">
        <v>4.1</v>
      </c>
      <c r="D121" s="25">
        <f>(1.19)*$D$11</f>
        <v>1.19</v>
      </c>
      <c r="E121" s="82">
        <f t="shared" si="15"/>
        <v>3</v>
      </c>
      <c r="F121" s="82">
        <f>(2)*F$11</f>
        <v>2</v>
      </c>
      <c r="G121" s="82">
        <f>(0.25)*G$11</f>
        <v>0.25</v>
      </c>
      <c r="H121">
        <v>0.563</v>
      </c>
      <c r="I121">
        <v>0.5625</v>
      </c>
      <c r="J121" s="82">
        <f>(0.487)*$J$11</f>
        <v>0.487</v>
      </c>
      <c r="K121" s="82">
        <f>(0.98)*$K$11</f>
        <v>0.98</v>
      </c>
      <c r="L121">
        <v>0.2</v>
      </c>
      <c r="M121" s="82">
        <f>(0.2)*M$11</f>
        <v>0.2</v>
      </c>
      <c r="N121" s="82">
        <f>(0.596)*N$11</f>
        <v>0.596</v>
      </c>
      <c r="O121" s="41">
        <f>(1.09)*$O$11</f>
        <v>1.09</v>
      </c>
      <c r="P121">
        <v>0.969</v>
      </c>
      <c r="Q121">
        <v>0.541</v>
      </c>
      <c r="R121" s="82">
        <f>(0.953)*R$11</f>
        <v>0.953</v>
      </c>
      <c r="S121" s="41">
        <f>(0.39)*S$11</f>
        <v>0.39</v>
      </c>
      <c r="T121">
        <v>0.463</v>
      </c>
      <c r="U121">
        <v>0.258</v>
      </c>
      <c r="V121" s="82">
        <f>(0.569)*V$11</f>
        <v>0.569</v>
      </c>
      <c r="W121" s="82">
        <f>(0.431)*W$11</f>
        <v>0.431</v>
      </c>
      <c r="X121" s="41">
        <f>(0.027)*X$11</f>
        <v>0.027</v>
      </c>
      <c r="Y121">
        <f>(0.0132)*Y$11</f>
        <v>0.0132</v>
      </c>
      <c r="Z121" s="82">
        <f>(1.45)*Z$11</f>
        <v>1.45</v>
      </c>
      <c r="AA121">
        <v>0.437</v>
      </c>
      <c r="AB121">
        <v>1</v>
      </c>
    </row>
    <row r="122" spans="1:28" ht="12.75">
      <c r="A122" t="s">
        <v>581</v>
      </c>
      <c r="B122" t="s">
        <v>582</v>
      </c>
      <c r="C122">
        <v>3.07</v>
      </c>
      <c r="D122" s="25">
        <f>(0.902)*$D$11</f>
        <v>0.902</v>
      </c>
      <c r="E122" s="82">
        <f t="shared" si="15"/>
        <v>3</v>
      </c>
      <c r="F122" s="82">
        <f>(2)*F$11</f>
        <v>2</v>
      </c>
      <c r="G122" s="82">
        <f>(0.1875)*G$11</f>
        <v>0.1875</v>
      </c>
      <c r="H122">
        <v>0.5</v>
      </c>
      <c r="I122">
        <v>0.5</v>
      </c>
      <c r="J122" s="82">
        <f>(0.462)*$J$11</f>
        <v>0.462</v>
      </c>
      <c r="K122" s="82">
        <f>(0.952)*$K$11</f>
        <v>0.952</v>
      </c>
      <c r="L122">
        <v>0.153</v>
      </c>
      <c r="M122" s="82">
        <f>(0.153)*M$11</f>
        <v>0.153</v>
      </c>
      <c r="N122" s="82">
        <f>(0.556)*N$11</f>
        <v>0.556</v>
      </c>
      <c r="O122" s="41">
        <f>(0.847)*$O$11</f>
        <v>0.847</v>
      </c>
      <c r="P122">
        <v>0.743</v>
      </c>
      <c r="Q122">
        <v>0.414</v>
      </c>
      <c r="R122" s="82">
        <f>(0.961)*R$11</f>
        <v>0.961</v>
      </c>
      <c r="S122" s="41">
        <f>(0.305)*S$11</f>
        <v>0.305</v>
      </c>
      <c r="T122">
        <v>0.351</v>
      </c>
      <c r="U122">
        <v>0.198</v>
      </c>
      <c r="V122" s="82">
        <f>(0.577)*V$11</f>
        <v>0.577</v>
      </c>
      <c r="W122" s="82">
        <f>(0.435)*W$11</f>
        <v>0.435</v>
      </c>
      <c r="X122" s="41">
        <f>(0.0119)*X$11</f>
        <v>0.0119</v>
      </c>
      <c r="Y122">
        <f>(0.00576)*Y$11</f>
        <v>0.00576</v>
      </c>
      <c r="Z122" s="82">
        <f>(1.46)*Z$11</f>
        <v>1.46</v>
      </c>
      <c r="AA122">
        <v>0.442</v>
      </c>
      <c r="AB122">
        <v>0.91</v>
      </c>
    </row>
    <row r="123" spans="1:28" ht="12.75">
      <c r="A123" t="s">
        <v>583</v>
      </c>
      <c r="B123" t="s">
        <v>584</v>
      </c>
      <c r="C123">
        <v>7.7</v>
      </c>
      <c r="D123" s="25">
        <f>(2.25)*$D$11</f>
        <v>2.25</v>
      </c>
      <c r="E123" s="82">
        <f aca="true" t="shared" si="17" ref="E123:F127">(2.5)*E$11</f>
        <v>2.5</v>
      </c>
      <c r="F123" s="82">
        <f t="shared" si="17"/>
        <v>2.5</v>
      </c>
      <c r="G123" s="82">
        <f>(0.5)*G$11</f>
        <v>0.5</v>
      </c>
      <c r="H123">
        <v>0.75</v>
      </c>
      <c r="I123">
        <v>0.75</v>
      </c>
      <c r="J123" s="82">
        <f>(0.803)*$J$11</f>
        <v>0.803</v>
      </c>
      <c r="K123" s="82">
        <f>(0.803)*$K$11</f>
        <v>0.803</v>
      </c>
      <c r="L123">
        <v>0.45</v>
      </c>
      <c r="M123" s="82">
        <f>(0.45)*M$11</f>
        <v>0.45</v>
      </c>
      <c r="N123" s="82">
        <f>(0.45)*N$11</f>
        <v>0.45</v>
      </c>
      <c r="O123" s="41">
        <f>(1.22)*$O$11</f>
        <v>1.22</v>
      </c>
      <c r="P123">
        <v>1.29</v>
      </c>
      <c r="Q123">
        <v>0.716</v>
      </c>
      <c r="R123" s="82">
        <f>(0.735)*R$11</f>
        <v>0.735</v>
      </c>
      <c r="S123" s="41">
        <f>(1.22)*S$11</f>
        <v>1.22</v>
      </c>
      <c r="T123">
        <v>1.29</v>
      </c>
      <c r="U123">
        <v>0.716</v>
      </c>
      <c r="V123" s="82">
        <f>(0.735)*V$11</f>
        <v>0.735</v>
      </c>
      <c r="W123" s="82">
        <f>(0.481)*W$11</f>
        <v>0.481</v>
      </c>
      <c r="X123" s="41">
        <f>(0.188)*X$11</f>
        <v>0.188</v>
      </c>
      <c r="Y123">
        <f>(0.0791)*Y$11</f>
        <v>0.0791</v>
      </c>
      <c r="Z123" s="82">
        <f>(1.3)*Z$11</f>
        <v>1.3</v>
      </c>
      <c r="AA123">
        <v>1</v>
      </c>
      <c r="AB123">
        <v>1</v>
      </c>
    </row>
    <row r="124" spans="1:28" ht="12.75">
      <c r="A124" t="s">
        <v>585</v>
      </c>
      <c r="B124" t="s">
        <v>586</v>
      </c>
      <c r="C124">
        <v>5.9</v>
      </c>
      <c r="D124" s="25">
        <f>(1.73)*$D$11</f>
        <v>1.73</v>
      </c>
      <c r="E124" s="82">
        <f t="shared" si="17"/>
        <v>2.5</v>
      </c>
      <c r="F124" s="82">
        <f t="shared" si="17"/>
        <v>2.5</v>
      </c>
      <c r="G124" s="82">
        <f>(0.375)*G$11</f>
        <v>0.375</v>
      </c>
      <c r="H124">
        <v>0.625</v>
      </c>
      <c r="I124">
        <v>0.625</v>
      </c>
      <c r="J124" s="82">
        <f>(0.758)*$J$11</f>
        <v>0.758</v>
      </c>
      <c r="K124" s="82">
        <f>(0.758)*$K$11</f>
        <v>0.758</v>
      </c>
      <c r="L124">
        <v>0.347</v>
      </c>
      <c r="M124" s="82">
        <f>(0.347)*M$11</f>
        <v>0.347</v>
      </c>
      <c r="N124" s="82">
        <f>(0.347)*N$11</f>
        <v>0.347</v>
      </c>
      <c r="O124" s="41">
        <f>(0.972)*$O$11</f>
        <v>0.972</v>
      </c>
      <c r="P124">
        <v>1.01</v>
      </c>
      <c r="Q124">
        <v>0.558</v>
      </c>
      <c r="R124" s="82">
        <f>(0.749)*R$11</f>
        <v>0.749</v>
      </c>
      <c r="S124" s="41">
        <f>(0.972)*S$11</f>
        <v>0.972</v>
      </c>
      <c r="T124">
        <v>1</v>
      </c>
      <c r="U124">
        <v>0.558</v>
      </c>
      <c r="V124" s="82">
        <f>(0.749)*V$11</f>
        <v>0.749</v>
      </c>
      <c r="W124" s="82">
        <f>(0.481)*W$11</f>
        <v>0.481</v>
      </c>
      <c r="X124" s="41">
        <f>(0.0833)*X$11</f>
        <v>0.0833</v>
      </c>
      <c r="Y124">
        <f>(0.0362)*Y$11</f>
        <v>0.0362</v>
      </c>
      <c r="Z124" s="82">
        <f>(1.33)*Z$11</f>
        <v>1.33</v>
      </c>
      <c r="AA124">
        <v>1</v>
      </c>
      <c r="AB124">
        <v>1</v>
      </c>
    </row>
    <row r="125" spans="1:28" ht="12.75">
      <c r="A125" t="s">
        <v>587</v>
      </c>
      <c r="B125" t="s">
        <v>588</v>
      </c>
      <c r="C125">
        <v>5</v>
      </c>
      <c r="D125" s="25">
        <f>(1.46)*$D$11</f>
        <v>1.46</v>
      </c>
      <c r="E125" s="82">
        <f t="shared" si="17"/>
        <v>2.5</v>
      </c>
      <c r="F125" s="82">
        <f t="shared" si="17"/>
        <v>2.5</v>
      </c>
      <c r="G125" s="82">
        <f>(0.3125)*G$11</f>
        <v>0.3125</v>
      </c>
      <c r="H125">
        <v>0.563</v>
      </c>
      <c r="I125">
        <v>0.5625</v>
      </c>
      <c r="J125" s="82">
        <f>(0.735)*$J$11</f>
        <v>0.735</v>
      </c>
      <c r="K125" s="82">
        <f>(0.735)*$K$11</f>
        <v>0.735</v>
      </c>
      <c r="L125">
        <v>0.293</v>
      </c>
      <c r="M125" s="82">
        <f>(0.293)*M$11</f>
        <v>0.293</v>
      </c>
      <c r="N125" s="82">
        <f>(0.293)*N$11</f>
        <v>0.293</v>
      </c>
      <c r="O125" s="41">
        <f>(0.837)*$O$11</f>
        <v>0.837</v>
      </c>
      <c r="P125">
        <v>0.853</v>
      </c>
      <c r="Q125">
        <v>0.474</v>
      </c>
      <c r="R125" s="82">
        <f>(0.756)*R$11</f>
        <v>0.756</v>
      </c>
      <c r="S125" s="41">
        <f>(0.837)*S$11</f>
        <v>0.837</v>
      </c>
      <c r="T125">
        <v>0.853</v>
      </c>
      <c r="U125">
        <v>0.474</v>
      </c>
      <c r="V125" s="82">
        <f>(0.756)*V$11</f>
        <v>0.756</v>
      </c>
      <c r="W125" s="82">
        <f>(0.481)*W$11</f>
        <v>0.481</v>
      </c>
      <c r="X125" s="41">
        <f>(0.0495)*X$11</f>
        <v>0.0495</v>
      </c>
      <c r="Y125">
        <f>(0.0218)*Y$11</f>
        <v>0.0218</v>
      </c>
      <c r="Z125" s="82">
        <f>(1.35)*Z$11</f>
        <v>1.35</v>
      </c>
      <c r="AA125">
        <v>1</v>
      </c>
      <c r="AB125">
        <v>1</v>
      </c>
    </row>
    <row r="126" spans="1:28" ht="12.75">
      <c r="A126" t="s">
        <v>589</v>
      </c>
      <c r="B126" t="s">
        <v>590</v>
      </c>
      <c r="C126">
        <v>4.1</v>
      </c>
      <c r="D126" s="25">
        <f>(1.19)*$D$11</f>
        <v>1.19</v>
      </c>
      <c r="E126" s="82">
        <f t="shared" si="17"/>
        <v>2.5</v>
      </c>
      <c r="F126" s="82">
        <f t="shared" si="17"/>
        <v>2.5</v>
      </c>
      <c r="G126" s="82">
        <f>(0.25)*G$11</f>
        <v>0.25</v>
      </c>
      <c r="H126">
        <v>0.5</v>
      </c>
      <c r="I126">
        <v>0.5</v>
      </c>
      <c r="J126" s="82">
        <f>(0.711)*$J$11</f>
        <v>0.711</v>
      </c>
      <c r="K126" s="82">
        <f>(0.711)*$K$11</f>
        <v>0.711</v>
      </c>
      <c r="L126">
        <v>0.237</v>
      </c>
      <c r="M126" s="82">
        <f>(0.237)*M$11</f>
        <v>0.237</v>
      </c>
      <c r="N126" s="82">
        <f>(0.237)*N$11</f>
        <v>0.237</v>
      </c>
      <c r="O126" s="41">
        <f>(0.692)*$O$11</f>
        <v>0.692</v>
      </c>
      <c r="P126">
        <v>0.695</v>
      </c>
      <c r="Q126">
        <v>0.387</v>
      </c>
      <c r="R126" s="82">
        <f>(0.764)*R$11</f>
        <v>0.764</v>
      </c>
      <c r="S126" s="41">
        <f>(0.692)*S$11</f>
        <v>0.692</v>
      </c>
      <c r="T126">
        <v>0.694</v>
      </c>
      <c r="U126">
        <v>0.387</v>
      </c>
      <c r="V126" s="82">
        <f>(0.764)*V$11</f>
        <v>0.764</v>
      </c>
      <c r="W126" s="82">
        <f>(0.482)*W$11</f>
        <v>0.482</v>
      </c>
      <c r="X126" s="41">
        <f>(0.0261)*X$11</f>
        <v>0.0261</v>
      </c>
      <c r="Y126">
        <f>(0.0116)*Y$11</f>
        <v>0.0116</v>
      </c>
      <c r="Z126" s="82">
        <f>(1.36)*Z$11</f>
        <v>1.36</v>
      </c>
      <c r="AA126">
        <v>1</v>
      </c>
      <c r="AB126">
        <v>1</v>
      </c>
    </row>
    <row r="127" spans="1:28" ht="12.75">
      <c r="A127" t="s">
        <v>591</v>
      </c>
      <c r="B127" t="s">
        <v>592</v>
      </c>
      <c r="C127">
        <v>3.07</v>
      </c>
      <c r="D127" s="25">
        <f>(0.9)*$D$11</f>
        <v>0.9</v>
      </c>
      <c r="E127" s="82">
        <f t="shared" si="17"/>
        <v>2.5</v>
      </c>
      <c r="F127" s="82">
        <f t="shared" si="17"/>
        <v>2.5</v>
      </c>
      <c r="G127" s="82">
        <f>(0.1875)*G$11</f>
        <v>0.1875</v>
      </c>
      <c r="H127">
        <v>0.438</v>
      </c>
      <c r="I127">
        <v>0.4375</v>
      </c>
      <c r="J127" s="82">
        <f>(0.687)*$J$11</f>
        <v>0.687</v>
      </c>
      <c r="K127" s="82">
        <f>(0.687)*$K$11</f>
        <v>0.687</v>
      </c>
      <c r="L127">
        <v>0.18</v>
      </c>
      <c r="M127" s="82">
        <f>(0.18)*M$11</f>
        <v>0.18</v>
      </c>
      <c r="N127" s="82">
        <f>(0.18)*N$11</f>
        <v>0.18</v>
      </c>
      <c r="O127" s="41">
        <f>(0.535)*$O$11</f>
        <v>0.535</v>
      </c>
      <c r="P127">
        <v>0.529</v>
      </c>
      <c r="Q127">
        <v>0.295</v>
      </c>
      <c r="R127" s="82">
        <f>(0.771)*R$11</f>
        <v>0.771</v>
      </c>
      <c r="S127" s="41">
        <f>(0.535)*S$11</f>
        <v>0.535</v>
      </c>
      <c r="T127">
        <v>0.528</v>
      </c>
      <c r="U127">
        <v>0.295</v>
      </c>
      <c r="V127" s="82">
        <f>(0.771)*V$11</f>
        <v>0.771</v>
      </c>
      <c r="W127" s="82">
        <f>(0.482)*W$11</f>
        <v>0.482</v>
      </c>
      <c r="X127" s="41">
        <f>(0.0114)*X$11</f>
        <v>0.0114</v>
      </c>
      <c r="Y127">
        <f>(0.0051)*Y$11</f>
        <v>0.0051</v>
      </c>
      <c r="Z127" s="82">
        <f>(1.38)*Z$11</f>
        <v>1.38</v>
      </c>
      <c r="AA127">
        <v>1</v>
      </c>
      <c r="AB127">
        <v>0.98</v>
      </c>
    </row>
    <row r="128" spans="1:28" ht="12.75">
      <c r="A128" t="s">
        <v>593</v>
      </c>
      <c r="B128" t="s">
        <v>594</v>
      </c>
      <c r="C128">
        <v>5.3</v>
      </c>
      <c r="D128" s="25">
        <f>(1.55)*$D$11</f>
        <v>1.55</v>
      </c>
      <c r="E128" s="82">
        <f aca="true" t="shared" si="18" ref="E128:E133">(2.5)*E$11</f>
        <v>2.5</v>
      </c>
      <c r="F128" s="82">
        <f>(2)*F$11</f>
        <v>2</v>
      </c>
      <c r="G128" s="82">
        <f>(0.375)*G$11</f>
        <v>0.375</v>
      </c>
      <c r="H128">
        <v>0.625</v>
      </c>
      <c r="I128">
        <v>0.625</v>
      </c>
      <c r="J128" s="82">
        <f>(0.578)*$J$11</f>
        <v>0.578</v>
      </c>
      <c r="K128" s="82">
        <f>(0.826)*$K$11</f>
        <v>0.826</v>
      </c>
      <c r="L128">
        <v>0.311</v>
      </c>
      <c r="M128" s="82">
        <f>(0.311)*M$11</f>
        <v>0.311</v>
      </c>
      <c r="N128" s="82">
        <f>(0.425)*N$11</f>
        <v>0.425</v>
      </c>
      <c r="O128" s="41">
        <f>(0.914)*$O$11</f>
        <v>0.914</v>
      </c>
      <c r="P128">
        <v>0.982</v>
      </c>
      <c r="Q128">
        <v>0.546</v>
      </c>
      <c r="R128" s="82">
        <f>(0.766)*R$11</f>
        <v>0.766</v>
      </c>
      <c r="S128" s="41">
        <f>(0.513)*S$11</f>
        <v>0.513</v>
      </c>
      <c r="T128">
        <v>0.657</v>
      </c>
      <c r="U128">
        <v>0.361</v>
      </c>
      <c r="V128" s="82">
        <f>(0.574)*V$11</f>
        <v>0.574</v>
      </c>
      <c r="W128" s="82">
        <f>(0.419)*W$11</f>
        <v>0.419</v>
      </c>
      <c r="X128" s="41">
        <f>(0.0746)*X$11</f>
        <v>0.0746</v>
      </c>
      <c r="Y128">
        <f>(0.0268)*Y$11</f>
        <v>0.0268</v>
      </c>
      <c r="Z128" s="82">
        <f>(1.22)*Z$11</f>
        <v>1.22</v>
      </c>
      <c r="AA128">
        <v>0.612</v>
      </c>
      <c r="AB128">
        <v>1</v>
      </c>
    </row>
    <row r="129" spans="1:28" ht="12.75">
      <c r="A129" t="s">
        <v>595</v>
      </c>
      <c r="B129" t="s">
        <v>596</v>
      </c>
      <c r="C129">
        <v>4.5</v>
      </c>
      <c r="D129" s="25">
        <f>(1.31)*$D$11</f>
        <v>1.31</v>
      </c>
      <c r="E129" s="82">
        <f t="shared" si="18"/>
        <v>2.5</v>
      </c>
      <c r="F129" s="82">
        <f>(2)*F$11</f>
        <v>2</v>
      </c>
      <c r="G129" s="82">
        <f>(0.3125)*G$11</f>
        <v>0.3125</v>
      </c>
      <c r="H129">
        <v>0.563</v>
      </c>
      <c r="I129">
        <v>0.5625</v>
      </c>
      <c r="J129" s="82">
        <f>(0.555)*$J$11</f>
        <v>0.555</v>
      </c>
      <c r="K129" s="82">
        <f>(0.803)*$K$11</f>
        <v>0.803</v>
      </c>
      <c r="L129">
        <v>0.264</v>
      </c>
      <c r="M129" s="82">
        <f>(0.264)*M$11</f>
        <v>0.264</v>
      </c>
      <c r="N129" s="82">
        <f>(0.391)*N$11</f>
        <v>0.391</v>
      </c>
      <c r="O129" s="41">
        <f>(0.79)*$O$11</f>
        <v>0.79</v>
      </c>
      <c r="P129">
        <v>0.839</v>
      </c>
      <c r="Q129">
        <v>0.465</v>
      </c>
      <c r="R129" s="82">
        <f>(0.774)*R$11</f>
        <v>0.774</v>
      </c>
      <c r="S129" s="41">
        <f>(0.446)*S$11</f>
        <v>0.446</v>
      </c>
      <c r="T129">
        <v>0.557</v>
      </c>
      <c r="U129">
        <v>0.309</v>
      </c>
      <c r="V129" s="82">
        <f>(0.581)*V$11</f>
        <v>0.581</v>
      </c>
      <c r="W129" s="82">
        <f>(0.42)*W$11</f>
        <v>0.42</v>
      </c>
      <c r="X129" s="41">
        <f>(0.0444)*X$11</f>
        <v>0.0444</v>
      </c>
      <c r="Y129">
        <f>(0.0162)*Y$11</f>
        <v>0.0162</v>
      </c>
      <c r="Z129" s="82">
        <f>(1.23)*Z$11</f>
        <v>1.23</v>
      </c>
      <c r="AA129">
        <v>0.618</v>
      </c>
      <c r="AB129">
        <v>1</v>
      </c>
    </row>
    <row r="130" spans="1:28" ht="12.75">
      <c r="A130" t="s">
        <v>597</v>
      </c>
      <c r="B130" t="s">
        <v>598</v>
      </c>
      <c r="C130">
        <v>3.62</v>
      </c>
      <c r="D130" s="25">
        <f>(1.06)*$D$11</f>
        <v>1.06</v>
      </c>
      <c r="E130" s="82">
        <f t="shared" si="18"/>
        <v>2.5</v>
      </c>
      <c r="F130" s="82">
        <f>(2)*F$11</f>
        <v>2</v>
      </c>
      <c r="G130" s="82">
        <f>(0.25)*G$11</f>
        <v>0.25</v>
      </c>
      <c r="H130">
        <v>0.5</v>
      </c>
      <c r="I130">
        <v>0.5</v>
      </c>
      <c r="J130" s="82">
        <f>(0.532)*$J$11</f>
        <v>0.532</v>
      </c>
      <c r="K130" s="82">
        <f>(0.779)*$K$11</f>
        <v>0.779</v>
      </c>
      <c r="L130">
        <v>0.214</v>
      </c>
      <c r="M130" s="82">
        <f>(0.214)*M$11</f>
        <v>0.214</v>
      </c>
      <c r="N130" s="82">
        <f>(0.356)*N$11</f>
        <v>0.356</v>
      </c>
      <c r="O130" s="41">
        <f>(0.656)*$O$11</f>
        <v>0.656</v>
      </c>
      <c r="P130">
        <v>0.688</v>
      </c>
      <c r="Q130">
        <v>0.381</v>
      </c>
      <c r="R130" s="82">
        <f>(0.782)*R$11</f>
        <v>0.782</v>
      </c>
      <c r="S130" s="41">
        <f>(0.372)*S$11</f>
        <v>0.372</v>
      </c>
      <c r="T130">
        <v>0.454</v>
      </c>
      <c r="U130">
        <v>0.253</v>
      </c>
      <c r="V130" s="82">
        <f>(0.589)*V$11</f>
        <v>0.589</v>
      </c>
      <c r="W130" s="82">
        <f>(0.423)*W$11</f>
        <v>0.423</v>
      </c>
      <c r="X130" s="41">
        <f>(0.0235)*X$11</f>
        <v>0.0235</v>
      </c>
      <c r="Y130">
        <f>(0.00868)*Y$11</f>
        <v>0.00868</v>
      </c>
      <c r="Z130" s="82">
        <f>(1.25)*Z$11</f>
        <v>1.25</v>
      </c>
      <c r="AA130">
        <v>0.624</v>
      </c>
      <c r="AB130">
        <v>1</v>
      </c>
    </row>
    <row r="131" spans="1:28" ht="12.75">
      <c r="A131" t="s">
        <v>599</v>
      </c>
      <c r="B131" t="s">
        <v>600</v>
      </c>
      <c r="C131">
        <v>2.75</v>
      </c>
      <c r="D131" s="25">
        <f>(0.809)*$D$11</f>
        <v>0.809</v>
      </c>
      <c r="E131" s="82">
        <f t="shared" si="18"/>
        <v>2.5</v>
      </c>
      <c r="F131" s="82">
        <f>(2)*F$11</f>
        <v>2</v>
      </c>
      <c r="G131" s="82">
        <f>(0.1875)*G$11</f>
        <v>0.1875</v>
      </c>
      <c r="H131">
        <v>0.438</v>
      </c>
      <c r="I131">
        <v>0.4375</v>
      </c>
      <c r="J131" s="82">
        <f>(0.508)*$J$11</f>
        <v>0.508</v>
      </c>
      <c r="K131" s="82">
        <f>(0.754)*$K$11</f>
        <v>0.754</v>
      </c>
      <c r="L131">
        <v>0.164</v>
      </c>
      <c r="M131" s="82">
        <f>(0.164)*M$11</f>
        <v>0.164</v>
      </c>
      <c r="N131" s="82">
        <f>(0.318)*N$11</f>
        <v>0.318</v>
      </c>
      <c r="O131" s="41">
        <f>(0.511)*$O$11</f>
        <v>0.511</v>
      </c>
      <c r="P131">
        <v>0.529</v>
      </c>
      <c r="Q131">
        <v>0.293</v>
      </c>
      <c r="R131" s="82">
        <f>(0.79)*R$11</f>
        <v>0.79</v>
      </c>
      <c r="S131" s="41">
        <f>(0.292)*S$11</f>
        <v>0.292</v>
      </c>
      <c r="T131">
        <v>0.347</v>
      </c>
      <c r="U131">
        <v>0.195</v>
      </c>
      <c r="V131" s="82">
        <f>(0.597)*V$11</f>
        <v>0.597</v>
      </c>
      <c r="W131" s="82">
        <f>(0.426)*W$11</f>
        <v>0.426</v>
      </c>
      <c r="X131" s="41">
        <f>(0.0103)*X$11</f>
        <v>0.0103</v>
      </c>
      <c r="Y131">
        <f>(0.00382)*Y$11</f>
        <v>0.00382</v>
      </c>
      <c r="Z131" s="82">
        <f>(1.26)*Z$11</f>
        <v>1.26</v>
      </c>
      <c r="AA131">
        <v>0.628</v>
      </c>
      <c r="AB131">
        <v>0.98</v>
      </c>
    </row>
    <row r="132" spans="1:28" ht="12.75">
      <c r="A132" t="s">
        <v>601</v>
      </c>
      <c r="B132" t="s">
        <v>602</v>
      </c>
      <c r="C132">
        <v>3.22</v>
      </c>
      <c r="D132" s="25">
        <f>(0.938)*$D$11</f>
        <v>0.938</v>
      </c>
      <c r="E132" s="82">
        <f t="shared" si="18"/>
        <v>2.5</v>
      </c>
      <c r="F132" s="82">
        <f>(1.5)*F$11</f>
        <v>1.5</v>
      </c>
      <c r="G132" s="82">
        <f>(0.25)*G$11</f>
        <v>0.25</v>
      </c>
      <c r="H132">
        <v>0.5</v>
      </c>
      <c r="I132">
        <v>0.5</v>
      </c>
      <c r="J132" s="82">
        <f>(0.372)*$J$11</f>
        <v>0.372</v>
      </c>
      <c r="K132" s="82">
        <f>(0.866)*$K$11</f>
        <v>0.866</v>
      </c>
      <c r="L132">
        <v>0.189</v>
      </c>
      <c r="M132" s="82">
        <f>(0.189)*M$11</f>
        <v>0.189</v>
      </c>
      <c r="N132" s="82">
        <f>(0.606)*N$11</f>
        <v>0.606</v>
      </c>
      <c r="O132" s="41">
        <f>(0.594)*$O$11</f>
        <v>0.594</v>
      </c>
      <c r="P132">
        <v>0.644</v>
      </c>
      <c r="Q132">
        <v>0.364</v>
      </c>
      <c r="R132" s="82">
        <f>(0.792)*R$11</f>
        <v>0.792</v>
      </c>
      <c r="S132" s="41">
        <f>(0.16)*S$11</f>
        <v>0.16</v>
      </c>
      <c r="T132">
        <v>0.261</v>
      </c>
      <c r="U132">
        <v>0.142</v>
      </c>
      <c r="V132" s="82">
        <f>(0.411)*V$11</f>
        <v>0.411</v>
      </c>
      <c r="W132" s="82">
        <f>(0.321)*W$11</f>
        <v>0.321</v>
      </c>
      <c r="X132" s="41">
        <f>(0.0209)*X$11</f>
        <v>0.0209</v>
      </c>
      <c r="Y132">
        <f>(0.00694)*Y$11</f>
        <v>0.00694</v>
      </c>
      <c r="Z132" s="82">
        <f>(1.19)*Z$11</f>
        <v>1.19</v>
      </c>
      <c r="AA132">
        <v>0.354</v>
      </c>
      <c r="AB132">
        <v>1</v>
      </c>
    </row>
    <row r="133" spans="1:28" ht="12.75">
      <c r="A133" t="s">
        <v>603</v>
      </c>
      <c r="B133" t="s">
        <v>604</v>
      </c>
      <c r="C133">
        <v>2.47</v>
      </c>
      <c r="D133" s="25">
        <f>(0.715)*$D$11</f>
        <v>0.715</v>
      </c>
      <c r="E133" s="82">
        <f t="shared" si="18"/>
        <v>2.5</v>
      </c>
      <c r="F133" s="82">
        <f>(1.5)*F$11</f>
        <v>1.5</v>
      </c>
      <c r="G133" s="82">
        <f>(0.1875)*G$11</f>
        <v>0.1875</v>
      </c>
      <c r="H133">
        <v>0.438</v>
      </c>
      <c r="I133">
        <v>0.4375</v>
      </c>
      <c r="J133" s="82">
        <f>(0.347)*$J$11</f>
        <v>0.347</v>
      </c>
      <c r="K133" s="82">
        <f>(0.839)*$K$11</f>
        <v>0.839</v>
      </c>
      <c r="L133">
        <v>0.145</v>
      </c>
      <c r="M133" s="82">
        <f>(0.145)*M$11</f>
        <v>0.145</v>
      </c>
      <c r="N133" s="82">
        <f>(0.568)*N$11</f>
        <v>0.568</v>
      </c>
      <c r="O133" s="41">
        <f>(0.464)*$O$11</f>
        <v>0.464</v>
      </c>
      <c r="P133">
        <v>0.497</v>
      </c>
      <c r="Q133">
        <v>0.28</v>
      </c>
      <c r="R133" s="82">
        <f>(0.801)*R$11</f>
        <v>0.801</v>
      </c>
      <c r="S133" s="41">
        <f>(0.126)*S$11</f>
        <v>0.126</v>
      </c>
      <c r="T133">
        <v>0.198</v>
      </c>
      <c r="U133">
        <v>0.11</v>
      </c>
      <c r="V133" s="82">
        <f>(0.418)*V$11</f>
        <v>0.418</v>
      </c>
      <c r="W133" s="82">
        <f>(0.324)*W$11</f>
        <v>0.324</v>
      </c>
      <c r="X133" s="41">
        <f>(0.00921)*X$11</f>
        <v>0.00921</v>
      </c>
      <c r="Y133">
        <f>(0.00306)*Y$11</f>
        <v>0.00306</v>
      </c>
      <c r="Z133" s="82">
        <f>(1.2)*Z$11</f>
        <v>1.2</v>
      </c>
      <c r="AA133">
        <v>0.36</v>
      </c>
      <c r="AB133">
        <v>0.98</v>
      </c>
    </row>
    <row r="134" spans="1:28" ht="12.75">
      <c r="A134" t="s">
        <v>605</v>
      </c>
      <c r="B134" t="s">
        <v>606</v>
      </c>
      <c r="C134">
        <v>4.7</v>
      </c>
      <c r="D134" s="25">
        <f>(1.36)*$D$11</f>
        <v>1.36</v>
      </c>
      <c r="E134" s="82">
        <f aca="true" t="shared" si="19" ref="E134:F138">(2)*E$11</f>
        <v>2</v>
      </c>
      <c r="F134" s="82">
        <f t="shared" si="19"/>
        <v>2</v>
      </c>
      <c r="G134" s="82">
        <f>(0.375)*G$11</f>
        <v>0.375</v>
      </c>
      <c r="H134">
        <v>0.625</v>
      </c>
      <c r="I134">
        <v>0.625</v>
      </c>
      <c r="J134" s="82">
        <f>(0.632)*$J$11</f>
        <v>0.632</v>
      </c>
      <c r="K134" s="82">
        <f>(0.632)*$K$11</f>
        <v>0.632</v>
      </c>
      <c r="L134">
        <v>0.342</v>
      </c>
      <c r="M134" s="82">
        <f>(0.342)*M$11</f>
        <v>0.342</v>
      </c>
      <c r="N134" s="82">
        <f>(0.342)*N$11</f>
        <v>0.342</v>
      </c>
      <c r="O134" s="41">
        <f>(0.476)*$O$11</f>
        <v>0.476</v>
      </c>
      <c r="P134">
        <v>0.629</v>
      </c>
      <c r="Q134">
        <v>0.348</v>
      </c>
      <c r="R134" s="82">
        <f>(0.591)*R$11</f>
        <v>0.591</v>
      </c>
      <c r="S134" s="41">
        <f>(0.476)*S$11</f>
        <v>0.476</v>
      </c>
      <c r="T134">
        <v>0.628</v>
      </c>
      <c r="U134">
        <v>0.348</v>
      </c>
      <c r="V134" s="82">
        <f>(0.591)*V$11</f>
        <v>0.591</v>
      </c>
      <c r="W134" s="82">
        <f>(0.386)*W$11</f>
        <v>0.386</v>
      </c>
      <c r="X134" s="41">
        <f>(0.0658)*X$11</f>
        <v>0.0658</v>
      </c>
      <c r="Y134">
        <f>(0.0174)*Y$11</f>
        <v>0.0174</v>
      </c>
      <c r="Z134" s="82">
        <f>(1.05)*Z$11</f>
        <v>1.05</v>
      </c>
      <c r="AA134">
        <v>1</v>
      </c>
      <c r="AB134">
        <v>1</v>
      </c>
    </row>
    <row r="135" spans="1:28" ht="12.75">
      <c r="A135" t="s">
        <v>607</v>
      </c>
      <c r="B135" t="s">
        <v>608</v>
      </c>
      <c r="C135">
        <v>3.92</v>
      </c>
      <c r="D135" s="25">
        <f>(1.15)*$D$11</f>
        <v>1.15</v>
      </c>
      <c r="E135" s="82">
        <f t="shared" si="19"/>
        <v>2</v>
      </c>
      <c r="F135" s="82">
        <f t="shared" si="19"/>
        <v>2</v>
      </c>
      <c r="G135" s="82">
        <f>(0.3125)*G$11</f>
        <v>0.3125</v>
      </c>
      <c r="H135">
        <v>0.563</v>
      </c>
      <c r="I135">
        <v>0.5625</v>
      </c>
      <c r="J135" s="82">
        <f>(0.609)*$J$11</f>
        <v>0.609</v>
      </c>
      <c r="K135" s="82">
        <f>(0.609)*$K$11</f>
        <v>0.609</v>
      </c>
      <c r="L135">
        <v>0.29</v>
      </c>
      <c r="M135" s="82">
        <f>(0.29)*M$11</f>
        <v>0.29</v>
      </c>
      <c r="N135" s="82">
        <f>(0.29)*N$11</f>
        <v>0.29</v>
      </c>
      <c r="O135" s="41">
        <f>(0.414)*$O$11</f>
        <v>0.414</v>
      </c>
      <c r="P135">
        <v>0.537</v>
      </c>
      <c r="Q135">
        <v>0.298</v>
      </c>
      <c r="R135" s="82">
        <f>(0.598)*R$11</f>
        <v>0.598</v>
      </c>
      <c r="S135" s="41">
        <f>(0.414)*S$11</f>
        <v>0.414</v>
      </c>
      <c r="T135">
        <v>0.536</v>
      </c>
      <c r="U135">
        <v>0.298</v>
      </c>
      <c r="V135" s="82">
        <f>(0.598)*V$11</f>
        <v>0.598</v>
      </c>
      <c r="W135" s="82">
        <f>(0.386)*W$11</f>
        <v>0.386</v>
      </c>
      <c r="X135" s="41">
        <f>(0.0393)*X$11</f>
        <v>0.0393</v>
      </c>
      <c r="Y135">
        <f>(0.0106)*Y$11</f>
        <v>0.0106</v>
      </c>
      <c r="Z135" s="82">
        <f>(1.06)*Z$11</f>
        <v>1.06</v>
      </c>
      <c r="AA135">
        <v>1</v>
      </c>
      <c r="AB135">
        <v>1</v>
      </c>
    </row>
    <row r="136" spans="1:28" ht="12.75">
      <c r="A136" t="s">
        <v>609</v>
      </c>
      <c r="B136" t="s">
        <v>610</v>
      </c>
      <c r="C136">
        <v>3.19</v>
      </c>
      <c r="D136" s="25">
        <f>(0.938)*$D$11</f>
        <v>0.938</v>
      </c>
      <c r="E136" s="82">
        <f t="shared" si="19"/>
        <v>2</v>
      </c>
      <c r="F136" s="82">
        <f t="shared" si="19"/>
        <v>2</v>
      </c>
      <c r="G136" s="82">
        <f>(0.25)*G$11</f>
        <v>0.25</v>
      </c>
      <c r="H136">
        <v>0.5</v>
      </c>
      <c r="I136">
        <v>0.5</v>
      </c>
      <c r="J136" s="82">
        <f>(0.586)*$J$11</f>
        <v>0.586</v>
      </c>
      <c r="K136" s="82">
        <f>(0.586)*$K$11</f>
        <v>0.586</v>
      </c>
      <c r="L136">
        <v>0.236</v>
      </c>
      <c r="M136" s="82">
        <f>(0.236)*M$11</f>
        <v>0.236</v>
      </c>
      <c r="N136" s="82">
        <f>(0.236)*N$11</f>
        <v>0.236</v>
      </c>
      <c r="O136" s="41">
        <f>(0.346)*$O$11</f>
        <v>0.346</v>
      </c>
      <c r="P136">
        <v>0.44</v>
      </c>
      <c r="Q136">
        <v>0.244</v>
      </c>
      <c r="R136" s="82">
        <f>(0.605)*R$11</f>
        <v>0.605</v>
      </c>
      <c r="S136" s="41">
        <f>(0.346)*S$11</f>
        <v>0.346</v>
      </c>
      <c r="T136">
        <v>0.44</v>
      </c>
      <c r="U136">
        <v>0.244</v>
      </c>
      <c r="V136" s="82">
        <f>(0.605)*V$11</f>
        <v>0.605</v>
      </c>
      <c r="W136" s="82">
        <f>(0.387)*W$11</f>
        <v>0.387</v>
      </c>
      <c r="X136" s="41">
        <f>(0.0209)*X$11</f>
        <v>0.0209</v>
      </c>
      <c r="Y136">
        <f>(0.00572)*Y$11</f>
        <v>0.00572</v>
      </c>
      <c r="Z136" s="82">
        <f>(1.08)*Z$11</f>
        <v>1.08</v>
      </c>
      <c r="AA136">
        <v>1</v>
      </c>
      <c r="AB136">
        <v>1</v>
      </c>
    </row>
    <row r="137" spans="1:28" ht="12.75">
      <c r="A137" t="s">
        <v>611</v>
      </c>
      <c r="B137" t="s">
        <v>612</v>
      </c>
      <c r="C137">
        <v>2.44</v>
      </c>
      <c r="D137" s="25">
        <f>(0.715)*$D$11</f>
        <v>0.715</v>
      </c>
      <c r="E137" s="82">
        <f t="shared" si="19"/>
        <v>2</v>
      </c>
      <c r="F137" s="82">
        <f t="shared" si="19"/>
        <v>2</v>
      </c>
      <c r="G137" s="82">
        <f>(0.1875)*G$11</f>
        <v>0.1875</v>
      </c>
      <c r="H137">
        <v>0.438</v>
      </c>
      <c r="I137">
        <v>0.4375</v>
      </c>
      <c r="J137" s="82">
        <f>(0.561)*$J$11</f>
        <v>0.561</v>
      </c>
      <c r="K137" s="82">
        <f>(0.561)*$K$11</f>
        <v>0.561</v>
      </c>
      <c r="L137">
        <v>0.18</v>
      </c>
      <c r="M137" s="82">
        <f>(0.18)*M$11</f>
        <v>0.18</v>
      </c>
      <c r="N137" s="82">
        <f>(0.18)*N$11</f>
        <v>0.18</v>
      </c>
      <c r="O137" s="41">
        <f>(0.271)*$O$11</f>
        <v>0.271</v>
      </c>
      <c r="P137">
        <v>0.338</v>
      </c>
      <c r="Q137">
        <v>0.188</v>
      </c>
      <c r="R137" s="82">
        <f>(0.612)*R$11</f>
        <v>0.612</v>
      </c>
      <c r="S137" s="41">
        <f>(0.271)*S$11</f>
        <v>0.271</v>
      </c>
      <c r="T137">
        <v>0.338</v>
      </c>
      <c r="U137">
        <v>0.188</v>
      </c>
      <c r="V137" s="82">
        <f>(0.612)*V$11</f>
        <v>0.612</v>
      </c>
      <c r="W137" s="82">
        <f>(0.389)*W$11</f>
        <v>0.389</v>
      </c>
      <c r="X137" s="41">
        <f>(0.00921)*X$11</f>
        <v>0.00921</v>
      </c>
      <c r="Y137">
        <f>(0.00254)*Y$11</f>
        <v>0.00254</v>
      </c>
      <c r="Z137" s="82">
        <f>(1.09)*Z$11</f>
        <v>1.09</v>
      </c>
      <c r="AA137">
        <v>1</v>
      </c>
      <c r="AB137">
        <v>1</v>
      </c>
    </row>
    <row r="138" spans="1:28" ht="12.75">
      <c r="A138" t="s">
        <v>613</v>
      </c>
      <c r="B138" t="s">
        <v>614</v>
      </c>
      <c r="C138">
        <v>1.65</v>
      </c>
      <c r="D138" s="25">
        <f>(0.484)*$D$11</f>
        <v>0.484</v>
      </c>
      <c r="E138" s="82">
        <f t="shared" si="19"/>
        <v>2</v>
      </c>
      <c r="F138" s="82">
        <f t="shared" si="19"/>
        <v>2</v>
      </c>
      <c r="G138" s="82">
        <f>(0.125)*G$11</f>
        <v>0.125</v>
      </c>
      <c r="H138">
        <v>0.375</v>
      </c>
      <c r="I138">
        <v>0.375</v>
      </c>
      <c r="J138" s="82">
        <f>(0.534)*$J$11</f>
        <v>0.534</v>
      </c>
      <c r="K138" s="82">
        <f>(0.534)*$K$11</f>
        <v>0.534</v>
      </c>
      <c r="L138">
        <v>0.123</v>
      </c>
      <c r="M138" s="82">
        <f>(0.123)*M$11</f>
        <v>0.123</v>
      </c>
      <c r="N138" s="82">
        <f>(0.123)*N$11</f>
        <v>0.123</v>
      </c>
      <c r="O138" s="41">
        <f>(0.189)*$O$11</f>
        <v>0.189</v>
      </c>
      <c r="P138">
        <v>0.23</v>
      </c>
      <c r="Q138">
        <v>0.129</v>
      </c>
      <c r="R138" s="82">
        <f>(0.62)*R$11</f>
        <v>0.62</v>
      </c>
      <c r="S138" s="41">
        <f>(0.189)*S$11</f>
        <v>0.189</v>
      </c>
      <c r="T138">
        <v>0.23</v>
      </c>
      <c r="U138">
        <v>0.129</v>
      </c>
      <c r="V138" s="82">
        <f>(0.62)*V$11</f>
        <v>0.62</v>
      </c>
      <c r="W138" s="82">
        <f>(0.391)*W$11</f>
        <v>0.391</v>
      </c>
      <c r="X138" s="41">
        <f>(0.00293)*X$11</f>
        <v>0.00293</v>
      </c>
      <c r="Y138">
        <f>(0.000789)*Y$11</f>
        <v>0.000789</v>
      </c>
      <c r="Z138" s="82">
        <f>(1.1)*Z$11</f>
        <v>1.1</v>
      </c>
      <c r="AA138">
        <v>1</v>
      </c>
      <c r="AB138">
        <v>0.91</v>
      </c>
    </row>
  </sheetData>
  <sheetProtection/>
  <mergeCells count="1">
    <mergeCell ref="B3:D3"/>
  </mergeCells>
  <conditionalFormatting sqref="A1:IV7 A12:A65532 B11:IV65532 A9:IV9">
    <cfRule type="expression" priority="1" dxfId="0" stopIfTrue="1">
      <formula>($A2=Section)</formula>
    </cfRule>
  </conditionalFormatting>
  <conditionalFormatting sqref="A65533:IV65536 B8">
    <cfRule type="expression" priority="2" dxfId="0" stopIfTrue="1">
      <formula>($A12=Section)</formula>
    </cfRule>
  </conditionalFormatting>
  <conditionalFormatting sqref="A10:IV10">
    <cfRule type="expression" priority="3" dxfId="0" stopIfTrue="1">
      <formula>($B8=Section)</formula>
    </cfRule>
  </conditionalFormatting>
  <conditionalFormatting sqref="A8 C8:IV8">
    <cfRule type="expression" priority="4" dxfId="0" stopIfTrue="1">
      <formula>(#REF!=Section)</formula>
    </cfRule>
  </conditionalFormatting>
  <dataValidations count="1">
    <dataValidation type="list" allowBlank="1" showInputMessage="1" showErrorMessage="1" sqref="B8">
      <formula1>"Metric,Imperial"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O10"/>
  <sheetViews>
    <sheetView showGridLines="0" zoomScalePageLayoutView="0" workbookViewId="0" topLeftCell="A1">
      <selection activeCell="K12" sqref="K12"/>
    </sheetView>
  </sheetViews>
  <sheetFormatPr defaultColWidth="9.140625" defaultRowHeight="12.75"/>
  <cols>
    <col min="1" max="1" width="1.7109375" style="0" customWidth="1"/>
    <col min="2" max="2" width="1.7109375" style="23" customWidth="1"/>
    <col min="3" max="4" width="1.7109375" style="0" customWidth="1"/>
    <col min="5" max="6" width="11.7109375" style="0" customWidth="1"/>
    <col min="7" max="7" width="1.7109375" style="0" customWidth="1"/>
    <col min="8" max="9" width="11.7109375" style="0" customWidth="1"/>
    <col min="10" max="10" width="1.7109375" style="0" customWidth="1"/>
    <col min="11" max="12" width="11.7109375" style="0" customWidth="1"/>
    <col min="13" max="13" width="1.7109375" style="0" customWidth="1"/>
    <col min="14" max="15" width="11.7109375" style="0" customWidth="1"/>
  </cols>
  <sheetData>
    <row r="1" spans="1:15" ht="12.75">
      <c r="A1" s="1"/>
      <c r="B1" s="28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28"/>
      <c r="C2" s="1"/>
      <c r="D2" s="1"/>
      <c r="E2" s="1" t="s">
        <v>11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28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28"/>
      <c r="C4" s="1"/>
      <c r="D4" s="1"/>
      <c r="E4" s="1" t="s">
        <v>5</v>
      </c>
      <c r="F4" s="1"/>
      <c r="G4" s="1" t="s">
        <v>2</v>
      </c>
      <c r="H4" s="27" t="s">
        <v>615</v>
      </c>
      <c r="I4" s="1"/>
      <c r="J4" s="1"/>
      <c r="K4" s="1"/>
      <c r="L4" s="1"/>
      <c r="M4" s="1"/>
      <c r="N4" s="1"/>
      <c r="O4" s="1"/>
    </row>
    <row r="5" spans="1:15" ht="12.75">
      <c r="A5" s="5"/>
      <c r="B5" s="32"/>
      <c r="C5" s="5"/>
      <c r="D5" s="5"/>
      <c r="E5" s="5" t="s">
        <v>6</v>
      </c>
      <c r="F5" s="5"/>
      <c r="G5" s="5" t="s">
        <v>2</v>
      </c>
      <c r="H5" s="85">
        <v>39759</v>
      </c>
      <c r="I5" s="8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7</v>
      </c>
      <c r="F6" s="5"/>
      <c r="G6" s="5" t="s">
        <v>2</v>
      </c>
      <c r="H6" s="5" t="s">
        <v>8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20</v>
      </c>
      <c r="F7" s="5"/>
      <c r="G7" s="5" t="s">
        <v>2</v>
      </c>
      <c r="H7" s="5" t="str">
        <f>wsname(E7)</f>
        <v>wb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31</v>
      </c>
      <c r="F8" s="5"/>
      <c r="G8" s="5" t="s">
        <v>2</v>
      </c>
      <c r="H8" s="5" t="s">
        <v>41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/>
      <c r="C9" s="5"/>
      <c r="D9" s="5"/>
      <c r="E9" s="5" t="s">
        <v>36</v>
      </c>
      <c r="F9" s="5"/>
      <c r="G9" s="5" t="s">
        <v>2</v>
      </c>
      <c r="H9" s="5" t="s">
        <v>37</v>
      </c>
      <c r="I9" s="5"/>
      <c r="J9" s="5"/>
      <c r="K9" s="5"/>
      <c r="L9" s="5"/>
      <c r="M9" s="5"/>
      <c r="N9" s="5"/>
      <c r="O9" s="5"/>
    </row>
    <row r="10" spans="1:15" ht="12.75">
      <c r="A10" s="5"/>
      <c r="B10" s="32"/>
      <c r="C10" s="5"/>
      <c r="D10" s="5"/>
      <c r="E10" s="5" t="s">
        <v>39</v>
      </c>
      <c r="F10" s="5"/>
      <c r="G10" s="5" t="s">
        <v>2</v>
      </c>
      <c r="H10" s="33">
        <v>192</v>
      </c>
      <c r="I10" s="5"/>
      <c r="J10" s="5"/>
      <c r="K10" s="5"/>
      <c r="L10" s="5"/>
      <c r="M10" s="5"/>
      <c r="N10" s="5"/>
      <c r="O10" s="5"/>
    </row>
  </sheetData>
  <sheetProtection/>
  <mergeCells count="1">
    <mergeCell ref="H5:I5"/>
  </mergeCells>
  <dataValidations count="1">
    <dataValidation type="list" allowBlank="1" showInputMessage="1" showErrorMessage="1" sqref="H9">
      <formula1>"Manual,Automatic"</formula1>
    </dataValidation>
  </dataValidations>
  <printOptions/>
  <pageMargins left="0.75" right="0.75" top="1" bottom="1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1:Q183"/>
  <sheetViews>
    <sheetView showGridLines="0" workbookViewId="0" topLeftCell="A1">
      <selection activeCell="L131" sqref="L131"/>
    </sheetView>
  </sheetViews>
  <sheetFormatPr defaultColWidth="9.140625" defaultRowHeight="12.75" customHeight="1"/>
  <cols>
    <col min="1" max="1" width="1.7109375" style="22" customWidth="1"/>
    <col min="2" max="2" width="1.7109375" style="23" customWidth="1"/>
    <col min="3" max="3" width="1.7109375" style="2" customWidth="1"/>
    <col min="4" max="4" width="1.7109375" style="4" customWidth="1"/>
    <col min="5" max="6" width="9.7109375" style="4" customWidth="1"/>
    <col min="7" max="7" width="1.7109375" style="4" customWidth="1"/>
    <col min="8" max="9" width="9.7109375" style="4" customWidth="1"/>
    <col min="10" max="10" width="1.7109375" style="4" customWidth="1"/>
    <col min="11" max="12" width="9.7109375" style="4" customWidth="1"/>
    <col min="13" max="13" width="1.7109375" style="4" customWidth="1"/>
    <col min="14" max="15" width="9.7109375" style="4" customWidth="1"/>
  </cols>
  <sheetData>
    <row r="1" spans="12:15" ht="12.75" customHeight="1">
      <c r="L1" s="14" t="s">
        <v>14</v>
      </c>
      <c r="M1" s="8"/>
      <c r="N1" s="89">
        <v>39759</v>
      </c>
      <c r="O1" s="89"/>
    </row>
    <row r="2" spans="12:15" ht="12.75" customHeight="1">
      <c r="L2" s="15" t="s">
        <v>15</v>
      </c>
      <c r="M2" s="7"/>
      <c r="N2" s="15" t="s">
        <v>33</v>
      </c>
      <c r="O2" s="15"/>
    </row>
    <row r="3" spans="12:15" ht="12.75" customHeight="1">
      <c r="L3" s="16" t="s">
        <v>16</v>
      </c>
      <c r="M3" s="7"/>
      <c r="N3" s="24" t="s">
        <v>34</v>
      </c>
      <c r="O3" s="15"/>
    </row>
    <row r="4" spans="1:15" ht="12.75" customHeight="1">
      <c r="A4" s="19"/>
      <c r="B4" s="20"/>
      <c r="C4" s="20"/>
      <c r="D4" s="8"/>
      <c r="L4" s="17" t="s">
        <v>18</v>
      </c>
      <c r="M4" s="7"/>
      <c r="N4" s="15"/>
      <c r="O4" s="15"/>
    </row>
    <row r="5" spans="1:15" ht="12.75" customHeight="1">
      <c r="A5" s="21"/>
      <c r="B5" s="3"/>
      <c r="C5" s="3"/>
      <c r="D5" s="7"/>
      <c r="E5" s="13"/>
      <c r="F5" s="13"/>
      <c r="G5" s="13"/>
      <c r="H5" s="13"/>
      <c r="I5" s="13"/>
      <c r="J5" s="13"/>
      <c r="K5" s="13"/>
      <c r="L5" s="18" t="s">
        <v>17</v>
      </c>
      <c r="M5" s="7"/>
      <c r="N5" s="15"/>
      <c r="O5" s="15"/>
    </row>
    <row r="6" spans="1:15" ht="12.75" customHeight="1">
      <c r="A6" s="21"/>
      <c r="B6" s="3"/>
      <c r="C6" s="3"/>
      <c r="D6" s="7"/>
      <c r="E6" s="7"/>
      <c r="F6" s="7"/>
      <c r="G6" s="7"/>
      <c r="H6" s="7"/>
      <c r="I6" s="7"/>
      <c r="J6" s="7"/>
      <c r="K6" s="7"/>
      <c r="L6" s="18" t="s">
        <v>19</v>
      </c>
      <c r="M6" s="7"/>
      <c r="N6" s="15"/>
      <c r="O6" s="15"/>
    </row>
    <row r="7" spans="1:15" ht="12.75" customHeight="1">
      <c r="A7" s="21"/>
      <c r="B7" s="3"/>
      <c r="C7" s="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4:16" ht="12.75" customHeight="1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2:16" ht="12.75" customHeight="1">
      <c r="B9" s="23" t="s">
        <v>616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5" ht="12.75">
      <c r="A10" s="5"/>
      <c r="B10" s="32"/>
      <c r="C10" s="5"/>
      <c r="D10" s="5"/>
      <c r="E10" s="5"/>
      <c r="F10" s="12" t="s">
        <v>43</v>
      </c>
      <c r="G10" s="5" t="s">
        <v>44</v>
      </c>
      <c r="H10" s="5"/>
      <c r="I10" s="5"/>
      <c r="J10" s="5" t="s">
        <v>45</v>
      </c>
      <c r="K10" s="5"/>
      <c r="L10" s="5"/>
      <c r="M10" s="5" t="s">
        <v>2</v>
      </c>
      <c r="N10" s="43" t="s">
        <v>46</v>
      </c>
      <c r="O10" s="33"/>
    </row>
    <row r="11" spans="1:15" ht="12.75">
      <c r="A11" s="5"/>
      <c r="B11" s="32"/>
      <c r="C11" s="5"/>
      <c r="D11" s="5"/>
      <c r="E11" s="5"/>
      <c r="F11" s="12" t="s">
        <v>47</v>
      </c>
      <c r="G11" s="5" t="s">
        <v>48</v>
      </c>
      <c r="H11" s="5"/>
      <c r="I11" s="5"/>
      <c r="J11" s="5" t="s">
        <v>49</v>
      </c>
      <c r="K11" s="5"/>
      <c r="L11" s="5"/>
      <c r="M11" s="5" t="s">
        <v>2</v>
      </c>
      <c r="N11" s="43" t="s">
        <v>50</v>
      </c>
      <c r="O11" s="33"/>
    </row>
    <row r="12" spans="1:15" ht="12.75">
      <c r="A12" s="5"/>
      <c r="B12" s="32"/>
      <c r="C12" s="5"/>
      <c r="D12" s="5"/>
      <c r="E12" s="5"/>
      <c r="F12" s="12" t="s">
        <v>51</v>
      </c>
      <c r="G12" s="5" t="s">
        <v>52</v>
      </c>
      <c r="H12" s="5"/>
      <c r="I12" s="5"/>
      <c r="J12" s="5" t="s">
        <v>53</v>
      </c>
      <c r="K12" s="5"/>
      <c r="L12" s="5"/>
      <c r="M12" s="5" t="s">
        <v>2</v>
      </c>
      <c r="N12" s="86" t="s">
        <v>54</v>
      </c>
      <c r="O12" s="86"/>
    </row>
    <row r="13" spans="1:15" ht="12.75">
      <c r="A13" s="5"/>
      <c r="B13" s="32"/>
      <c r="C13" s="5"/>
      <c r="D13" s="5"/>
      <c r="E13" s="5"/>
      <c r="F13" s="12" t="s">
        <v>55</v>
      </c>
      <c r="G13" s="5" t="s">
        <v>56</v>
      </c>
      <c r="H13" s="5"/>
      <c r="I13" s="5"/>
      <c r="J13" s="5" t="s">
        <v>57</v>
      </c>
      <c r="K13" s="5"/>
      <c r="L13" s="5"/>
      <c r="M13" s="5" t="s">
        <v>2</v>
      </c>
      <c r="N13" s="86" t="s">
        <v>58</v>
      </c>
      <c r="O13" s="86"/>
    </row>
    <row r="14" spans="1:15" ht="12.75">
      <c r="A14" s="5"/>
      <c r="B14" s="32"/>
      <c r="C14" s="5"/>
      <c r="D14" s="5"/>
      <c r="E14" s="5"/>
      <c r="F14" s="12" t="s">
        <v>59</v>
      </c>
      <c r="G14" s="5" t="s">
        <v>60</v>
      </c>
      <c r="H14" s="5"/>
      <c r="I14" s="5"/>
      <c r="J14" s="5"/>
      <c r="K14" s="5"/>
      <c r="L14" s="5"/>
      <c r="M14" s="5"/>
      <c r="N14" s="33"/>
      <c r="O14" s="33"/>
    </row>
    <row r="15" spans="1:15" ht="12.75">
      <c r="A15" s="5"/>
      <c r="B15" s="32"/>
      <c r="C15" s="5"/>
      <c r="D15" s="5"/>
      <c r="E15" s="5"/>
      <c r="F15" s="12"/>
      <c r="G15" s="5" t="s">
        <v>61</v>
      </c>
      <c r="H15" s="5"/>
      <c r="I15" s="5"/>
      <c r="J15" s="5"/>
      <c r="K15" s="5"/>
      <c r="L15" s="5"/>
      <c r="N15" s="33"/>
      <c r="O15" s="45"/>
    </row>
    <row r="16" spans="1:15" ht="12.75">
      <c r="A16" s="5"/>
      <c r="B16" s="32"/>
      <c r="C16" s="5"/>
      <c r="D16" s="5"/>
      <c r="E16" s="5"/>
      <c r="F16" s="12"/>
      <c r="G16" s="5"/>
      <c r="H16" s="5"/>
      <c r="I16" s="5"/>
      <c r="J16" s="5"/>
      <c r="K16" s="5"/>
      <c r="L16" s="5"/>
      <c r="M16" s="5" t="s">
        <v>2</v>
      </c>
      <c r="N16" s="43" t="s">
        <v>62</v>
      </c>
      <c r="O16" s="33"/>
    </row>
    <row r="17" spans="1:15" ht="12.75">
      <c r="A17" s="5"/>
      <c r="B17" s="32"/>
      <c r="C17" s="5"/>
      <c r="D17" s="5"/>
      <c r="E17" s="5"/>
      <c r="F17" s="12" t="s">
        <v>63</v>
      </c>
      <c r="G17" s="5" t="s">
        <v>64</v>
      </c>
      <c r="H17" s="5"/>
      <c r="I17" s="5"/>
      <c r="J17" s="5" t="s">
        <v>65</v>
      </c>
      <c r="K17" s="5"/>
      <c r="L17" s="5"/>
      <c r="M17" s="5" t="s">
        <v>2</v>
      </c>
      <c r="N17" s="86" t="s">
        <v>66</v>
      </c>
      <c r="O17" s="86"/>
    </row>
    <row r="18" spans="1:15" ht="12.75">
      <c r="A18" s="5"/>
      <c r="B18" s="32"/>
      <c r="C18" s="5"/>
      <c r="D18" s="5"/>
      <c r="E18" s="5"/>
      <c r="F18" s="12" t="s">
        <v>67</v>
      </c>
      <c r="G18" s="5" t="s">
        <v>68</v>
      </c>
      <c r="H18" s="5"/>
      <c r="I18" s="5"/>
      <c r="J18" s="5" t="s">
        <v>69</v>
      </c>
      <c r="K18" s="5"/>
      <c r="L18" s="5"/>
      <c r="M18" s="5" t="s">
        <v>2</v>
      </c>
      <c r="N18" s="86" t="s">
        <v>70</v>
      </c>
      <c r="O18" s="86"/>
    </row>
    <row r="19" spans="1:15" ht="12.75">
      <c r="A19" s="5"/>
      <c r="B19" s="32"/>
      <c r="C19" s="5"/>
      <c r="D19" s="5"/>
      <c r="E19" s="5"/>
      <c r="F19" s="12" t="s">
        <v>71</v>
      </c>
      <c r="G19" s="5" t="s">
        <v>72</v>
      </c>
      <c r="H19" s="5"/>
      <c r="I19" s="5"/>
      <c r="J19" s="5"/>
      <c r="K19" s="5"/>
      <c r="L19" s="5"/>
      <c r="M19" s="5"/>
      <c r="N19" s="33"/>
      <c r="O19" s="33"/>
    </row>
    <row r="20" spans="1:15" ht="12.75">
      <c r="A20" s="5"/>
      <c r="B20" s="32"/>
      <c r="C20" s="5"/>
      <c r="D20" s="5"/>
      <c r="E20" s="5"/>
      <c r="F20" s="12"/>
      <c r="G20" s="5" t="s">
        <v>73</v>
      </c>
      <c r="H20" s="5"/>
      <c r="I20" s="5"/>
      <c r="J20" s="5"/>
      <c r="K20" s="5"/>
      <c r="L20" s="5"/>
      <c r="M20" s="5"/>
      <c r="N20" s="33"/>
      <c r="O20" s="33"/>
    </row>
    <row r="21" spans="1:15" ht="12.75">
      <c r="A21" s="5"/>
      <c r="B21" s="32"/>
      <c r="C21" s="5"/>
      <c r="D21" s="5"/>
      <c r="E21" s="5"/>
      <c r="F21" s="12"/>
      <c r="G21" s="5"/>
      <c r="H21" s="5"/>
      <c r="I21" s="5"/>
      <c r="J21" s="5"/>
      <c r="K21" s="5"/>
      <c r="L21" s="5"/>
      <c r="M21" s="5" t="s">
        <v>2</v>
      </c>
      <c r="N21" s="43" t="s">
        <v>74</v>
      </c>
      <c r="O21" s="33"/>
    </row>
    <row r="22" spans="1:15" ht="12.75">
      <c r="A22" s="5"/>
      <c r="B22" s="32"/>
      <c r="C22" s="5"/>
      <c r="D22" s="5"/>
      <c r="E22" s="5"/>
      <c r="F22" s="12" t="s">
        <v>75</v>
      </c>
      <c r="G22" s="5" t="s">
        <v>76</v>
      </c>
      <c r="H22" s="5"/>
      <c r="I22" s="5"/>
      <c r="J22" s="5"/>
      <c r="K22" s="5"/>
      <c r="L22" s="5"/>
      <c r="O22" s="33"/>
    </row>
    <row r="23" spans="1:15" ht="12.75">
      <c r="A23" s="5"/>
      <c r="B23" s="32"/>
      <c r="C23" s="5"/>
      <c r="D23" s="5"/>
      <c r="E23" s="5"/>
      <c r="F23" s="12"/>
      <c r="G23" s="5" t="s">
        <v>77</v>
      </c>
      <c r="H23" s="5"/>
      <c r="I23" s="5"/>
      <c r="J23" s="5"/>
      <c r="K23" s="5"/>
      <c r="L23" s="5"/>
      <c r="M23" s="5" t="s">
        <v>2</v>
      </c>
      <c r="N23" s="43" t="s">
        <v>78</v>
      </c>
      <c r="O23" s="33"/>
    </row>
    <row r="24" spans="1:15" ht="12.75">
      <c r="A24" s="5"/>
      <c r="B24" s="32"/>
      <c r="C24" s="5"/>
      <c r="D24" s="5"/>
      <c r="E24" s="5"/>
      <c r="F24" s="12" t="s">
        <v>79</v>
      </c>
      <c r="G24" s="5" t="s">
        <v>80</v>
      </c>
      <c r="H24" s="5"/>
      <c r="I24" s="5"/>
      <c r="J24" s="5"/>
      <c r="K24" s="5"/>
      <c r="L24" s="5"/>
      <c r="M24" s="5"/>
      <c r="N24" s="5"/>
      <c r="O24" s="33"/>
    </row>
    <row r="25" spans="1:15" ht="12.75">
      <c r="A25" s="5"/>
      <c r="B25" s="32"/>
      <c r="C25" s="5"/>
      <c r="D25" s="5"/>
      <c r="E25" s="5"/>
      <c r="F25" s="12"/>
      <c r="G25" s="5" t="s">
        <v>81</v>
      </c>
      <c r="H25" s="5"/>
      <c r="I25" s="5"/>
      <c r="J25" s="5"/>
      <c r="K25" s="5"/>
      <c r="L25" s="5"/>
      <c r="M25" s="5" t="s">
        <v>2</v>
      </c>
      <c r="N25" s="43" t="s">
        <v>82</v>
      </c>
      <c r="O25" s="33"/>
    </row>
    <row r="26" spans="1:15" ht="12.75">
      <c r="A26" s="5"/>
      <c r="B26" s="32"/>
      <c r="C26" s="5"/>
      <c r="D26" s="5"/>
      <c r="E26" s="5"/>
      <c r="F26" s="12" t="s">
        <v>83</v>
      </c>
      <c r="G26" s="5" t="s">
        <v>84</v>
      </c>
      <c r="H26" s="5"/>
      <c r="I26" s="5"/>
      <c r="J26" s="5"/>
      <c r="K26" s="5"/>
      <c r="L26" s="5"/>
      <c r="M26" s="5"/>
      <c r="N26" s="33"/>
      <c r="O26" s="33"/>
    </row>
    <row r="27" spans="1:15" ht="12.75">
      <c r="A27" s="5"/>
      <c r="B27" s="32"/>
      <c r="C27" s="5"/>
      <c r="D27" s="5"/>
      <c r="E27" s="5"/>
      <c r="F27" s="12"/>
      <c r="G27" s="5" t="s">
        <v>85</v>
      </c>
      <c r="H27" s="5"/>
      <c r="I27" s="5"/>
      <c r="J27" s="5"/>
      <c r="K27" s="5"/>
      <c r="L27" s="5"/>
      <c r="M27" s="5"/>
      <c r="N27" s="33"/>
      <c r="O27" s="33"/>
    </row>
    <row r="28" spans="1:15" ht="12.75">
      <c r="A28" s="5"/>
      <c r="B28" s="32"/>
      <c r="C28" s="5"/>
      <c r="D28" s="5"/>
      <c r="E28" s="5"/>
      <c r="F28" s="12"/>
      <c r="G28" s="5"/>
      <c r="H28" s="5"/>
      <c r="I28" s="5"/>
      <c r="J28" s="5"/>
      <c r="K28" s="5"/>
      <c r="L28" s="5"/>
      <c r="M28" s="5" t="s">
        <v>2</v>
      </c>
      <c r="N28" s="43" t="s">
        <v>86</v>
      </c>
      <c r="O28" s="33"/>
    </row>
    <row r="29" spans="1:15" ht="12.75">
      <c r="A29" s="5"/>
      <c r="B29" s="32"/>
      <c r="C29" s="5"/>
      <c r="D29" s="5"/>
      <c r="E29" s="5"/>
      <c r="F29" s="12" t="s">
        <v>87</v>
      </c>
      <c r="G29" s="5" t="s">
        <v>88</v>
      </c>
      <c r="H29" s="5"/>
      <c r="I29" s="5"/>
      <c r="J29" s="5"/>
      <c r="K29" s="5"/>
      <c r="L29" s="5"/>
      <c r="M29" s="5"/>
      <c r="N29" s="33"/>
      <c r="O29" s="33"/>
    </row>
    <row r="30" spans="1:15" ht="12.75">
      <c r="A30" s="5"/>
      <c r="B30" s="32"/>
      <c r="C30" s="5"/>
      <c r="D30" s="5"/>
      <c r="E30" s="5"/>
      <c r="F30" s="5"/>
      <c r="G30" s="5" t="s">
        <v>89</v>
      </c>
      <c r="H30" s="5"/>
      <c r="I30" s="5"/>
      <c r="J30" s="5"/>
      <c r="K30" s="5"/>
      <c r="L30" s="5"/>
      <c r="M30" s="5" t="s">
        <v>2</v>
      </c>
      <c r="N30" s="46">
        <v>0.63</v>
      </c>
      <c r="O30" s="33"/>
    </row>
    <row r="31" spans="1:15" ht="12.75">
      <c r="A31" s="5"/>
      <c r="B31" s="3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3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3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3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3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3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5"/>
      <c r="B41" s="3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5"/>
      <c r="B42" s="32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5"/>
      <c r="B43" s="32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4:16" ht="12.7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2:16" ht="12.75" customHeight="1">
      <c r="B45" s="23" t="s">
        <v>621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1:15" ht="12.75">
      <c r="A46" s="5"/>
      <c r="B46" s="32"/>
      <c r="C46" s="5"/>
      <c r="D46" s="5" t="s">
        <v>90</v>
      </c>
      <c r="E46" s="5"/>
      <c r="F46" s="12"/>
      <c r="G46" s="5" t="s">
        <v>2</v>
      </c>
      <c r="H46" s="33" t="b">
        <v>0</v>
      </c>
      <c r="I46" s="5"/>
      <c r="J46" s="5"/>
      <c r="K46" s="5"/>
      <c r="L46" s="5"/>
      <c r="M46" s="5"/>
      <c r="N46" s="5"/>
      <c r="O46" s="5"/>
    </row>
    <row r="47" spans="1:15" ht="12.75">
      <c r="A47" s="5"/>
      <c r="B47" s="32"/>
      <c r="C47" s="5"/>
      <c r="D47" s="5"/>
      <c r="E47" s="5"/>
      <c r="F47" s="12" t="s">
        <v>91</v>
      </c>
      <c r="G47" s="5" t="s">
        <v>2</v>
      </c>
      <c r="H47" s="87" t="s">
        <v>92</v>
      </c>
      <c r="I47" s="87"/>
      <c r="J47" s="5"/>
      <c r="K47" s="5"/>
      <c r="L47" s="5"/>
      <c r="M47" s="5"/>
      <c r="N47" s="5"/>
      <c r="O47" s="5"/>
    </row>
    <row r="48" spans="1:15" ht="12.75">
      <c r="A48" s="5"/>
      <c r="B48" s="32"/>
      <c r="C48" s="5"/>
      <c r="D48" s="5"/>
      <c r="E48" s="5"/>
      <c r="F48" s="12" t="s">
        <v>93</v>
      </c>
      <c r="G48" s="5" t="s">
        <v>2</v>
      </c>
      <c r="H48" s="42" t="s">
        <v>94</v>
      </c>
      <c r="I48" s="5"/>
      <c r="J48" s="5"/>
      <c r="K48" s="5"/>
      <c r="L48" s="5"/>
      <c r="M48" s="5"/>
      <c r="N48" s="5"/>
      <c r="O48" s="5"/>
    </row>
    <row r="49" spans="1:15" ht="12.75">
      <c r="A49" s="5"/>
      <c r="B49" s="32"/>
      <c r="C49" s="5"/>
      <c r="D49" s="5"/>
      <c r="E49" s="5"/>
      <c r="F49" s="12" t="s">
        <v>95</v>
      </c>
      <c r="G49" s="5" t="s">
        <v>2</v>
      </c>
      <c r="H49" s="42" t="s">
        <v>96</v>
      </c>
      <c r="I49" s="5"/>
      <c r="J49" s="5"/>
      <c r="K49" s="5"/>
      <c r="L49" s="5"/>
      <c r="M49" s="5"/>
      <c r="N49" s="5"/>
      <c r="O49" s="5"/>
    </row>
    <row r="50" spans="1:15" ht="12.75">
      <c r="A50" s="5"/>
      <c r="B50" s="32"/>
      <c r="C50" s="5"/>
      <c r="D50" s="5"/>
      <c r="E50" s="5"/>
      <c r="F50" s="12" t="s">
        <v>97</v>
      </c>
      <c r="G50" s="5" t="s">
        <v>2</v>
      </c>
      <c r="H50" s="87" t="s">
        <v>98</v>
      </c>
      <c r="I50" s="87"/>
      <c r="J50" s="5"/>
      <c r="K50" s="5"/>
      <c r="L50" s="5"/>
      <c r="M50" s="5"/>
      <c r="N50" s="5"/>
      <c r="O50" s="5"/>
    </row>
    <row r="51" spans="1:15" ht="12.75">
      <c r="A51" s="5"/>
      <c r="B51" s="32"/>
      <c r="C51" s="5"/>
      <c r="D51" s="5"/>
      <c r="E51" s="5"/>
      <c r="F51" s="12" t="s">
        <v>99</v>
      </c>
      <c r="G51" s="5" t="s">
        <v>2</v>
      </c>
      <c r="H51" s="42" t="s">
        <v>100</v>
      </c>
      <c r="I51" s="5"/>
      <c r="J51" s="5"/>
      <c r="K51" s="5"/>
      <c r="L51" s="5"/>
      <c r="M51" s="5"/>
      <c r="N51" s="5"/>
      <c r="O51" s="5"/>
    </row>
    <row r="52" spans="1:15" ht="12.75">
      <c r="A52" s="5"/>
      <c r="B52" s="32"/>
      <c r="C52" s="5"/>
      <c r="D52" s="5"/>
      <c r="E52" s="5"/>
      <c r="F52" s="12" t="s">
        <v>101</v>
      </c>
      <c r="G52" s="5" t="s">
        <v>2</v>
      </c>
      <c r="H52" s="42" t="s">
        <v>102</v>
      </c>
      <c r="I52" s="5"/>
      <c r="J52" s="5"/>
      <c r="K52" s="5"/>
      <c r="L52" s="5"/>
      <c r="M52" s="5"/>
      <c r="N52" s="5"/>
      <c r="O52" s="5"/>
    </row>
    <row r="53" spans="1:15" ht="12.75">
      <c r="A53" s="5"/>
      <c r="B53" s="32"/>
      <c r="C53" s="5"/>
      <c r="D53" s="5"/>
      <c r="E53" s="5"/>
      <c r="F53" s="12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32"/>
      <c r="C54" s="5"/>
      <c r="D54" s="5"/>
      <c r="E54" s="5"/>
      <c r="F54" s="12" t="s">
        <v>103</v>
      </c>
      <c r="G54" s="5" t="s">
        <v>104</v>
      </c>
      <c r="H54" s="5"/>
      <c r="I54" s="5"/>
      <c r="J54" s="5" t="s">
        <v>105</v>
      </c>
      <c r="K54" s="5"/>
      <c r="L54" s="5"/>
      <c r="M54" s="5" t="s">
        <v>2</v>
      </c>
      <c r="N54" s="88" t="s">
        <v>106</v>
      </c>
      <c r="O54" s="88"/>
    </row>
    <row r="55" spans="1:15" ht="12.75">
      <c r="A55" s="5"/>
      <c r="B55" s="32"/>
      <c r="C55" s="5"/>
      <c r="D55" s="5"/>
      <c r="E55" s="5"/>
      <c r="F55" s="12" t="s">
        <v>107</v>
      </c>
      <c r="G55" s="5" t="s">
        <v>108</v>
      </c>
      <c r="H55" s="5"/>
      <c r="I55" s="5"/>
      <c r="J55" s="5" t="s">
        <v>109</v>
      </c>
      <c r="K55" s="5"/>
      <c r="L55" s="5"/>
      <c r="M55" s="5" t="s">
        <v>2</v>
      </c>
      <c r="N55" s="86" t="s">
        <v>110</v>
      </c>
      <c r="O55" s="86"/>
    </row>
    <row r="56" spans="1:15" ht="12.75">
      <c r="A56" s="5"/>
      <c r="B56" s="32"/>
      <c r="C56" s="5"/>
      <c r="D56" s="5"/>
      <c r="E56" s="5"/>
      <c r="F56" s="12" t="s">
        <v>111</v>
      </c>
      <c r="G56" s="5" t="s">
        <v>112</v>
      </c>
      <c r="H56" s="5"/>
      <c r="I56" s="5"/>
      <c r="J56" s="5" t="s">
        <v>113</v>
      </c>
      <c r="K56" s="5"/>
      <c r="L56" s="5"/>
      <c r="M56" s="5" t="s">
        <v>2</v>
      </c>
      <c r="N56" s="43" t="s">
        <v>94</v>
      </c>
      <c r="O56" s="33"/>
    </row>
    <row r="57" spans="1:15" ht="12.75">
      <c r="A57" s="5"/>
      <c r="B57" s="32"/>
      <c r="C57" s="5"/>
      <c r="D57" s="5"/>
      <c r="E57" s="5"/>
      <c r="F57" s="12" t="s">
        <v>114</v>
      </c>
      <c r="G57" s="5" t="s">
        <v>2</v>
      </c>
      <c r="H57" s="43" t="s">
        <v>115</v>
      </c>
      <c r="I57" s="5"/>
      <c r="J57" s="5"/>
      <c r="K57" s="5"/>
      <c r="L57" s="5"/>
      <c r="O57" s="33"/>
    </row>
    <row r="58" spans="1:15" ht="12.75">
      <c r="A58" s="5"/>
      <c r="B58" s="32"/>
      <c r="C58" s="5"/>
      <c r="D58" s="5"/>
      <c r="E58" s="5"/>
      <c r="F58" s="12" t="s">
        <v>116</v>
      </c>
      <c r="G58" s="5" t="s">
        <v>117</v>
      </c>
      <c r="H58" s="5"/>
      <c r="I58" s="5"/>
      <c r="J58" s="5" t="s">
        <v>118</v>
      </c>
      <c r="K58" s="5"/>
      <c r="L58" s="5"/>
      <c r="M58" s="5" t="s">
        <v>2</v>
      </c>
      <c r="N58" s="43" t="s">
        <v>119</v>
      </c>
      <c r="O58" s="33"/>
    </row>
    <row r="59" spans="1:15" ht="12.75">
      <c r="A59" s="5"/>
      <c r="B59" s="32"/>
      <c r="C59" s="5"/>
      <c r="D59" s="5"/>
      <c r="E59" s="5"/>
      <c r="F59" s="12" t="s">
        <v>120</v>
      </c>
      <c r="G59" s="5" t="s">
        <v>121</v>
      </c>
      <c r="H59" s="5"/>
      <c r="I59" s="5"/>
      <c r="J59" s="5" t="s">
        <v>122</v>
      </c>
      <c r="K59" s="5"/>
      <c r="L59" s="5"/>
      <c r="M59" s="5" t="s">
        <v>2</v>
      </c>
      <c r="N59" s="86" t="s">
        <v>123</v>
      </c>
      <c r="O59" s="86"/>
    </row>
    <row r="60" spans="1:15" ht="12.75">
      <c r="A60" s="5"/>
      <c r="B60" s="32"/>
      <c r="C60" s="5"/>
      <c r="D60" s="5"/>
      <c r="E60" s="5"/>
      <c r="F60" s="12" t="s">
        <v>124</v>
      </c>
      <c r="G60" s="5" t="s">
        <v>125</v>
      </c>
      <c r="H60" s="5"/>
      <c r="I60" s="5"/>
      <c r="J60" s="5"/>
      <c r="K60" s="5"/>
      <c r="L60" s="5"/>
      <c r="M60" s="5"/>
      <c r="N60" s="33"/>
      <c r="O60" s="33"/>
    </row>
    <row r="61" spans="1:15" ht="12.75">
      <c r="A61" s="5"/>
      <c r="B61" s="32"/>
      <c r="C61" s="5"/>
      <c r="D61" s="5"/>
      <c r="E61" s="5"/>
      <c r="F61" s="12"/>
      <c r="G61" s="5" t="s">
        <v>126</v>
      </c>
      <c r="H61" s="5"/>
      <c r="I61" s="5"/>
      <c r="J61" s="5"/>
      <c r="K61" s="5"/>
      <c r="L61" s="5"/>
      <c r="M61" s="5" t="s">
        <v>2</v>
      </c>
      <c r="N61" s="86" t="s">
        <v>127</v>
      </c>
      <c r="O61" s="86"/>
    </row>
    <row r="62" spans="1:15" ht="12.75">
      <c r="A62" s="5"/>
      <c r="B62" s="32"/>
      <c r="C62" s="5"/>
      <c r="D62" s="5"/>
      <c r="E62" s="5"/>
      <c r="F62" s="12" t="s">
        <v>128</v>
      </c>
      <c r="G62" s="5" t="s">
        <v>129</v>
      </c>
      <c r="H62" s="5"/>
      <c r="I62" s="5"/>
      <c r="J62" s="5"/>
      <c r="K62" s="5"/>
      <c r="L62" s="5"/>
      <c r="M62" s="5"/>
      <c r="N62" s="33"/>
      <c r="O62" s="33"/>
    </row>
    <row r="63" spans="1:15" ht="12.75">
      <c r="A63" s="5"/>
      <c r="B63" s="32"/>
      <c r="C63" s="5"/>
      <c r="D63" s="5"/>
      <c r="E63" s="5"/>
      <c r="F63" s="12"/>
      <c r="G63" s="5" t="s">
        <v>130</v>
      </c>
      <c r="H63" s="5"/>
      <c r="I63" s="5"/>
      <c r="J63" s="5"/>
      <c r="K63" s="5"/>
      <c r="L63" s="5"/>
      <c r="M63" s="5" t="s">
        <v>2</v>
      </c>
      <c r="N63" s="43" t="s">
        <v>96</v>
      </c>
      <c r="O63" s="33"/>
    </row>
    <row r="64" spans="1:15" ht="12.75">
      <c r="A64" s="5"/>
      <c r="B64" s="32"/>
      <c r="C64" s="5"/>
      <c r="D64" s="5"/>
      <c r="E64" s="5"/>
      <c r="F64" s="12" t="s">
        <v>131</v>
      </c>
      <c r="G64" s="5" t="s">
        <v>132</v>
      </c>
      <c r="H64" s="5"/>
      <c r="I64" s="5"/>
      <c r="J64" s="5"/>
      <c r="K64" s="5"/>
      <c r="L64" s="5"/>
      <c r="M64" s="5"/>
      <c r="N64" s="33"/>
      <c r="O64" s="33"/>
    </row>
    <row r="65" spans="1:15" ht="12.75">
      <c r="A65" s="5"/>
      <c r="B65" s="32"/>
      <c r="C65" s="5"/>
      <c r="D65" s="5"/>
      <c r="E65" s="5"/>
      <c r="F65" s="12"/>
      <c r="G65" s="5" t="s">
        <v>133</v>
      </c>
      <c r="H65" s="5"/>
      <c r="I65" s="5"/>
      <c r="J65" s="5"/>
      <c r="K65" s="5"/>
      <c r="L65" s="5"/>
      <c r="M65" s="5" t="s">
        <v>2</v>
      </c>
      <c r="N65" s="43" t="s">
        <v>134</v>
      </c>
      <c r="O65" s="33"/>
    </row>
    <row r="66" spans="1:15" ht="12.75">
      <c r="A66" s="5"/>
      <c r="B66" s="32"/>
      <c r="C66" s="5"/>
      <c r="D66" s="5"/>
      <c r="E66" s="5"/>
      <c r="F66" s="12" t="s">
        <v>75</v>
      </c>
      <c r="G66" s="5" t="s">
        <v>135</v>
      </c>
      <c r="H66" s="5"/>
      <c r="I66" s="5"/>
      <c r="J66" s="5" t="s">
        <v>136</v>
      </c>
      <c r="K66" s="5"/>
      <c r="L66" s="5"/>
      <c r="M66" s="5" t="s">
        <v>2</v>
      </c>
      <c r="N66" s="43" t="s">
        <v>100</v>
      </c>
      <c r="O66" s="33"/>
    </row>
    <row r="67" spans="1:15" ht="12.75">
      <c r="A67" s="5"/>
      <c r="B67" s="32"/>
      <c r="C67" s="5"/>
      <c r="D67" s="5"/>
      <c r="E67" s="5"/>
      <c r="F67" s="12" t="s">
        <v>79</v>
      </c>
      <c r="G67" s="5"/>
      <c r="H67" s="5"/>
      <c r="I67" s="5"/>
      <c r="J67" s="5"/>
      <c r="K67" s="5"/>
      <c r="L67" s="5"/>
      <c r="M67" s="5" t="s">
        <v>2</v>
      </c>
      <c r="N67" s="33">
        <v>0</v>
      </c>
      <c r="O67" s="33"/>
    </row>
    <row r="68" spans="1:15" ht="12.75">
      <c r="A68" s="5"/>
      <c r="B68" s="32"/>
      <c r="C68" s="5"/>
      <c r="D68" s="5"/>
      <c r="E68" s="5"/>
      <c r="F68" s="12" t="s">
        <v>83</v>
      </c>
      <c r="G68" s="5" t="s">
        <v>84</v>
      </c>
      <c r="H68" s="5"/>
      <c r="I68" s="5"/>
      <c r="J68" s="5"/>
      <c r="K68" s="5"/>
      <c r="L68" s="5"/>
      <c r="M68" s="5"/>
      <c r="N68" s="33"/>
      <c r="O68" s="33"/>
    </row>
    <row r="69" spans="1:15" ht="12.75">
      <c r="A69" s="5"/>
      <c r="B69" s="32"/>
      <c r="C69" s="5"/>
      <c r="D69" s="5"/>
      <c r="E69" s="5"/>
      <c r="F69" s="12"/>
      <c r="G69" s="5" t="s">
        <v>137</v>
      </c>
      <c r="H69" s="5"/>
      <c r="I69" s="5"/>
      <c r="J69" s="5"/>
      <c r="K69" s="5"/>
      <c r="L69" s="5"/>
      <c r="M69" s="5" t="s">
        <v>2</v>
      </c>
      <c r="N69" s="43" t="s">
        <v>138</v>
      </c>
      <c r="O69" s="33"/>
    </row>
    <row r="70" spans="1:15" ht="12.75">
      <c r="A70" s="5"/>
      <c r="B70" s="32"/>
      <c r="C70" s="5"/>
      <c r="D70" s="5"/>
      <c r="E70" s="5"/>
      <c r="F70" s="12" t="s">
        <v>87</v>
      </c>
      <c r="G70" s="5" t="s">
        <v>88</v>
      </c>
      <c r="H70" s="5"/>
      <c r="I70" s="5"/>
      <c r="J70" s="5"/>
      <c r="K70" s="5"/>
      <c r="L70" s="5"/>
      <c r="M70" s="5"/>
      <c r="N70" s="33"/>
      <c r="O70" s="33"/>
    </row>
    <row r="71" spans="1:15" ht="12.75">
      <c r="A71" s="5"/>
      <c r="B71" s="32"/>
      <c r="C71" s="5"/>
      <c r="D71" s="5"/>
      <c r="E71" s="5"/>
      <c r="F71" s="5"/>
      <c r="G71" s="5" t="s">
        <v>139</v>
      </c>
      <c r="H71" s="5"/>
      <c r="I71" s="5"/>
      <c r="J71" s="5"/>
      <c r="K71" s="5"/>
      <c r="L71" s="5"/>
      <c r="M71" s="5" t="s">
        <v>2</v>
      </c>
      <c r="N71" s="46">
        <v>0.8</v>
      </c>
      <c r="O71" s="33"/>
    </row>
    <row r="72" spans="1:15" ht="12.75">
      <c r="A72" s="5"/>
      <c r="B72" s="3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8"/>
      <c r="O72" s="5"/>
    </row>
    <row r="73" spans="1:15" ht="12.75">
      <c r="A73" s="5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/>
      <c r="B74" s="3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/>
      <c r="B75" s="3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/>
      <c r="B76" s="3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3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3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3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3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3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3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3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3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3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47"/>
    </row>
    <row r="86" spans="1:15" ht="12.75">
      <c r="A86" s="5"/>
      <c r="B86" s="3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4:16" ht="12.75" customHeight="1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/>
    </row>
    <row r="88" spans="1:16" ht="12.75" customHeight="1">
      <c r="A88" s="30"/>
      <c r="B88" s="2" t="s">
        <v>619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/>
    </row>
    <row r="89" spans="1:15" ht="12.75">
      <c r="A89" s="5"/>
      <c r="B89" s="32"/>
      <c r="C89" s="5"/>
      <c r="D89" s="5" t="s">
        <v>617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32"/>
      <c r="C90" s="5"/>
      <c r="D90" s="5"/>
      <c r="E90" s="5" t="s">
        <v>261</v>
      </c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32"/>
      <c r="C91" s="5"/>
      <c r="D91" s="5"/>
      <c r="E91" s="5" t="s">
        <v>140</v>
      </c>
      <c r="F91" s="5"/>
      <c r="G91" s="5" t="s">
        <v>141</v>
      </c>
      <c r="H91" s="5"/>
      <c r="I91" s="5"/>
      <c r="J91" s="5" t="s">
        <v>142</v>
      </c>
      <c r="K91" s="5"/>
      <c r="L91" s="5"/>
      <c r="M91" s="5" t="s">
        <v>2</v>
      </c>
      <c r="N91" s="36">
        <v>50.1</v>
      </c>
      <c r="O91" s="5"/>
    </row>
    <row r="92" spans="1:15" ht="12.75">
      <c r="A92" s="5"/>
      <c r="B92" s="32"/>
      <c r="C92" s="5"/>
      <c r="D92" s="5" t="s">
        <v>143</v>
      </c>
      <c r="E92" s="5"/>
      <c r="F92" s="5"/>
      <c r="G92" s="5"/>
      <c r="H92" s="5"/>
      <c r="I92" s="5"/>
      <c r="J92" s="5"/>
      <c r="K92" s="5"/>
      <c r="L92" s="5"/>
      <c r="M92" s="5"/>
      <c r="N92" s="33"/>
      <c r="O92" s="5"/>
    </row>
    <row r="93" spans="1:17" ht="12.75">
      <c r="A93" s="5"/>
      <c r="B93" s="32"/>
      <c r="C93" s="5"/>
      <c r="D93" s="5"/>
      <c r="E93" s="5" t="s">
        <v>144</v>
      </c>
      <c r="F93" s="5"/>
      <c r="G93" s="5" t="s">
        <v>145</v>
      </c>
      <c r="H93" s="5"/>
      <c r="I93" s="5"/>
      <c r="J93" s="5"/>
      <c r="K93" s="5"/>
      <c r="L93" s="5"/>
      <c r="M93" s="5"/>
      <c r="N93" s="33"/>
      <c r="O93" s="5"/>
      <c r="Q93" s="48"/>
    </row>
    <row r="94" spans="1:15" ht="12.75">
      <c r="A94" s="5"/>
      <c r="B94" s="32"/>
      <c r="C94" s="5"/>
      <c r="D94" s="5"/>
      <c r="E94" s="5"/>
      <c r="F94" s="5"/>
      <c r="G94" s="5" t="s">
        <v>146</v>
      </c>
      <c r="H94" s="5"/>
      <c r="I94" s="5"/>
      <c r="J94" s="5"/>
      <c r="K94" s="5"/>
      <c r="L94" s="5"/>
      <c r="M94" s="5" t="s">
        <v>2</v>
      </c>
      <c r="N94" s="43" t="s">
        <v>147</v>
      </c>
      <c r="O94" s="5"/>
    </row>
    <row r="95" spans="1:15" ht="12.75">
      <c r="A95" s="5"/>
      <c r="B95" s="32"/>
      <c r="C95" s="5"/>
      <c r="D95" s="5"/>
      <c r="E95" s="5" t="s">
        <v>148</v>
      </c>
      <c r="F95" s="5"/>
      <c r="G95" s="5" t="s">
        <v>149</v>
      </c>
      <c r="H95" s="5"/>
      <c r="I95" s="5"/>
      <c r="J95" s="5"/>
      <c r="K95" s="5"/>
      <c r="L95" s="5"/>
      <c r="M95" s="5"/>
      <c r="N95" s="33"/>
      <c r="O95" s="5"/>
    </row>
    <row r="96" spans="1:15" ht="12.75">
      <c r="A96" s="5"/>
      <c r="B96" s="32"/>
      <c r="C96" s="5"/>
      <c r="D96" s="5"/>
      <c r="E96" s="5"/>
      <c r="F96" s="5"/>
      <c r="G96" s="5" t="s">
        <v>150</v>
      </c>
      <c r="H96" s="5"/>
      <c r="I96" s="5"/>
      <c r="J96" s="5"/>
      <c r="K96" s="5"/>
      <c r="L96" s="5"/>
      <c r="M96" s="5" t="s">
        <v>2</v>
      </c>
      <c r="N96" s="36">
        <v>50.1</v>
      </c>
      <c r="O96" s="5"/>
    </row>
    <row r="97" spans="1:15" ht="12.75">
      <c r="A97" s="5"/>
      <c r="B97" s="32"/>
      <c r="C97" s="5"/>
      <c r="D97" s="5" t="s">
        <v>151</v>
      </c>
      <c r="E97" s="5"/>
      <c r="F97" s="5"/>
      <c r="G97" s="5"/>
      <c r="H97" s="5"/>
      <c r="I97" s="5"/>
      <c r="J97" s="5"/>
      <c r="K97" s="5"/>
      <c r="L97" s="5"/>
      <c r="M97" s="5"/>
      <c r="N97" s="33"/>
      <c r="O97" s="5"/>
    </row>
    <row r="98" spans="1:15" ht="12.75">
      <c r="A98" s="5"/>
      <c r="B98" s="32"/>
      <c r="C98" s="5"/>
      <c r="D98" s="5"/>
      <c r="E98" s="49" t="s">
        <v>152</v>
      </c>
      <c r="F98" s="5"/>
      <c r="G98" s="5" t="s">
        <v>153</v>
      </c>
      <c r="H98" s="5"/>
      <c r="I98" s="5"/>
      <c r="J98" s="5" t="s">
        <v>154</v>
      </c>
      <c r="K98" s="5"/>
      <c r="L98" s="5"/>
      <c r="M98" s="5" t="s">
        <v>2</v>
      </c>
      <c r="N98" s="46">
        <v>1.3</v>
      </c>
      <c r="O98" s="5"/>
    </row>
    <row r="99" spans="1:15" ht="12.75">
      <c r="A99" s="5"/>
      <c r="B99" s="32"/>
      <c r="C99" s="5"/>
      <c r="D99" s="5"/>
      <c r="E99" s="5" t="s">
        <v>155</v>
      </c>
      <c r="F99" s="5"/>
      <c r="G99" s="5" t="s">
        <v>156</v>
      </c>
      <c r="H99" s="5"/>
      <c r="I99" s="5"/>
      <c r="J99" s="5"/>
      <c r="K99" s="5"/>
      <c r="L99" s="5"/>
      <c r="M99" s="5"/>
      <c r="N99" s="33"/>
      <c r="O99" s="5"/>
    </row>
    <row r="100" spans="1:15" ht="12.75">
      <c r="A100" s="5"/>
      <c r="B100" s="32"/>
      <c r="C100" s="5"/>
      <c r="D100" s="5"/>
      <c r="E100" s="5"/>
      <c r="F100" s="5"/>
      <c r="G100" s="5" t="s">
        <v>157</v>
      </c>
      <c r="H100" s="5"/>
      <c r="I100" s="5"/>
      <c r="J100" s="5"/>
      <c r="K100" s="5"/>
      <c r="L100" s="5"/>
      <c r="M100" s="5"/>
      <c r="N100" s="33"/>
      <c r="O100" s="5"/>
    </row>
    <row r="101" spans="1:15" ht="12.75">
      <c r="A101" s="5"/>
      <c r="B101" s="3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 t="s">
        <v>2</v>
      </c>
      <c r="N101" s="36">
        <v>50.1</v>
      </c>
      <c r="O101" s="5"/>
    </row>
    <row r="102" spans="1:15" ht="12.75">
      <c r="A102" s="5"/>
      <c r="B102" s="32"/>
      <c r="C102" s="5"/>
      <c r="D102" s="5"/>
      <c r="E102" s="5" t="s">
        <v>158</v>
      </c>
      <c r="F102" s="5"/>
      <c r="G102" s="5" t="s">
        <v>159</v>
      </c>
      <c r="H102" s="5"/>
      <c r="I102" s="5"/>
      <c r="J102" s="5"/>
      <c r="K102" s="5"/>
      <c r="L102" s="5"/>
      <c r="M102" s="5"/>
      <c r="N102" s="33"/>
      <c r="O102" s="5"/>
    </row>
    <row r="103" spans="1:15" ht="12.75">
      <c r="A103" s="5"/>
      <c r="B103" s="32"/>
      <c r="C103" s="5"/>
      <c r="D103" s="5"/>
      <c r="E103" s="5"/>
      <c r="F103" s="5"/>
      <c r="G103" s="5" t="s">
        <v>160</v>
      </c>
      <c r="H103" s="5"/>
      <c r="I103" s="5"/>
      <c r="J103" s="5"/>
      <c r="K103" s="5"/>
      <c r="L103" s="5"/>
      <c r="M103" s="5"/>
      <c r="N103" s="43"/>
      <c r="O103" s="5"/>
    </row>
    <row r="104" spans="1:15" ht="12.75">
      <c r="A104" s="5"/>
      <c r="B104" s="3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 t="s">
        <v>2</v>
      </c>
      <c r="N104" s="36">
        <v>50.1</v>
      </c>
      <c r="O104" s="5"/>
    </row>
    <row r="105" spans="1:15" ht="12.75">
      <c r="A105" s="5"/>
      <c r="B105" s="32"/>
      <c r="C105" s="5"/>
      <c r="D105" s="5"/>
      <c r="E105" s="5" t="s">
        <v>161</v>
      </c>
      <c r="F105" s="5"/>
      <c r="G105" s="5" t="s">
        <v>162</v>
      </c>
      <c r="H105" s="5"/>
      <c r="I105" s="5"/>
      <c r="J105" s="5" t="s">
        <v>163</v>
      </c>
      <c r="K105" s="5"/>
      <c r="L105" s="5"/>
      <c r="M105" s="5" t="s">
        <v>2</v>
      </c>
      <c r="N105" s="43" t="s">
        <v>134</v>
      </c>
      <c r="O105" s="5"/>
    </row>
    <row r="106" spans="1:15" ht="12.75">
      <c r="A106" s="5"/>
      <c r="B106" s="32"/>
      <c r="C106" s="5"/>
      <c r="D106" s="5"/>
      <c r="E106" s="5" t="s">
        <v>164</v>
      </c>
      <c r="F106" s="5"/>
      <c r="G106" s="5"/>
      <c r="H106" s="5"/>
      <c r="I106" s="5"/>
      <c r="J106" s="5"/>
      <c r="K106" s="5"/>
      <c r="L106" s="5"/>
      <c r="M106" s="5"/>
      <c r="N106" s="43"/>
      <c r="O106" s="5"/>
    </row>
    <row r="107" spans="1:15" ht="12.75">
      <c r="A107" s="5"/>
      <c r="B107" s="32"/>
      <c r="C107" s="5"/>
      <c r="D107" s="5"/>
      <c r="E107" s="5" t="s">
        <v>165</v>
      </c>
      <c r="F107" s="5"/>
      <c r="G107" s="5" t="s">
        <v>166</v>
      </c>
      <c r="H107" s="5"/>
      <c r="I107" s="5"/>
      <c r="J107" s="5" t="s">
        <v>167</v>
      </c>
      <c r="K107" s="5"/>
      <c r="L107" s="5"/>
      <c r="M107" s="5" t="s">
        <v>2</v>
      </c>
      <c r="N107" s="36">
        <v>0.5</v>
      </c>
      <c r="O107" s="5"/>
    </row>
    <row r="108" spans="1:15" ht="12.75">
      <c r="A108" s="5"/>
      <c r="B108" s="32"/>
      <c r="C108" s="5"/>
      <c r="D108" s="5"/>
      <c r="E108" s="5"/>
      <c r="F108" s="5"/>
      <c r="G108" s="5" t="s">
        <v>168</v>
      </c>
      <c r="H108" s="5"/>
      <c r="I108" s="5"/>
      <c r="J108" s="5" t="s">
        <v>169</v>
      </c>
      <c r="K108" s="5"/>
      <c r="L108" s="5"/>
      <c r="M108" s="5" t="s">
        <v>2</v>
      </c>
      <c r="N108" s="36">
        <v>37.6</v>
      </c>
      <c r="O108" s="5"/>
    </row>
    <row r="109" spans="1:15" ht="12.75">
      <c r="A109" s="5"/>
      <c r="B109" s="32"/>
      <c r="C109" s="5"/>
      <c r="D109" s="5"/>
      <c r="E109" s="5" t="s">
        <v>170</v>
      </c>
      <c r="F109" s="5"/>
      <c r="G109" s="5" t="s">
        <v>2</v>
      </c>
      <c r="H109" s="47" t="b">
        <v>1</v>
      </c>
      <c r="I109" s="5"/>
      <c r="J109" s="5"/>
      <c r="K109" s="5"/>
      <c r="L109" s="5"/>
      <c r="M109" s="5"/>
      <c r="N109" s="34"/>
      <c r="O109" s="5"/>
    </row>
    <row r="110" spans="1:16" ht="12.75" customHeight="1">
      <c r="A110" s="30"/>
      <c r="B110" s="2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/>
    </row>
    <row r="111" spans="1:16" ht="12.75" customHeight="1">
      <c r="A111" s="30"/>
      <c r="B111" s="2" t="s">
        <v>623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</row>
    <row r="112" spans="1:16" ht="12.75" customHeight="1">
      <c r="A112" s="30"/>
      <c r="B112" s="101" t="s">
        <v>626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/>
    </row>
    <row r="113" spans="1:15" ht="12.75">
      <c r="A113" s="5"/>
      <c r="B113" s="32"/>
      <c r="C113" s="5"/>
      <c r="D113" s="5" t="s">
        <v>617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5"/>
      <c r="B114" s="32"/>
      <c r="C114" s="5"/>
      <c r="D114" s="5"/>
      <c r="E114" s="5" t="s">
        <v>273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5"/>
      <c r="B115" s="32"/>
      <c r="C115" s="5"/>
      <c r="D115" s="5"/>
      <c r="E115" s="5"/>
      <c r="F115" s="12" t="s">
        <v>171</v>
      </c>
      <c r="G115" s="5" t="s">
        <v>622</v>
      </c>
      <c r="H115" s="5"/>
      <c r="I115" s="5"/>
      <c r="J115" s="5" t="s">
        <v>172</v>
      </c>
      <c r="K115" s="5"/>
      <c r="L115" s="5"/>
      <c r="M115" s="5" t="s">
        <v>2</v>
      </c>
      <c r="N115" s="36">
        <v>64.9</v>
      </c>
      <c r="O115" s="5"/>
    </row>
    <row r="116" spans="1:15" ht="12.75">
      <c r="A116" s="5"/>
      <c r="B116" s="32"/>
      <c r="C116" s="5"/>
      <c r="D116" s="5"/>
      <c r="E116" s="5"/>
      <c r="F116" s="12" t="s">
        <v>173</v>
      </c>
      <c r="G116" s="5" t="s">
        <v>174</v>
      </c>
      <c r="H116" s="5"/>
      <c r="I116" s="5"/>
      <c r="J116" s="5"/>
      <c r="K116" s="5"/>
      <c r="L116" s="5"/>
      <c r="M116" s="5"/>
      <c r="N116" s="33"/>
      <c r="O116" s="5"/>
    </row>
    <row r="117" spans="1:15" ht="12.75">
      <c r="A117" s="5"/>
      <c r="B117" s="32"/>
      <c r="C117" s="5"/>
      <c r="D117" s="5"/>
      <c r="E117" s="5"/>
      <c r="F117" s="12"/>
      <c r="G117" s="5" t="s">
        <v>175</v>
      </c>
      <c r="H117" s="5"/>
      <c r="I117" s="5"/>
      <c r="J117" s="5"/>
      <c r="K117" s="5"/>
      <c r="L117" s="5"/>
      <c r="M117" s="5" t="s">
        <v>2</v>
      </c>
      <c r="N117" s="44" t="s">
        <v>176</v>
      </c>
      <c r="O117" s="5"/>
    </row>
    <row r="118" spans="1:15" ht="12.75">
      <c r="A118" s="5"/>
      <c r="B118" s="32"/>
      <c r="C118" s="5"/>
      <c r="D118" s="5" t="s">
        <v>177</v>
      </c>
      <c r="E118" s="5"/>
      <c r="F118" s="12"/>
      <c r="G118" s="5"/>
      <c r="H118" s="5"/>
      <c r="I118" s="5"/>
      <c r="J118" s="5"/>
      <c r="K118" s="5"/>
      <c r="L118" s="5"/>
      <c r="M118" s="5"/>
      <c r="N118" s="44"/>
      <c r="O118" s="5"/>
    </row>
    <row r="119" spans="1:15" ht="12.75">
      <c r="A119" s="5"/>
      <c r="B119" s="32"/>
      <c r="C119" s="5"/>
      <c r="D119" s="5"/>
      <c r="E119" s="5"/>
      <c r="F119" s="12" t="s">
        <v>178</v>
      </c>
      <c r="G119" s="5" t="s">
        <v>179</v>
      </c>
      <c r="H119" s="5"/>
      <c r="I119" s="5"/>
      <c r="J119" s="5"/>
      <c r="K119" s="5"/>
      <c r="L119" s="5"/>
      <c r="M119" s="5"/>
      <c r="N119" s="33"/>
      <c r="O119" s="5"/>
    </row>
    <row r="120" spans="1:15" ht="12.75">
      <c r="A120" s="5"/>
      <c r="B120" s="32"/>
      <c r="C120" s="5"/>
      <c r="D120" s="5"/>
      <c r="E120" s="5"/>
      <c r="F120" s="12"/>
      <c r="G120" s="5" t="s">
        <v>180</v>
      </c>
      <c r="H120" s="5"/>
      <c r="I120" s="5"/>
      <c r="J120" s="5"/>
      <c r="K120" s="5"/>
      <c r="L120" s="5"/>
      <c r="M120" s="5" t="s">
        <v>2</v>
      </c>
      <c r="N120" s="44" t="s">
        <v>181</v>
      </c>
      <c r="O120" s="5"/>
    </row>
    <row r="121" spans="1:15" ht="12.75">
      <c r="A121" s="5"/>
      <c r="B121" s="32"/>
      <c r="C121" s="5"/>
      <c r="D121" s="5"/>
      <c r="E121" s="5"/>
      <c r="F121" s="12" t="s">
        <v>182</v>
      </c>
      <c r="G121" s="5" t="s">
        <v>183</v>
      </c>
      <c r="H121" s="5"/>
      <c r="I121" s="5"/>
      <c r="J121" s="5" t="s">
        <v>184</v>
      </c>
      <c r="K121" s="5"/>
      <c r="L121" s="5"/>
      <c r="M121" s="5" t="s">
        <v>2</v>
      </c>
      <c r="N121" s="44" t="s">
        <v>185</v>
      </c>
      <c r="O121" s="5"/>
    </row>
    <row r="122" spans="1:15" ht="12.75">
      <c r="A122" s="5"/>
      <c r="B122" s="32"/>
      <c r="C122" s="5"/>
      <c r="D122" s="5"/>
      <c r="E122" s="5"/>
      <c r="F122" s="12"/>
      <c r="G122" s="5"/>
      <c r="H122" s="5"/>
      <c r="I122" s="5"/>
      <c r="J122" s="5"/>
      <c r="K122" s="5"/>
      <c r="L122" s="5"/>
      <c r="M122" s="5"/>
      <c r="N122" s="44"/>
      <c r="O122" s="5"/>
    </row>
    <row r="123" spans="1:15" ht="12.75">
      <c r="A123" s="5"/>
      <c r="B123" s="32"/>
      <c r="C123" s="5"/>
      <c r="D123" s="5"/>
      <c r="E123" s="5"/>
      <c r="F123" s="12" t="s">
        <v>186</v>
      </c>
      <c r="G123" s="5" t="s">
        <v>187</v>
      </c>
      <c r="H123" s="5"/>
      <c r="I123" s="5"/>
      <c r="J123" s="5" t="s">
        <v>188</v>
      </c>
      <c r="K123" s="5"/>
      <c r="L123" s="5"/>
      <c r="M123" s="5" t="s">
        <v>2</v>
      </c>
      <c r="N123" s="44" t="b">
        <v>1</v>
      </c>
      <c r="O123" s="5"/>
    </row>
    <row r="124" spans="1:15" ht="12.75">
      <c r="A124" s="5"/>
      <c r="B124" s="32"/>
      <c r="C124" s="5"/>
      <c r="D124" s="5"/>
      <c r="E124" s="64"/>
      <c r="F124" s="97" t="s">
        <v>189</v>
      </c>
      <c r="G124" s="64" t="s">
        <v>2</v>
      </c>
      <c r="H124" s="98" t="s">
        <v>181</v>
      </c>
      <c r="I124" s="5"/>
      <c r="J124" s="5"/>
      <c r="K124" s="5"/>
      <c r="L124" s="5"/>
      <c r="O124" s="5"/>
    </row>
    <row r="125" spans="1:15" ht="12.75">
      <c r="A125" s="5"/>
      <c r="B125" s="32"/>
      <c r="C125" s="5"/>
      <c r="D125" s="5"/>
      <c r="E125" s="5"/>
      <c r="F125" s="12" t="s">
        <v>190</v>
      </c>
      <c r="G125" s="5" t="s">
        <v>2</v>
      </c>
      <c r="H125" s="33">
        <v>0.9</v>
      </c>
      <c r="I125" s="5"/>
      <c r="J125" s="5"/>
      <c r="K125" s="5"/>
      <c r="L125" s="5"/>
      <c r="M125" s="5"/>
      <c r="N125" s="33"/>
      <c r="O125" s="5"/>
    </row>
    <row r="126" spans="1:15" ht="12.75">
      <c r="A126" s="5"/>
      <c r="B126" s="32"/>
      <c r="C126" s="5"/>
      <c r="D126" s="5"/>
      <c r="E126" s="5"/>
      <c r="F126" s="12" t="s">
        <v>191</v>
      </c>
      <c r="G126" s="5" t="s">
        <v>192</v>
      </c>
      <c r="H126" s="5"/>
      <c r="I126" s="5"/>
      <c r="J126" s="5"/>
      <c r="K126" s="5"/>
      <c r="L126" s="5"/>
      <c r="M126" s="5"/>
      <c r="N126" s="33"/>
      <c r="O126" s="5"/>
    </row>
    <row r="127" spans="1:15" ht="12.75">
      <c r="A127" s="5"/>
      <c r="B127" s="32"/>
      <c r="C127" s="5"/>
      <c r="D127" s="5"/>
      <c r="E127" s="5"/>
      <c r="F127" s="5"/>
      <c r="G127" s="5" t="s">
        <v>193</v>
      </c>
      <c r="H127" s="5"/>
      <c r="I127" s="5"/>
      <c r="J127" s="5"/>
      <c r="K127" s="5"/>
      <c r="L127" s="5"/>
      <c r="M127" s="5" t="s">
        <v>2</v>
      </c>
      <c r="N127" s="37" t="s">
        <v>194</v>
      </c>
      <c r="O127" s="5"/>
    </row>
    <row r="128" spans="1:16" ht="12.75" customHeight="1">
      <c r="A128" s="30"/>
      <c r="B128" s="2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1"/>
    </row>
    <row r="129" spans="1:16" ht="12.75" customHeight="1">
      <c r="A129" s="30"/>
      <c r="B129" s="2" t="s">
        <v>623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/>
    </row>
    <row r="130" spans="1:16" ht="12.75" customHeight="1">
      <c r="A130" s="30"/>
      <c r="B130" s="101" t="s">
        <v>625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</row>
    <row r="131" spans="1:15" ht="12.75">
      <c r="A131" s="5"/>
      <c r="B131" s="32"/>
      <c r="C131" s="5"/>
      <c r="D131" s="5" t="s">
        <v>617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5"/>
      <c r="B132" s="32"/>
      <c r="C132" s="5"/>
      <c r="D132" s="5"/>
      <c r="E132" s="5" t="s">
        <v>273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5"/>
      <c r="B133" s="32"/>
      <c r="C133" s="5"/>
      <c r="D133" s="5"/>
      <c r="E133" s="5"/>
      <c r="F133" s="12" t="s">
        <v>171</v>
      </c>
      <c r="G133" s="5" t="s">
        <v>622</v>
      </c>
      <c r="H133" s="5"/>
      <c r="I133" s="5"/>
      <c r="J133" s="5" t="s">
        <v>195</v>
      </c>
      <c r="K133" s="5"/>
      <c r="L133" s="5"/>
      <c r="M133" s="5" t="s">
        <v>2</v>
      </c>
      <c r="N133" s="36">
        <v>50.1</v>
      </c>
      <c r="O133" s="5"/>
    </row>
    <row r="134" spans="1:15" ht="12.75">
      <c r="A134" s="5"/>
      <c r="B134" s="32"/>
      <c r="C134" s="5"/>
      <c r="D134" s="5"/>
      <c r="E134" s="5"/>
      <c r="F134" s="12" t="s">
        <v>173</v>
      </c>
      <c r="G134" s="5" t="s">
        <v>174</v>
      </c>
      <c r="H134" s="5"/>
      <c r="I134" s="5"/>
      <c r="J134" s="5"/>
      <c r="K134" s="5"/>
      <c r="L134" s="5"/>
      <c r="M134" s="5"/>
      <c r="N134" s="33"/>
      <c r="O134" s="5"/>
    </row>
    <row r="135" spans="1:15" ht="12.75">
      <c r="A135" s="5"/>
      <c r="B135" s="32"/>
      <c r="C135" s="5"/>
      <c r="D135" s="5"/>
      <c r="E135" s="5"/>
      <c r="F135" s="12"/>
      <c r="G135" s="5" t="s">
        <v>196</v>
      </c>
      <c r="H135" s="5"/>
      <c r="I135" s="5"/>
      <c r="J135" s="5"/>
      <c r="K135" s="5"/>
      <c r="L135" s="5"/>
      <c r="M135" s="5" t="s">
        <v>2</v>
      </c>
      <c r="N135" s="44" t="s">
        <v>197</v>
      </c>
      <c r="O135" s="5"/>
    </row>
    <row r="136" spans="1:15" ht="12.75">
      <c r="A136" s="5"/>
      <c r="B136" s="32"/>
      <c r="C136" s="5"/>
      <c r="D136" s="5" t="s">
        <v>177</v>
      </c>
      <c r="E136" s="5"/>
      <c r="F136" s="12"/>
      <c r="G136" s="5"/>
      <c r="H136" s="5"/>
      <c r="I136" s="5"/>
      <c r="J136" s="5"/>
      <c r="K136" s="5"/>
      <c r="L136" s="5"/>
      <c r="M136" s="5"/>
      <c r="N136" s="44"/>
      <c r="O136" s="5"/>
    </row>
    <row r="137" spans="1:15" ht="12.75">
      <c r="A137" s="5"/>
      <c r="B137" s="32"/>
      <c r="C137" s="5"/>
      <c r="D137" s="5"/>
      <c r="E137" s="5"/>
      <c r="F137" s="12" t="s">
        <v>178</v>
      </c>
      <c r="G137" s="5" t="s">
        <v>179</v>
      </c>
      <c r="H137" s="5"/>
      <c r="I137" s="5"/>
      <c r="J137" s="5"/>
      <c r="K137" s="5"/>
      <c r="L137" s="5"/>
      <c r="M137" s="5"/>
      <c r="N137" s="33"/>
      <c r="O137" s="5"/>
    </row>
    <row r="138" spans="1:15" ht="12.75">
      <c r="A138" s="5"/>
      <c r="B138" s="32"/>
      <c r="C138" s="5"/>
      <c r="D138" s="5"/>
      <c r="E138" s="5"/>
      <c r="F138" s="12"/>
      <c r="G138" s="5" t="s">
        <v>198</v>
      </c>
      <c r="H138" s="5"/>
      <c r="I138" s="5"/>
      <c r="J138" s="5"/>
      <c r="K138" s="5"/>
      <c r="L138" s="5"/>
      <c r="M138" s="5" t="s">
        <v>2</v>
      </c>
      <c r="N138" s="44" t="s">
        <v>199</v>
      </c>
      <c r="O138" s="5"/>
    </row>
    <row r="139" spans="1:15" ht="12.75">
      <c r="A139" s="5"/>
      <c r="B139" s="32"/>
      <c r="C139" s="5"/>
      <c r="D139" s="5"/>
      <c r="E139" s="5"/>
      <c r="F139" s="12" t="s">
        <v>182</v>
      </c>
      <c r="G139" s="5" t="s">
        <v>183</v>
      </c>
      <c r="H139" s="5"/>
      <c r="I139" s="5"/>
      <c r="J139" s="5" t="s">
        <v>200</v>
      </c>
      <c r="K139" s="5"/>
      <c r="L139" s="5"/>
      <c r="M139" s="5" t="s">
        <v>2</v>
      </c>
      <c r="N139" s="44" t="s">
        <v>201</v>
      </c>
      <c r="O139" s="5"/>
    </row>
    <row r="140" spans="1:15" ht="12.75">
      <c r="A140" s="5"/>
      <c r="B140" s="32"/>
      <c r="C140" s="5"/>
      <c r="D140" s="5"/>
      <c r="E140" s="5"/>
      <c r="F140" s="12"/>
      <c r="G140" s="5"/>
      <c r="H140" s="5"/>
      <c r="I140" s="5"/>
      <c r="J140" s="5"/>
      <c r="K140" s="5"/>
      <c r="L140" s="5"/>
      <c r="M140" s="5"/>
      <c r="N140" s="44"/>
      <c r="O140" s="5"/>
    </row>
    <row r="141" spans="1:15" ht="12.75">
      <c r="A141" s="5"/>
      <c r="B141" s="32"/>
      <c r="C141" s="5"/>
      <c r="D141" s="5"/>
      <c r="E141" s="5"/>
      <c r="F141" s="12" t="s">
        <v>186</v>
      </c>
      <c r="G141" s="5" t="s">
        <v>187</v>
      </c>
      <c r="H141" s="5"/>
      <c r="I141" s="5"/>
      <c r="J141" s="5" t="s">
        <v>202</v>
      </c>
      <c r="K141" s="5"/>
      <c r="L141" s="5"/>
      <c r="M141" s="5" t="s">
        <v>2</v>
      </c>
      <c r="N141" s="44" t="b">
        <v>1</v>
      </c>
      <c r="O141" s="5"/>
    </row>
    <row r="142" spans="1:15" ht="12.75">
      <c r="A142" s="5"/>
      <c r="B142" s="32"/>
      <c r="C142" s="5"/>
      <c r="D142" s="5"/>
      <c r="E142" s="64"/>
      <c r="F142" s="97" t="s">
        <v>189</v>
      </c>
      <c r="G142" s="64" t="s">
        <v>2</v>
      </c>
      <c r="H142" s="98" t="s">
        <v>199</v>
      </c>
      <c r="I142" s="5"/>
      <c r="J142" s="5"/>
      <c r="K142" s="5"/>
      <c r="L142" s="5"/>
      <c r="O142" s="5"/>
    </row>
    <row r="143" spans="1:15" ht="12.75">
      <c r="A143" s="5"/>
      <c r="B143" s="32"/>
      <c r="C143" s="5"/>
      <c r="D143" s="5"/>
      <c r="E143" s="5"/>
      <c r="F143" s="12" t="s">
        <v>190</v>
      </c>
      <c r="G143" s="5" t="s">
        <v>2</v>
      </c>
      <c r="H143" s="33">
        <v>0.9</v>
      </c>
      <c r="I143" s="5"/>
      <c r="J143" s="5"/>
      <c r="K143" s="5"/>
      <c r="L143" s="5"/>
      <c r="M143" s="5"/>
      <c r="N143" s="33"/>
      <c r="O143" s="5"/>
    </row>
    <row r="144" spans="1:15" ht="12.75">
      <c r="A144" s="5"/>
      <c r="B144" s="32"/>
      <c r="C144" s="5"/>
      <c r="D144" s="5"/>
      <c r="E144" s="5"/>
      <c r="F144" s="12" t="s">
        <v>191</v>
      </c>
      <c r="G144" s="5" t="s">
        <v>192</v>
      </c>
      <c r="H144" s="5"/>
      <c r="I144" s="5"/>
      <c r="J144" s="5"/>
      <c r="K144" s="5"/>
      <c r="L144" s="5"/>
      <c r="M144" s="5"/>
      <c r="N144" s="33"/>
      <c r="O144" s="5"/>
    </row>
    <row r="145" spans="1:15" ht="12.75">
      <c r="A145" s="5"/>
      <c r="B145" s="32"/>
      <c r="C145" s="5"/>
      <c r="D145" s="5"/>
      <c r="E145" s="5"/>
      <c r="F145" s="5"/>
      <c r="G145" s="5" t="s">
        <v>203</v>
      </c>
      <c r="H145" s="5"/>
      <c r="I145" s="5"/>
      <c r="J145" s="5"/>
      <c r="K145" s="5"/>
      <c r="L145" s="5"/>
      <c r="M145" s="5" t="s">
        <v>2</v>
      </c>
      <c r="N145" s="37" t="s">
        <v>204</v>
      </c>
      <c r="O145" s="5"/>
    </row>
    <row r="146" spans="1:16" ht="12.75" customHeight="1">
      <c r="A146" s="30"/>
      <c r="B146" s="2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/>
    </row>
    <row r="147" spans="1:16" ht="12.75" customHeight="1">
      <c r="A147" s="30"/>
      <c r="B147" s="2" t="s">
        <v>624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</row>
    <row r="148" spans="1:16" ht="12.75" customHeight="1">
      <c r="A148" s="30"/>
      <c r="B148" s="101" t="s">
        <v>625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/>
    </row>
    <row r="149" spans="1:15" ht="12.75">
      <c r="A149" s="5"/>
      <c r="B149" s="32"/>
      <c r="C149" s="5"/>
      <c r="D149" s="5"/>
      <c r="E149" s="5" t="s">
        <v>205</v>
      </c>
      <c r="F149" s="5"/>
      <c r="G149" s="5" t="s">
        <v>206</v>
      </c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5"/>
      <c r="B150" s="32"/>
      <c r="C150" s="5"/>
      <c r="D150" s="5"/>
      <c r="E150" s="5"/>
      <c r="F150" s="5"/>
      <c r="G150" s="100" t="s">
        <v>207</v>
      </c>
      <c r="H150" s="100"/>
      <c r="I150" s="5"/>
      <c r="J150" s="5"/>
      <c r="K150" s="5"/>
      <c r="L150" s="5"/>
      <c r="M150" s="5" t="s">
        <v>2</v>
      </c>
      <c r="N150" s="44" t="s">
        <v>208</v>
      </c>
      <c r="O150" s="5"/>
    </row>
    <row r="151" spans="1:15" ht="12.75">
      <c r="A151" s="5"/>
      <c r="B151" s="32"/>
      <c r="C151" s="5"/>
      <c r="D151" s="5"/>
      <c r="E151" s="5" t="s">
        <v>189</v>
      </c>
      <c r="F151" s="5"/>
      <c r="G151" s="5" t="s">
        <v>209</v>
      </c>
      <c r="H151" s="5"/>
      <c r="I151" s="5"/>
      <c r="J151" s="5"/>
      <c r="K151" s="5"/>
      <c r="L151" s="5"/>
      <c r="M151" s="5"/>
      <c r="N151" s="33"/>
      <c r="O151" s="5"/>
    </row>
    <row r="152" spans="1:15" ht="12.75">
      <c r="A152" s="5"/>
      <c r="B152" s="32"/>
      <c r="C152" s="5"/>
      <c r="D152" s="5"/>
      <c r="E152" s="5"/>
      <c r="F152" s="5"/>
      <c r="G152" s="50" t="s">
        <v>210</v>
      </c>
      <c r="H152" s="5"/>
      <c r="I152" s="5"/>
      <c r="J152" s="5"/>
      <c r="K152" s="5"/>
      <c r="L152" s="5"/>
      <c r="M152" s="5"/>
      <c r="N152" s="33"/>
      <c r="O152" s="5"/>
    </row>
    <row r="153" spans="1:15" ht="12.75">
      <c r="A153" s="5"/>
      <c r="B153" s="3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 t="s">
        <v>2</v>
      </c>
      <c r="N153" s="44" t="s">
        <v>211</v>
      </c>
      <c r="O153" s="5"/>
    </row>
    <row r="154" spans="1:15" ht="12.75">
      <c r="A154" s="5"/>
      <c r="B154" s="32"/>
      <c r="C154" s="5"/>
      <c r="D154" s="5"/>
      <c r="E154" s="5"/>
      <c r="F154" s="12" t="s">
        <v>190</v>
      </c>
      <c r="G154" s="5" t="s">
        <v>2</v>
      </c>
      <c r="H154" s="33">
        <v>0.9</v>
      </c>
      <c r="I154" s="5"/>
      <c r="J154" s="5"/>
      <c r="K154" s="5"/>
      <c r="L154" s="5"/>
      <c r="M154" s="5"/>
      <c r="N154" s="33"/>
      <c r="O154" s="5"/>
    </row>
    <row r="155" spans="1:15" ht="12.75">
      <c r="A155" s="5"/>
      <c r="B155" s="32"/>
      <c r="C155" s="5"/>
      <c r="D155" s="5"/>
      <c r="E155" s="5" t="s">
        <v>191</v>
      </c>
      <c r="F155" s="5"/>
      <c r="G155" s="5" t="s">
        <v>192</v>
      </c>
      <c r="H155" s="5"/>
      <c r="I155" s="5"/>
      <c r="J155" s="5"/>
      <c r="K155" s="5"/>
      <c r="L155" s="5"/>
      <c r="M155" s="5"/>
      <c r="N155" s="33"/>
      <c r="O155" s="5"/>
    </row>
    <row r="156" spans="1:15" ht="12.75">
      <c r="A156" s="5"/>
      <c r="B156" s="32"/>
      <c r="C156" s="5"/>
      <c r="D156" s="5"/>
      <c r="E156" s="5"/>
      <c r="F156" s="5"/>
      <c r="G156" s="5" t="s">
        <v>212</v>
      </c>
      <c r="H156" s="5"/>
      <c r="I156" s="5"/>
      <c r="J156" s="5"/>
      <c r="K156" s="5"/>
      <c r="L156" s="5"/>
      <c r="M156" s="5" t="s">
        <v>2</v>
      </c>
      <c r="N156" s="37" t="s">
        <v>213</v>
      </c>
      <c r="O156" s="5"/>
    </row>
    <row r="157" spans="1:16" ht="12.75" customHeight="1">
      <c r="A157" s="30"/>
      <c r="B157" s="2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/>
    </row>
    <row r="158" spans="4:16" ht="12.75" customHeight="1">
      <c r="D158" s="10"/>
      <c r="E158" s="10"/>
      <c r="F158" s="31"/>
      <c r="G158" s="10"/>
      <c r="H158" s="10"/>
      <c r="I158" s="10"/>
      <c r="J158" s="10"/>
      <c r="K158" s="10"/>
      <c r="L158" s="10"/>
      <c r="M158" s="10"/>
      <c r="N158" s="10"/>
      <c r="O158" s="10"/>
      <c r="P158" s="11"/>
    </row>
    <row r="159" spans="4:16" ht="12.75" customHeight="1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</row>
    <row r="160" spans="4:16" ht="12.75" customHeight="1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1"/>
    </row>
    <row r="161" spans="4:16" ht="12.75" customHeight="1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/>
    </row>
    <row r="162" spans="4:16" ht="12.75" customHeight="1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/>
    </row>
    <row r="163" spans="4:16" ht="12.75" customHeight="1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/>
    </row>
    <row r="164" spans="4:16" ht="12.75" customHeight="1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/>
    </row>
    <row r="165" spans="4:16" ht="12.75" customHeight="1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</row>
    <row r="166" spans="4:16" ht="12.75" customHeight="1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/>
    </row>
    <row r="167" spans="4:16" ht="12.75" customHeight="1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/>
    </row>
    <row r="168" spans="4:16" ht="12.75" customHeight="1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/>
    </row>
    <row r="169" spans="4:16" ht="12.75" customHeight="1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/>
    </row>
    <row r="170" spans="4:16" ht="12.75" customHeight="1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</row>
    <row r="171" spans="4:16" ht="12.75" customHeight="1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/>
    </row>
    <row r="172" spans="4:16" ht="12.75" customHeight="1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/>
    </row>
    <row r="173" spans="4:16" ht="12.75" customHeight="1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1"/>
    </row>
    <row r="174" spans="4:16" ht="12.75" customHeight="1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/>
    </row>
    <row r="175" spans="4:16" ht="12.75" customHeight="1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1"/>
    </row>
    <row r="176" spans="4:16" ht="12.75" customHeight="1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/>
    </row>
    <row r="177" spans="4:16" ht="12.75" customHeight="1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/>
    </row>
    <row r="178" spans="4:16" ht="12.75" customHeight="1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/>
    </row>
    <row r="179" spans="4:16" ht="12.75" customHeight="1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</row>
    <row r="180" spans="4:16" ht="12.75" customHeight="1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"/>
    </row>
    <row r="181" spans="4:16" ht="12.75" customHeight="1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"/>
    </row>
    <row r="182" spans="4:16" ht="12.75" customHeight="1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"/>
    </row>
    <row r="183" spans="4:16" ht="12.75" customHeight="1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/>
    </row>
  </sheetData>
  <sheetProtection/>
  <mergeCells count="11">
    <mergeCell ref="N55:O55"/>
    <mergeCell ref="N59:O59"/>
    <mergeCell ref="N61:O61"/>
    <mergeCell ref="N18:O18"/>
    <mergeCell ref="H47:I47"/>
    <mergeCell ref="H50:I50"/>
    <mergeCell ref="N54:O54"/>
    <mergeCell ref="N1:O1"/>
    <mergeCell ref="N12:O12"/>
    <mergeCell ref="N13:O13"/>
    <mergeCell ref="N17:O17"/>
  </mergeCells>
  <printOptions/>
  <pageMargins left="0.7480314960629921" right="0.5118110236220472" top="0.3937007874015748" bottom="0.4330708661417323" header="0.2755905511811024" footer="0.31496062992125984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/>
  <dimension ref="A1:P55"/>
  <sheetViews>
    <sheetView showGridLines="0" workbookViewId="0" topLeftCell="A1">
      <selection activeCell="K32" sqref="K32"/>
    </sheetView>
  </sheetViews>
  <sheetFormatPr defaultColWidth="9.140625" defaultRowHeight="12.75" customHeight="1"/>
  <cols>
    <col min="1" max="1" width="1.7109375" style="22" customWidth="1"/>
    <col min="2" max="2" width="1.7109375" style="23" customWidth="1"/>
    <col min="3" max="3" width="1.7109375" style="2" customWidth="1"/>
    <col min="4" max="4" width="1.7109375" style="4" customWidth="1"/>
    <col min="5" max="6" width="9.7109375" style="4" customWidth="1"/>
    <col min="7" max="7" width="1.7109375" style="4" customWidth="1"/>
    <col min="8" max="9" width="9.7109375" style="4" customWidth="1"/>
    <col min="10" max="10" width="1.7109375" style="4" customWidth="1"/>
    <col min="11" max="12" width="9.7109375" style="4" customWidth="1"/>
    <col min="13" max="13" width="1.7109375" style="4" customWidth="1"/>
    <col min="14" max="15" width="9.7109375" style="4" customWidth="1"/>
  </cols>
  <sheetData>
    <row r="1" spans="12:15" ht="12.75" customHeight="1">
      <c r="L1" s="14" t="s">
        <v>14</v>
      </c>
      <c r="M1" s="8"/>
      <c r="N1" s="89">
        <f ca="1">NOW()</f>
        <v>39759.640786805554</v>
      </c>
      <c r="O1" s="89"/>
    </row>
    <row r="2" spans="12:15" ht="12.75" customHeight="1">
      <c r="L2" s="15" t="s">
        <v>15</v>
      </c>
      <c r="M2" s="7"/>
      <c r="N2" s="15" t="s">
        <v>33</v>
      </c>
      <c r="O2" s="15"/>
    </row>
    <row r="3" spans="12:15" ht="12.75" customHeight="1">
      <c r="L3" s="16" t="s">
        <v>16</v>
      </c>
      <c r="M3" s="7"/>
      <c r="N3" s="24" t="s">
        <v>34</v>
      </c>
      <c r="O3" s="15"/>
    </row>
    <row r="4" spans="1:15" ht="12.75" customHeight="1">
      <c r="A4" s="19"/>
      <c r="B4" s="20"/>
      <c r="C4" s="20"/>
      <c r="D4" s="8"/>
      <c r="L4" s="17" t="s">
        <v>18</v>
      </c>
      <c r="M4" s="7"/>
      <c r="N4" s="15"/>
      <c r="O4" s="15"/>
    </row>
    <row r="5" spans="1:15" ht="12.75" customHeight="1">
      <c r="A5" s="21"/>
      <c r="B5" s="3"/>
      <c r="C5" s="3"/>
      <c r="D5" s="7"/>
      <c r="E5" s="13"/>
      <c r="F5" s="13"/>
      <c r="G5" s="13"/>
      <c r="H5" s="13"/>
      <c r="I5" s="13"/>
      <c r="J5" s="13"/>
      <c r="K5" s="13"/>
      <c r="L5" s="18" t="s">
        <v>17</v>
      </c>
      <c r="M5" s="7"/>
      <c r="N5" s="15"/>
      <c r="O5" s="15"/>
    </row>
    <row r="6" spans="1:15" ht="12.75" customHeight="1">
      <c r="A6" s="21"/>
      <c r="B6" s="3"/>
      <c r="C6" s="3"/>
      <c r="D6" s="7"/>
      <c r="E6" s="7"/>
      <c r="F6" s="7"/>
      <c r="G6" s="7"/>
      <c r="H6" s="7"/>
      <c r="I6" s="7"/>
      <c r="J6" s="7"/>
      <c r="K6" s="7"/>
      <c r="L6" s="18" t="s">
        <v>19</v>
      </c>
      <c r="M6" s="7"/>
      <c r="N6" s="15"/>
      <c r="O6" s="15"/>
    </row>
    <row r="7" spans="1:15" ht="12.75" customHeight="1">
      <c r="A7" s="21"/>
      <c r="B7" s="3"/>
      <c r="C7" s="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4:16" ht="12.75" customHeight="1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2:16" ht="12.75" customHeight="1">
      <c r="B9" s="23" t="s">
        <v>214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2:16" ht="12.75" customHeight="1">
      <c r="B10" s="2" t="s">
        <v>215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4:16" ht="12.75" customHeight="1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2:16" ht="12.75" customHeight="1">
      <c r="B12" s="23" t="s">
        <v>216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2:16" ht="12.75" customHeight="1">
      <c r="B13" s="2" t="s">
        <v>217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4:16" ht="12.75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1:16" ht="12.75" customHeight="1">
      <c r="A15" s="30"/>
      <c r="B15" s="2" t="s">
        <v>218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1:16" ht="12.75" customHeight="1">
      <c r="A16" s="30"/>
      <c r="B16" s="2" t="s">
        <v>219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1:16" ht="12.75" customHeight="1">
      <c r="A17" s="30"/>
      <c r="B17" s="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1:16" ht="12.75" customHeight="1">
      <c r="A18" s="30"/>
      <c r="B18" s="2" t="s">
        <v>220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1:16" ht="12.75" customHeight="1">
      <c r="A19" s="30"/>
      <c r="B19" s="101" t="s">
        <v>626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1:16" ht="12.75" customHeight="1">
      <c r="A20" s="30"/>
      <c r="B20" s="2" t="s">
        <v>221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1:16" ht="12.75" customHeight="1">
      <c r="A21" s="30"/>
      <c r="B21" s="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 customHeight="1">
      <c r="A22" s="30"/>
      <c r="B22" s="2" t="s">
        <v>222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1:16" ht="12.75" customHeight="1">
      <c r="A23" s="30"/>
      <c r="B23" s="101" t="s">
        <v>625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1:16" ht="12.75" customHeight="1">
      <c r="A24" s="30"/>
      <c r="B24" s="2" t="s">
        <v>223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1:16" ht="12.75" customHeight="1">
      <c r="A25" s="30"/>
      <c r="B25" s="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1:16" ht="12.75" customHeight="1">
      <c r="A26" s="30"/>
      <c r="B26" s="2" t="s">
        <v>224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6" ht="12.75" customHeight="1">
      <c r="A27" s="30"/>
      <c r="B27" s="101" t="s">
        <v>625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ht="12.75" customHeight="1">
      <c r="A28" s="30"/>
      <c r="B28" s="2" t="s">
        <v>225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 customHeight="1">
      <c r="A29" s="30"/>
      <c r="B29" s="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4:16" ht="12.75" customHeight="1">
      <c r="D30" s="10"/>
      <c r="E30" s="10"/>
      <c r="F30" s="31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4:16" ht="12.75" customHeight="1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4:16" ht="12.75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4:16" ht="12.75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4:16" ht="12.75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4:16" ht="12.75" customHeight="1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4:16" ht="12.75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4:16" ht="12.75" customHeight="1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4:16" ht="12.75" customHeight="1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4:16" ht="12.75" customHeight="1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4:16" ht="12.75" customHeight="1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4:16" ht="12.75" customHeight="1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4:16" ht="12.75" customHeight="1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4:16" ht="12.75" customHeight="1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4:16" ht="12.7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4:16" ht="12.7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4:16" ht="12.75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4:16" ht="12.75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4:16" ht="12.75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4:16" ht="12.75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4:16" ht="12.75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4:16" ht="12.75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1"/>
    </row>
    <row r="52" spans="4:16" ht="12.75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/>
    </row>
    <row r="53" spans="4:16" ht="12.75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4:16" ht="12.75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4:16" ht="12.75" customHeight="1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</row>
  </sheetData>
  <sheetProtection/>
  <mergeCells count="1">
    <mergeCell ref="N1:O1"/>
  </mergeCells>
  <printOptions/>
  <pageMargins left="0.7480314960629921" right="0.5118110236220472" top="0.3937007874015748" bottom="0.4330708661417323" header="0.2755905511811024" footer="0.31496062992125984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indexed="34"/>
  </sheetPr>
  <dimension ref="A1:O29"/>
  <sheetViews>
    <sheetView showGridLines="0" zoomScale="85" zoomScaleNormal="85" workbookViewId="0" topLeftCell="A1">
      <selection activeCell="H11" sqref="H11"/>
    </sheetView>
  </sheetViews>
  <sheetFormatPr defaultColWidth="9.140625" defaultRowHeight="12.75"/>
  <cols>
    <col min="1" max="1" width="1.7109375" style="4" customWidth="1"/>
    <col min="2" max="2" width="1.7109375" style="2" customWidth="1"/>
    <col min="3" max="4" width="1.7109375" style="4" customWidth="1"/>
    <col min="5" max="6" width="9.7109375" style="4" customWidth="1"/>
    <col min="7" max="7" width="1.7109375" style="4" customWidth="1"/>
    <col min="8" max="9" width="9.7109375" style="4" customWidth="1"/>
    <col min="10" max="10" width="1.7109375" style="4" customWidth="1"/>
    <col min="11" max="12" width="9.7109375" style="4" customWidth="1"/>
    <col min="13" max="13" width="1.7109375" style="4" customWidth="1"/>
    <col min="14" max="15" width="9.7109375" style="4" customWidth="1"/>
  </cols>
  <sheetData>
    <row r="1" spans="1:15" ht="12.75">
      <c r="A1" s="5"/>
      <c r="B1" s="32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32"/>
      <c r="C2" s="5"/>
      <c r="D2" s="5"/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32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32"/>
      <c r="C4" s="5"/>
      <c r="D4" s="5"/>
      <c r="E4" s="5" t="s">
        <v>5</v>
      </c>
      <c r="F4" s="5"/>
      <c r="G4" s="5" t="s">
        <v>2</v>
      </c>
      <c r="H4" s="5" t="s">
        <v>9</v>
      </c>
      <c r="I4" s="5"/>
      <c r="J4" s="5"/>
      <c r="K4" s="5"/>
      <c r="L4" s="5"/>
      <c r="M4" s="5"/>
      <c r="N4" s="5"/>
      <c r="O4" s="5"/>
    </row>
    <row r="5" spans="1:15" ht="12.75">
      <c r="A5" s="5"/>
      <c r="B5" s="32"/>
      <c r="C5" s="5"/>
      <c r="D5" s="5"/>
      <c r="E5" s="5" t="s">
        <v>6</v>
      </c>
      <c r="F5" s="5"/>
      <c r="G5" s="5" t="s">
        <v>2</v>
      </c>
      <c r="H5" s="6">
        <v>39707</v>
      </c>
      <c r="I5" s="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7</v>
      </c>
      <c r="F6" s="5"/>
      <c r="G6" s="5" t="s">
        <v>2</v>
      </c>
      <c r="H6" s="5" t="s">
        <v>8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20</v>
      </c>
      <c r="F7" s="5"/>
      <c r="G7" s="5" t="s">
        <v>2</v>
      </c>
      <c r="H7" s="5" t="str">
        <f>wsname(E7)</f>
        <v>in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21</v>
      </c>
      <c r="F8" s="5"/>
      <c r="G8" s="5" t="s">
        <v>2</v>
      </c>
      <c r="H8" s="5" t="s">
        <v>38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 t="s">
        <v>3</v>
      </c>
      <c r="C9" s="5"/>
      <c r="D9" s="5"/>
      <c r="E9" s="5"/>
      <c r="F9" s="5"/>
      <c r="G9" s="5"/>
      <c r="H9" s="5"/>
      <c r="I9" s="5"/>
      <c r="J9" s="5"/>
      <c r="K9" s="5" t="s">
        <v>227</v>
      </c>
      <c r="L9" s="5" t="s">
        <v>228</v>
      </c>
      <c r="M9" s="5"/>
      <c r="N9" s="5"/>
      <c r="O9" s="5"/>
    </row>
    <row r="10" spans="1:15" ht="12.75">
      <c r="A10" s="5"/>
      <c r="B10" s="32"/>
      <c r="C10" s="5"/>
      <c r="D10" s="5"/>
      <c r="E10" s="5" t="s">
        <v>1</v>
      </c>
      <c r="F10" s="5"/>
      <c r="G10" s="5" t="s">
        <v>2</v>
      </c>
      <c r="H10" s="53" t="s">
        <v>229</v>
      </c>
      <c r="I10" s="33"/>
      <c r="J10" s="5"/>
      <c r="K10" s="5"/>
      <c r="L10" s="5"/>
      <c r="M10" s="5"/>
      <c r="N10" s="5"/>
      <c r="O10" s="5"/>
    </row>
    <row r="11" spans="1:15" ht="12.75">
      <c r="A11" s="5"/>
      <c r="B11" s="32"/>
      <c r="C11" s="5"/>
      <c r="D11" s="5"/>
      <c r="E11" s="5" t="s">
        <v>312</v>
      </c>
      <c r="F11" s="5"/>
      <c r="G11" s="5" t="s">
        <v>2</v>
      </c>
      <c r="H11" s="79" t="s">
        <v>279</v>
      </c>
      <c r="I11" s="5"/>
      <c r="J11" s="5"/>
      <c r="K11" s="5" t="s">
        <v>313</v>
      </c>
      <c r="L11" s="5" t="s">
        <v>306</v>
      </c>
      <c r="M11" s="5"/>
      <c r="N11" s="12" t="s">
        <v>234</v>
      </c>
      <c r="O11" s="5">
        <f>getrow(K11,L11,H11)</f>
        <v>0</v>
      </c>
    </row>
    <row r="12" spans="1:15" ht="12.75">
      <c r="A12" s="5"/>
      <c r="B12" s="32"/>
      <c r="C12" s="5"/>
      <c r="D12" s="5"/>
      <c r="E12" s="5" t="s">
        <v>230</v>
      </c>
      <c r="F12" s="5"/>
      <c r="G12" s="5" t="s">
        <v>2</v>
      </c>
      <c r="H12" s="90" t="s">
        <v>231</v>
      </c>
      <c r="I12" s="90"/>
      <c r="J12" s="5"/>
      <c r="K12" s="5" t="s">
        <v>232</v>
      </c>
      <c r="L12" s="5" t="s">
        <v>233</v>
      </c>
      <c r="M12" s="5"/>
      <c r="N12" s="12" t="s">
        <v>234</v>
      </c>
      <c r="O12" s="5">
        <f>getrow(K12,L12,Section)</f>
        <v>100</v>
      </c>
    </row>
    <row r="13" spans="1:15" ht="12.75">
      <c r="A13" s="5"/>
      <c r="B13" s="32"/>
      <c r="C13" s="5"/>
      <c r="D13" s="5"/>
      <c r="E13" s="5" t="s">
        <v>235</v>
      </c>
      <c r="F13" s="5"/>
      <c r="G13" s="5" t="s">
        <v>2</v>
      </c>
      <c r="H13" s="79" t="s">
        <v>236</v>
      </c>
      <c r="I13" s="80"/>
      <c r="J13" s="5"/>
      <c r="K13" s="5"/>
      <c r="L13" s="5"/>
      <c r="M13" s="5"/>
      <c r="N13" s="12"/>
      <c r="O13" s="5"/>
    </row>
    <row r="14" spans="1:15" ht="12.75">
      <c r="A14" s="5"/>
      <c r="B14" s="32"/>
      <c r="C14" s="5"/>
      <c r="D14" s="5"/>
      <c r="E14" s="5" t="s">
        <v>237</v>
      </c>
      <c r="F14" s="5"/>
      <c r="G14" s="5" t="s">
        <v>2</v>
      </c>
      <c r="H14" s="79">
        <f>3/8*unit("in","mm",Units)</f>
        <v>9.524999999999999</v>
      </c>
      <c r="I14" s="33"/>
      <c r="J14" s="5"/>
      <c r="K14" s="5"/>
      <c r="L14" s="5"/>
      <c r="M14" s="5"/>
      <c r="N14" s="12"/>
      <c r="O14" s="5"/>
    </row>
    <row r="15" spans="1:15" ht="12.75">
      <c r="A15" s="5"/>
      <c r="B15" s="32"/>
      <c r="C15" s="5"/>
      <c r="D15" s="5"/>
      <c r="E15" s="5" t="s">
        <v>238</v>
      </c>
      <c r="F15" s="5"/>
      <c r="G15" s="5" t="s">
        <v>2</v>
      </c>
      <c r="H15" s="54">
        <v>1</v>
      </c>
      <c r="I15" s="33"/>
      <c r="J15" s="5"/>
      <c r="K15" s="5"/>
      <c r="L15" s="5"/>
      <c r="M15" s="5"/>
      <c r="N15" s="5"/>
      <c r="O15" s="5"/>
    </row>
    <row r="16" spans="1:15" ht="12.75">
      <c r="A16" s="5"/>
      <c r="B16" s="32"/>
      <c r="C16" s="5"/>
      <c r="D16" s="5"/>
      <c r="E16" s="5" t="s">
        <v>239</v>
      </c>
      <c r="F16" s="5"/>
      <c r="G16" s="5" t="s">
        <v>2</v>
      </c>
      <c r="H16" s="40">
        <f>1.5*unit("m","ft",Units)</f>
        <v>1.5</v>
      </c>
      <c r="I16" s="33"/>
      <c r="J16" s="5"/>
      <c r="K16" s="5"/>
      <c r="L16" s="5"/>
      <c r="M16" s="5"/>
      <c r="N16" s="5"/>
      <c r="O16" s="5"/>
    </row>
    <row r="17" spans="1:15" ht="12.75">
      <c r="A17" s="5"/>
      <c r="B17" s="32"/>
      <c r="C17" s="5"/>
      <c r="D17" s="5"/>
      <c r="E17" s="5" t="s">
        <v>240</v>
      </c>
      <c r="F17" s="5"/>
      <c r="G17" s="5" t="s">
        <v>2</v>
      </c>
      <c r="H17" s="54">
        <v>1</v>
      </c>
      <c r="I17" s="33"/>
      <c r="J17" s="5"/>
      <c r="K17" s="5"/>
      <c r="L17" s="5"/>
      <c r="M17" s="5"/>
      <c r="N17" s="5"/>
      <c r="O17" s="5"/>
    </row>
    <row r="18" spans="1:15" ht="12.75">
      <c r="A18" s="5"/>
      <c r="B18" s="32"/>
      <c r="C18" s="5"/>
      <c r="D18" s="5"/>
      <c r="E18" s="5" t="s">
        <v>241</v>
      </c>
      <c r="F18" s="5"/>
      <c r="G18" s="5" t="s">
        <v>2</v>
      </c>
      <c r="H18" s="40">
        <f>1.5*unit("m","ft",Units)</f>
        <v>1.5</v>
      </c>
      <c r="I18" s="33"/>
      <c r="J18" s="5"/>
      <c r="K18" s="5"/>
      <c r="L18" s="5"/>
      <c r="M18" s="5"/>
      <c r="N18" s="5"/>
      <c r="O18" s="5"/>
    </row>
    <row r="19" spans="1:15" ht="12.75">
      <c r="A19" s="5"/>
      <c r="B19" s="32"/>
      <c r="C19" s="5"/>
      <c r="D19" s="5"/>
      <c r="E19" s="5" t="s">
        <v>242</v>
      </c>
      <c r="F19" s="5"/>
      <c r="G19" s="5" t="s">
        <v>2</v>
      </c>
      <c r="H19" s="81" t="s">
        <v>243</v>
      </c>
      <c r="I19" s="54"/>
      <c r="J19" s="5"/>
      <c r="K19" s="5"/>
      <c r="L19" s="5"/>
      <c r="M19" s="5"/>
      <c r="N19" s="5"/>
      <c r="O19" s="5"/>
    </row>
    <row r="20" spans="1:15" ht="12.75">
      <c r="A20" s="5"/>
      <c r="B20" s="32"/>
      <c r="C20" s="5"/>
      <c r="D20" s="5"/>
      <c r="E20" s="5" t="s">
        <v>244</v>
      </c>
      <c r="F20" s="5"/>
      <c r="G20" s="5" t="s">
        <v>2</v>
      </c>
      <c r="H20" s="81">
        <f>Ly/3*12</f>
        <v>6</v>
      </c>
      <c r="I20" s="33"/>
      <c r="J20" s="5"/>
      <c r="K20" s="5"/>
      <c r="L20" s="5"/>
      <c r="M20" s="5"/>
      <c r="N20" s="5"/>
      <c r="O20" s="5"/>
    </row>
    <row r="21" spans="1:15" ht="12.75">
      <c r="A21" s="5"/>
      <c r="B21" s="63" t="s">
        <v>618</v>
      </c>
      <c r="C21" s="5"/>
      <c r="D21" s="5"/>
      <c r="E21" s="5"/>
      <c r="F21" s="5"/>
      <c r="G21" s="5"/>
      <c r="H21" s="42"/>
      <c r="I21" s="33"/>
      <c r="J21" s="5"/>
      <c r="K21" s="5"/>
      <c r="L21" s="5"/>
      <c r="M21" s="5"/>
      <c r="N21" s="5"/>
      <c r="O21" s="5"/>
    </row>
    <row r="22" spans="1:15" ht="12.75">
      <c r="A22" s="5"/>
      <c r="B22" s="32"/>
      <c r="C22" s="5"/>
      <c r="D22" s="5"/>
      <c r="E22" s="5"/>
      <c r="F22" s="5"/>
      <c r="G22" s="5"/>
      <c r="H22" s="29">
        <f aca="true" t="shared" si="0" ref="H22:H28">getinput(K22,L22)</f>
        <v>577.334660179491</v>
      </c>
      <c r="I22" s="5"/>
      <c r="J22" s="5"/>
      <c r="K22" s="5" t="s">
        <v>246</v>
      </c>
      <c r="L22" s="5" t="s">
        <v>245</v>
      </c>
      <c r="M22" s="5"/>
      <c r="N22" s="5"/>
      <c r="O22" s="5"/>
    </row>
    <row r="23" spans="1:15" ht="12.75">
      <c r="A23" s="5"/>
      <c r="B23" s="32"/>
      <c r="C23" s="5"/>
      <c r="D23" s="5"/>
      <c r="E23" s="5"/>
      <c r="F23" s="5"/>
      <c r="G23" s="5"/>
      <c r="H23" s="29">
        <f t="shared" si="0"/>
        <v>631.313304081225</v>
      </c>
      <c r="I23" s="5"/>
      <c r="J23" s="5"/>
      <c r="K23" s="5" t="s">
        <v>247</v>
      </c>
      <c r="L23" s="5" t="s">
        <v>245</v>
      </c>
      <c r="M23" s="5"/>
      <c r="N23" s="5"/>
      <c r="O23" s="5"/>
    </row>
    <row r="24" spans="1:15" ht="12.75">
      <c r="A24" s="5"/>
      <c r="B24" s="32"/>
      <c r="C24" s="5"/>
      <c r="D24" s="5"/>
      <c r="E24" s="5"/>
      <c r="F24" s="5"/>
      <c r="G24" s="5"/>
      <c r="H24" s="29">
        <f t="shared" si="0"/>
        <v>619.078235198609</v>
      </c>
      <c r="I24" s="5"/>
      <c r="J24" s="5"/>
      <c r="K24" s="5" t="s">
        <v>248</v>
      </c>
      <c r="L24" s="5" t="s">
        <v>245</v>
      </c>
      <c r="M24" s="5"/>
      <c r="N24" s="5"/>
      <c r="O24" s="5"/>
    </row>
    <row r="25" spans="1:15" ht="12.75">
      <c r="A25" s="5"/>
      <c r="B25" s="32"/>
      <c r="C25" s="5"/>
      <c r="D25" s="5"/>
      <c r="E25" s="5"/>
      <c r="F25" s="5"/>
      <c r="G25" s="5"/>
      <c r="H25" s="34">
        <f t="shared" si="0"/>
        <v>64.8996528932862</v>
      </c>
      <c r="I25" s="5"/>
      <c r="J25" s="5"/>
      <c r="K25" s="5" t="s">
        <v>246</v>
      </c>
      <c r="L25" s="5" t="s">
        <v>171</v>
      </c>
      <c r="M25" s="5"/>
      <c r="N25" s="5"/>
      <c r="O25" s="5"/>
    </row>
    <row r="26" spans="1:15" ht="12.75">
      <c r="A26" s="5"/>
      <c r="B26" s="32"/>
      <c r="C26" s="5"/>
      <c r="D26" s="5"/>
      <c r="E26" s="5"/>
      <c r="F26" s="5"/>
      <c r="G26" s="5"/>
      <c r="H26" s="34">
        <f t="shared" si="0"/>
        <v>50.13696402856306</v>
      </c>
      <c r="I26" s="5"/>
      <c r="J26" s="5"/>
      <c r="K26" s="5" t="s">
        <v>247</v>
      </c>
      <c r="L26" s="5" t="s">
        <v>171</v>
      </c>
      <c r="M26" s="5"/>
      <c r="N26" s="5"/>
      <c r="O26" s="5"/>
    </row>
    <row r="27" spans="1:15" ht="12.75">
      <c r="A27" s="5"/>
      <c r="B27" s="32"/>
      <c r="C27" s="5"/>
      <c r="D27" s="5"/>
      <c r="E27" s="5"/>
      <c r="F27" s="5"/>
      <c r="G27" s="5"/>
      <c r="H27" s="34">
        <f t="shared" si="0"/>
        <v>0.4577916132576451</v>
      </c>
      <c r="I27" s="5"/>
      <c r="J27" s="5"/>
      <c r="K27" s="5" t="s">
        <v>249</v>
      </c>
      <c r="L27" s="5" t="s">
        <v>165</v>
      </c>
      <c r="M27" s="5"/>
      <c r="N27" s="5"/>
      <c r="O27" s="5"/>
    </row>
    <row r="28" spans="1:15" ht="12.75">
      <c r="A28" s="5"/>
      <c r="B28" s="32"/>
      <c r="C28" s="5"/>
      <c r="D28" s="5"/>
      <c r="E28" s="5"/>
      <c r="F28" s="5"/>
      <c r="G28" s="5"/>
      <c r="H28" s="34" t="b">
        <f t="shared" si="0"/>
        <v>1</v>
      </c>
      <c r="I28" s="5"/>
      <c r="J28" s="5"/>
      <c r="K28" s="5" t="s">
        <v>249</v>
      </c>
      <c r="L28" s="5" t="s">
        <v>250</v>
      </c>
      <c r="M28" s="5"/>
      <c r="N28" s="5"/>
      <c r="O28" s="5"/>
    </row>
    <row r="29" spans="1:15" ht="12.75">
      <c r="A29" s="5"/>
      <c r="B29" s="3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</sheetData>
  <sheetProtection/>
  <mergeCells count="1">
    <mergeCell ref="H12:I12"/>
  </mergeCells>
  <dataValidations count="4">
    <dataValidation type="list" allowBlank="1" showErrorMessage="1" sqref="H10">
      <formula1>"Imperial,Metric"</formula1>
      <formula2>0</formula2>
    </dataValidation>
    <dataValidation type="list" allowBlank="1" showInputMessage="1" showErrorMessage="1" sqref="H13">
      <formula1>"Long Edge, Short Edge"</formula1>
    </dataValidation>
    <dataValidation type="list" allowBlank="1" showInputMessage="1" showErrorMessage="1" sqref="H12:I12 H11">
      <formula1>list</formula1>
    </dataValidation>
    <dataValidation type="list" allowBlank="1" showInputMessage="1" showErrorMessage="1" sqref="H19">
      <formula1>"snug-tight bolted,welded,pretensioned bolted"</formula1>
    </dataValidation>
  </dataValidations>
  <printOptions/>
  <pageMargins left="0.75" right="0.75" top="1" bottom="1" header="0.5118055555555556" footer="0.511805555555555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4">
    <tabColor indexed="34"/>
  </sheetPr>
  <dimension ref="A1:O61"/>
  <sheetViews>
    <sheetView showGridLines="0" zoomScale="85" zoomScaleNormal="85" workbookViewId="0" topLeftCell="A1">
      <selection activeCell="N40" sqref="N40"/>
    </sheetView>
  </sheetViews>
  <sheetFormatPr defaultColWidth="9.140625" defaultRowHeight="12.75"/>
  <cols>
    <col min="1" max="1" width="1.7109375" style="4" customWidth="1"/>
    <col min="2" max="2" width="1.7109375" style="2" customWidth="1"/>
    <col min="3" max="4" width="1.7109375" style="4" customWidth="1"/>
    <col min="5" max="6" width="11.7109375" style="4" customWidth="1"/>
    <col min="7" max="7" width="1.7109375" style="4" customWidth="1"/>
    <col min="8" max="9" width="11.7109375" style="4" customWidth="1"/>
    <col min="10" max="10" width="1.7109375" style="4" customWidth="1"/>
    <col min="11" max="12" width="11.7109375" style="4" customWidth="1"/>
    <col min="13" max="13" width="1.7109375" style="4" customWidth="1"/>
    <col min="14" max="15" width="11.7109375" style="4" customWidth="1"/>
  </cols>
  <sheetData>
    <row r="1" spans="1:15" ht="12.75">
      <c r="A1" s="5"/>
      <c r="B1" s="32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32"/>
      <c r="C2" s="5"/>
      <c r="D2" s="5"/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32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32"/>
      <c r="C4" s="5"/>
      <c r="D4" s="5"/>
      <c r="E4" s="5" t="s">
        <v>5</v>
      </c>
      <c r="F4" s="5"/>
      <c r="G4" s="5" t="s">
        <v>2</v>
      </c>
      <c r="H4" s="5" t="s">
        <v>9</v>
      </c>
      <c r="I4" s="5"/>
      <c r="J4" s="5"/>
      <c r="K4" s="5"/>
      <c r="L4" s="5"/>
      <c r="M4" s="5"/>
      <c r="N4" s="5"/>
      <c r="O4" s="5"/>
    </row>
    <row r="5" spans="1:15" ht="12.75">
      <c r="A5" s="5"/>
      <c r="B5" s="32"/>
      <c r="C5" s="5"/>
      <c r="D5" s="5"/>
      <c r="E5" s="5" t="s">
        <v>6</v>
      </c>
      <c r="F5" s="5"/>
      <c r="G5" s="5" t="s">
        <v>2</v>
      </c>
      <c r="H5" s="73">
        <v>39707</v>
      </c>
      <c r="I5" s="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7</v>
      </c>
      <c r="F6" s="5"/>
      <c r="G6" s="5" t="s">
        <v>2</v>
      </c>
      <c r="H6" s="5" t="s">
        <v>8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20</v>
      </c>
      <c r="F7" s="5"/>
      <c r="G7" s="5" t="s">
        <v>2</v>
      </c>
      <c r="H7" s="5" t="str">
        <f>wsname(E7)</f>
        <v>L_prop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21</v>
      </c>
      <c r="F8" s="5"/>
      <c r="G8" s="5" t="s">
        <v>2</v>
      </c>
      <c r="H8" s="5" t="s">
        <v>616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32"/>
      <c r="C10" s="5"/>
      <c r="D10" s="5"/>
      <c r="E10" s="5" t="s">
        <v>251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32" t="s">
        <v>3</v>
      </c>
      <c r="C11" s="5"/>
      <c r="D11" s="5"/>
      <c r="E11" s="5"/>
      <c r="F11" s="5"/>
      <c r="G11" s="5"/>
      <c r="H11" s="5"/>
      <c r="I11" s="5"/>
      <c r="J11" s="5"/>
      <c r="K11" s="5" t="s">
        <v>252</v>
      </c>
      <c r="L11" s="5" t="s">
        <v>228</v>
      </c>
      <c r="M11" s="5"/>
      <c r="N11" s="5"/>
      <c r="O11" s="5"/>
    </row>
    <row r="12" spans="1:15" ht="12.75">
      <c r="A12" s="5"/>
      <c r="B12" s="32"/>
      <c r="C12" s="5"/>
      <c r="D12" s="5"/>
      <c r="E12" s="5"/>
      <c r="F12" s="12" t="s">
        <v>1</v>
      </c>
      <c r="G12" s="5" t="s">
        <v>2</v>
      </c>
      <c r="H12" s="47" t="str">
        <f>getinput(K12,L12)</f>
        <v>Metric</v>
      </c>
      <c r="I12" s="5"/>
      <c r="J12" s="5"/>
      <c r="K12" s="5" t="s">
        <v>253</v>
      </c>
      <c r="L12" s="5" t="s">
        <v>1</v>
      </c>
      <c r="M12" s="5"/>
      <c r="N12" s="5"/>
      <c r="O12" s="5"/>
    </row>
    <row r="13" spans="1:15" ht="12.75">
      <c r="A13" s="5"/>
      <c r="B13" s="32"/>
      <c r="C13" s="5"/>
      <c r="D13" s="5"/>
      <c r="E13" s="5"/>
      <c r="F13" s="12" t="s">
        <v>230</v>
      </c>
      <c r="G13" s="5" t="s">
        <v>2</v>
      </c>
      <c r="H13" s="91" t="str">
        <f>getinput(K13,L13)</f>
        <v>L3X2-1/2X1/2</v>
      </c>
      <c r="I13" s="91"/>
      <c r="J13" s="5"/>
      <c r="K13" s="5" t="s">
        <v>253</v>
      </c>
      <c r="L13" s="5" t="s">
        <v>230</v>
      </c>
      <c r="M13" s="5"/>
      <c r="N13" s="12" t="s">
        <v>234</v>
      </c>
      <c r="O13" s="5">
        <f>getinput(K13,"row")</f>
        <v>100</v>
      </c>
    </row>
    <row r="14" spans="1:15" ht="12.75">
      <c r="A14" s="5"/>
      <c r="B14" s="32"/>
      <c r="C14" s="5"/>
      <c r="D14" s="5"/>
      <c r="E14" s="5"/>
      <c r="F14" s="12" t="s">
        <v>254</v>
      </c>
      <c r="G14" s="5" t="s">
        <v>2</v>
      </c>
      <c r="H14" s="83">
        <f aca="true" t="shared" si="0" ref="H14:H25">getinput(K14,L14,$O$13)</f>
        <v>1612.8999999999999</v>
      </c>
      <c r="I14" s="5"/>
      <c r="J14" s="5"/>
      <c r="K14" s="5" t="s">
        <v>232</v>
      </c>
      <c r="L14" s="5" t="s">
        <v>103</v>
      </c>
      <c r="M14" s="5"/>
      <c r="N14" s="12"/>
      <c r="O14" s="5"/>
    </row>
    <row r="15" spans="1:15" ht="12.75">
      <c r="A15" s="5"/>
      <c r="B15" s="32"/>
      <c r="C15" s="5"/>
      <c r="D15" s="5"/>
      <c r="E15" s="5"/>
      <c r="F15" s="12" t="s">
        <v>255</v>
      </c>
      <c r="G15" s="5" t="s">
        <v>2</v>
      </c>
      <c r="H15" s="42">
        <f t="shared" si="0"/>
        <v>76.19999999999999</v>
      </c>
      <c r="I15" s="5"/>
      <c r="J15" s="5"/>
      <c r="K15" s="5" t="s">
        <v>232</v>
      </c>
      <c r="L15" s="5" t="s">
        <v>255</v>
      </c>
      <c r="M15" s="5"/>
      <c r="N15" s="12"/>
      <c r="O15" s="5"/>
    </row>
    <row r="16" spans="1:15" ht="12.75">
      <c r="A16" s="5"/>
      <c r="B16" s="32"/>
      <c r="C16" s="5"/>
      <c r="D16" s="5"/>
      <c r="E16" s="5"/>
      <c r="F16" s="12" t="s">
        <v>256</v>
      </c>
      <c r="G16" s="5" t="s">
        <v>2</v>
      </c>
      <c r="H16" s="42">
        <f t="shared" si="0"/>
        <v>63.5</v>
      </c>
      <c r="I16" s="5"/>
      <c r="J16" s="5"/>
      <c r="K16" s="5" t="s">
        <v>232</v>
      </c>
      <c r="L16" s="5" t="s">
        <v>256</v>
      </c>
      <c r="M16" s="5"/>
      <c r="N16" s="12"/>
      <c r="O16" s="5"/>
    </row>
    <row r="17" spans="1:15" ht="12.75">
      <c r="A17" s="5"/>
      <c r="B17" s="32"/>
      <c r="C17" s="5"/>
      <c r="D17" s="5"/>
      <c r="E17" s="5"/>
      <c r="F17" s="12" t="s">
        <v>120</v>
      </c>
      <c r="G17" s="5" t="s">
        <v>2</v>
      </c>
      <c r="H17" s="87">
        <f t="shared" si="0"/>
        <v>861599.0509919998</v>
      </c>
      <c r="I17" s="87"/>
      <c r="J17" s="5"/>
      <c r="K17" s="5" t="s">
        <v>232</v>
      </c>
      <c r="L17" s="5" t="s">
        <v>120</v>
      </c>
      <c r="M17" s="5"/>
      <c r="N17" s="12"/>
      <c r="O17" s="5"/>
    </row>
    <row r="18" spans="1:15" ht="12.75">
      <c r="A18" s="5"/>
      <c r="B18" s="32"/>
      <c r="C18" s="5"/>
      <c r="D18" s="5"/>
      <c r="E18" s="5"/>
      <c r="F18" s="12" t="s">
        <v>128</v>
      </c>
      <c r="G18" s="5" t="s">
        <v>2</v>
      </c>
      <c r="H18" s="42">
        <f t="shared" si="0"/>
        <v>23.114</v>
      </c>
      <c r="I18" s="5"/>
      <c r="J18" s="5"/>
      <c r="K18" s="5" t="s">
        <v>232</v>
      </c>
      <c r="L18" s="5" t="s">
        <v>128</v>
      </c>
      <c r="M18" s="5"/>
      <c r="N18" s="12"/>
      <c r="O18" s="5"/>
    </row>
    <row r="19" spans="1:15" ht="12.75">
      <c r="A19" s="5"/>
      <c r="B19" s="32"/>
      <c r="C19" s="5"/>
      <c r="D19" s="5"/>
      <c r="E19" s="5"/>
      <c r="F19" s="12" t="s">
        <v>111</v>
      </c>
      <c r="G19" s="5" t="s">
        <v>2</v>
      </c>
      <c r="H19" s="42">
        <f t="shared" si="0"/>
        <v>25.273</v>
      </c>
      <c r="I19" s="5"/>
      <c r="J19" s="5"/>
      <c r="K19" s="5" t="s">
        <v>232</v>
      </c>
      <c r="L19" s="5" t="s">
        <v>111</v>
      </c>
      <c r="M19" s="5"/>
      <c r="N19" s="12"/>
      <c r="O19" s="5"/>
    </row>
    <row r="20" spans="1:15" ht="12.75">
      <c r="A20" s="5"/>
      <c r="B20" s="32"/>
      <c r="C20" s="5"/>
      <c r="D20" s="5"/>
      <c r="E20" s="5"/>
      <c r="F20" s="12" t="s">
        <v>257</v>
      </c>
      <c r="G20" s="5" t="s">
        <v>2</v>
      </c>
      <c r="H20" s="87">
        <f t="shared" si="0"/>
        <v>536938.5390239999</v>
      </c>
      <c r="I20" s="87"/>
      <c r="J20" s="5"/>
      <c r="K20" s="5" t="s">
        <v>232</v>
      </c>
      <c r="L20" s="5" t="s">
        <v>257</v>
      </c>
      <c r="M20" s="5"/>
      <c r="N20" s="12"/>
      <c r="O20" s="5"/>
    </row>
    <row r="21" spans="1:15" ht="12.75">
      <c r="A21" s="5"/>
      <c r="B21" s="32"/>
      <c r="C21" s="5"/>
      <c r="D21" s="5"/>
      <c r="E21" s="5"/>
      <c r="F21" s="12" t="s">
        <v>131</v>
      </c>
      <c r="G21" s="5" t="s">
        <v>2</v>
      </c>
      <c r="H21" s="42">
        <f t="shared" si="0"/>
        <v>18.237199999999998</v>
      </c>
      <c r="I21" s="5"/>
      <c r="J21" s="5"/>
      <c r="K21" s="5" t="s">
        <v>232</v>
      </c>
      <c r="L21" s="5" t="s">
        <v>131</v>
      </c>
      <c r="M21" s="5"/>
      <c r="N21" s="12"/>
      <c r="O21" s="5"/>
    </row>
    <row r="22" spans="1:15" ht="12.75">
      <c r="A22" s="5"/>
      <c r="B22" s="32"/>
      <c r="C22" s="5"/>
      <c r="D22" s="5"/>
      <c r="E22" s="5"/>
      <c r="F22" s="12" t="s">
        <v>114</v>
      </c>
      <c r="G22" s="5" t="s">
        <v>2</v>
      </c>
      <c r="H22" s="42">
        <f t="shared" si="0"/>
        <v>18.9484</v>
      </c>
      <c r="I22" s="5"/>
      <c r="J22" s="5"/>
      <c r="K22" s="5" t="s">
        <v>232</v>
      </c>
      <c r="L22" s="5" t="s">
        <v>114</v>
      </c>
      <c r="M22" s="5"/>
      <c r="N22" s="12"/>
      <c r="O22" s="5"/>
    </row>
    <row r="23" spans="1:15" ht="12.75">
      <c r="A23" s="5"/>
      <c r="B23" s="32"/>
      <c r="C23" s="5"/>
      <c r="D23" s="5"/>
      <c r="E23" s="5"/>
      <c r="F23" s="12" t="s">
        <v>258</v>
      </c>
      <c r="G23" s="5" t="s">
        <v>2</v>
      </c>
      <c r="H23" s="42">
        <f t="shared" si="0"/>
        <v>13.106399999999999</v>
      </c>
      <c r="I23" s="5"/>
      <c r="J23" s="5"/>
      <c r="K23" s="5" t="s">
        <v>232</v>
      </c>
      <c r="L23" s="5" t="s">
        <v>258</v>
      </c>
      <c r="M23" s="5"/>
      <c r="N23" s="12"/>
      <c r="O23" s="5"/>
    </row>
    <row r="24" spans="1:15" ht="12.75">
      <c r="A24" s="5"/>
      <c r="B24" s="32"/>
      <c r="C24" s="5"/>
      <c r="D24" s="5"/>
      <c r="E24" s="5"/>
      <c r="F24" s="12" t="s">
        <v>107</v>
      </c>
      <c r="G24" s="5" t="s">
        <v>2</v>
      </c>
      <c r="H24" s="87">
        <f t="shared" si="0"/>
        <v>88657.29365279998</v>
      </c>
      <c r="I24" s="87"/>
      <c r="J24" s="5"/>
      <c r="K24" s="5" t="s">
        <v>232</v>
      </c>
      <c r="L24" s="5" t="s">
        <v>107</v>
      </c>
      <c r="M24" s="5"/>
      <c r="N24" s="12"/>
      <c r="O24" s="5"/>
    </row>
    <row r="25" spans="1:15" ht="12.75">
      <c r="A25" s="5"/>
      <c r="B25" s="32"/>
      <c r="C25" s="5"/>
      <c r="D25" s="5"/>
      <c r="E25" s="5"/>
      <c r="F25" s="12" t="s">
        <v>259</v>
      </c>
      <c r="G25" s="5" t="s">
        <v>2</v>
      </c>
      <c r="H25" s="42">
        <f t="shared" si="0"/>
        <v>12.7</v>
      </c>
      <c r="I25" s="5"/>
      <c r="J25" s="5"/>
      <c r="K25" s="5" t="s">
        <v>232</v>
      </c>
      <c r="L25" s="5" t="s">
        <v>259</v>
      </c>
      <c r="M25" s="5"/>
      <c r="N25" s="12"/>
      <c r="O25" s="5"/>
    </row>
    <row r="26" spans="1:15" ht="12.75">
      <c r="A26" s="5"/>
      <c r="B26" s="3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32"/>
      <c r="C27" s="5"/>
      <c r="D27" s="5"/>
      <c r="E27" s="5"/>
      <c r="F27" s="12" t="s">
        <v>43</v>
      </c>
      <c r="G27" s="5" t="str">
        <f>fn(N27)</f>
        <v>=d-t/2</v>
      </c>
      <c r="H27" s="5"/>
      <c r="I27" s="5"/>
      <c r="J27" s="5">
        <f>fm(N27)</f>
        <v>0</v>
      </c>
      <c r="K27" s="5"/>
      <c r="L27" s="5"/>
      <c r="M27" s="5" t="s">
        <v>2</v>
      </c>
      <c r="N27" s="43">
        <f>d-t/2</f>
        <v>69.85</v>
      </c>
      <c r="O27" s="33"/>
    </row>
    <row r="28" spans="1:15" ht="12.75">
      <c r="A28" s="5"/>
      <c r="B28" s="32"/>
      <c r="C28" s="5"/>
      <c r="D28" s="5"/>
      <c r="E28" s="5"/>
      <c r="F28" s="12" t="s">
        <v>47</v>
      </c>
      <c r="G28" s="5" t="str">
        <f>fn(N28)</f>
        <v>=b-t/2</v>
      </c>
      <c r="H28" s="5"/>
      <c r="I28" s="5"/>
      <c r="J28" s="5">
        <f>fm(N28)</f>
        <v>0</v>
      </c>
      <c r="K28" s="5"/>
      <c r="L28" s="5"/>
      <c r="M28" s="5" t="s">
        <v>2</v>
      </c>
      <c r="N28" s="43">
        <f>b-t/2</f>
        <v>57.15</v>
      </c>
      <c r="O28" s="33"/>
    </row>
    <row r="29" spans="1:15" ht="12.75">
      <c r="A29" s="5"/>
      <c r="B29" s="32"/>
      <c r="C29" s="5"/>
      <c r="D29" s="5"/>
      <c r="E29" s="5"/>
      <c r="F29" s="12" t="s">
        <v>51</v>
      </c>
      <c r="G29" s="5" t="str">
        <f>fn(N29)</f>
        <v>=h_1*t^3/12</v>
      </c>
      <c r="H29" s="5"/>
      <c r="I29" s="5"/>
      <c r="J29" s="5">
        <f>fm(N29)</f>
        <v>0</v>
      </c>
      <c r="K29" s="5"/>
      <c r="L29" s="5"/>
      <c r="M29" s="5" t="s">
        <v>2</v>
      </c>
      <c r="N29" s="86">
        <f>h_1*t^3/12</f>
        <v>11923.296045833331</v>
      </c>
      <c r="O29" s="86"/>
    </row>
    <row r="30" spans="1:15" ht="12.75">
      <c r="A30" s="5"/>
      <c r="B30" s="32"/>
      <c r="C30" s="5"/>
      <c r="D30" s="5"/>
      <c r="E30" s="5"/>
      <c r="F30" s="12" t="s">
        <v>55</v>
      </c>
      <c r="G30" s="5" t="str">
        <f>fn(N30)</f>
        <v>=t*h_2^3/12</v>
      </c>
      <c r="H30" s="5"/>
      <c r="I30" s="5"/>
      <c r="J30" s="5">
        <f>fm(N30)</f>
        <v>0</v>
      </c>
      <c r="K30" s="5"/>
      <c r="L30" s="5"/>
      <c r="M30" s="5" t="s">
        <v>2</v>
      </c>
      <c r="N30" s="86">
        <f>t*h_2^3/12</f>
        <v>197547.33675937497</v>
      </c>
      <c r="O30" s="86"/>
    </row>
    <row r="31" spans="1:15" ht="12.75">
      <c r="A31" s="5"/>
      <c r="B31" s="32"/>
      <c r="C31" s="5"/>
      <c r="D31" s="5"/>
      <c r="E31" s="5"/>
      <c r="F31" s="12" t="s">
        <v>59</v>
      </c>
      <c r="G31" s="5" t="str">
        <f>fn(N33)</f>
        <v>=(h_1/2)*Iy_1/(Iy_1+Iy_2)</v>
      </c>
      <c r="H31" s="5"/>
      <c r="I31" s="5"/>
      <c r="J31" s="5"/>
      <c r="K31" s="5"/>
      <c r="L31" s="5"/>
      <c r="M31" s="5"/>
      <c r="N31" s="33"/>
      <c r="O31" s="33"/>
    </row>
    <row r="32" spans="1:15" ht="12.75">
      <c r="A32" s="5"/>
      <c r="B32" s="32"/>
      <c r="C32" s="5"/>
      <c r="D32" s="5"/>
      <c r="E32" s="5"/>
      <c r="F32" s="12"/>
      <c r="G32" s="5">
        <f>fm(N33)</f>
        <v>0</v>
      </c>
      <c r="H32" s="5"/>
      <c r="I32" s="5"/>
      <c r="J32" s="5"/>
      <c r="K32" s="5"/>
      <c r="L32" s="5"/>
      <c r="N32" s="33"/>
      <c r="O32" s="45"/>
    </row>
    <row r="33" spans="1:15" ht="12.75">
      <c r="A33" s="5"/>
      <c r="B33" s="32"/>
      <c r="C33" s="5"/>
      <c r="D33" s="5"/>
      <c r="E33" s="5"/>
      <c r="F33" s="12"/>
      <c r="G33" s="5"/>
      <c r="H33" s="5"/>
      <c r="I33" s="5"/>
      <c r="J33" s="5"/>
      <c r="K33" s="5"/>
      <c r="L33" s="5"/>
      <c r="M33" s="5" t="s">
        <v>2</v>
      </c>
      <c r="N33" s="43">
        <f>(h_1/2)*Iy_1/(Iy_1+Iy_2)</f>
        <v>1.9879689521345407</v>
      </c>
      <c r="O33" s="33"/>
    </row>
    <row r="34" spans="1:15" ht="12.75">
      <c r="A34" s="5"/>
      <c r="B34" s="32"/>
      <c r="C34" s="5"/>
      <c r="D34" s="5"/>
      <c r="E34" s="5"/>
      <c r="F34" s="12" t="s">
        <v>63</v>
      </c>
      <c r="G34" s="5" t="str">
        <f>fn(N34)</f>
        <v>=t*h_1^3/12</v>
      </c>
      <c r="H34" s="5"/>
      <c r="I34" s="5"/>
      <c r="J34" s="5">
        <f>fm(N34)</f>
        <v>0</v>
      </c>
      <c r="K34" s="5"/>
      <c r="L34" s="5"/>
      <c r="M34" s="5" t="s">
        <v>2</v>
      </c>
      <c r="N34" s="86">
        <f>t*h_1^3/12</f>
        <v>360679.7053864582</v>
      </c>
      <c r="O34" s="86"/>
    </row>
    <row r="35" spans="1:15" ht="12.75">
      <c r="A35" s="5"/>
      <c r="B35" s="32"/>
      <c r="C35" s="5"/>
      <c r="D35" s="5"/>
      <c r="E35" s="5"/>
      <c r="F35" s="12" t="s">
        <v>67</v>
      </c>
      <c r="G35" s="5" t="str">
        <f>fn(N35)</f>
        <v>=h_2*t^3/12</v>
      </c>
      <c r="H35" s="5"/>
      <c r="I35" s="5"/>
      <c r="J35" s="5">
        <f>fm(N35)</f>
        <v>0</v>
      </c>
      <c r="K35" s="5"/>
      <c r="L35" s="5"/>
      <c r="M35" s="5" t="s">
        <v>2</v>
      </c>
      <c r="N35" s="86">
        <f>h_2*t^3/12</f>
        <v>9755.424037499999</v>
      </c>
      <c r="O35" s="86"/>
    </row>
    <row r="36" spans="1:15" ht="12.75">
      <c r="A36" s="5"/>
      <c r="B36" s="32"/>
      <c r="C36" s="5"/>
      <c r="D36" s="5"/>
      <c r="E36" s="5"/>
      <c r="F36" s="12" t="s">
        <v>71</v>
      </c>
      <c r="G36" s="5" t="str">
        <f>fn(N38)</f>
        <v>=(h_2/2)*Ix_1/(Ix_1+Ix_2)</v>
      </c>
      <c r="H36" s="5"/>
      <c r="I36" s="5"/>
      <c r="J36" s="5"/>
      <c r="K36" s="5"/>
      <c r="L36" s="5"/>
      <c r="M36" s="5"/>
      <c r="N36" s="33"/>
      <c r="O36" s="33"/>
    </row>
    <row r="37" spans="1:15" ht="12.75">
      <c r="A37" s="5"/>
      <c r="B37" s="32"/>
      <c r="C37" s="5"/>
      <c r="D37" s="5"/>
      <c r="E37" s="5"/>
      <c r="F37" s="12"/>
      <c r="G37" s="5">
        <f>fm(N38)</f>
        <v>0</v>
      </c>
      <c r="H37" s="5"/>
      <c r="I37" s="5"/>
      <c r="J37" s="5"/>
      <c r="K37" s="5"/>
      <c r="L37" s="5"/>
      <c r="M37" s="5"/>
      <c r="N37" s="33"/>
      <c r="O37" s="33"/>
    </row>
    <row r="38" spans="1:15" ht="12.75">
      <c r="A38" s="5"/>
      <c r="B38" s="32"/>
      <c r="C38" s="5"/>
      <c r="D38" s="5"/>
      <c r="E38" s="5"/>
      <c r="F38" s="12"/>
      <c r="G38" s="5"/>
      <c r="H38" s="5"/>
      <c r="I38" s="5"/>
      <c r="J38" s="5"/>
      <c r="K38" s="5"/>
      <c r="L38" s="5"/>
      <c r="M38" s="5" t="s">
        <v>2</v>
      </c>
      <c r="N38" s="43">
        <f>(h_2/2)*Ix_1/(Ix_1+Ix_2)</f>
        <v>27.8224762253109</v>
      </c>
      <c r="O38" s="33"/>
    </row>
    <row r="39" spans="1:15" ht="12.75">
      <c r="A39" s="5"/>
      <c r="B39" s="32"/>
      <c r="C39" s="5"/>
      <c r="D39" s="5"/>
      <c r="E39" s="5"/>
      <c r="F39" s="12" t="s">
        <v>75</v>
      </c>
      <c r="G39" s="5" t="str">
        <f>fn(N40)</f>
        <v>=x-(ex+t/2)</v>
      </c>
      <c r="H39" s="5"/>
      <c r="I39" s="5"/>
      <c r="J39" s="5"/>
      <c r="K39" s="5"/>
      <c r="L39" s="5"/>
      <c r="O39" s="33"/>
    </row>
    <row r="40" spans="1:15" ht="12.75">
      <c r="A40" s="5"/>
      <c r="B40" s="32"/>
      <c r="C40" s="5"/>
      <c r="D40" s="5"/>
      <c r="E40" s="5"/>
      <c r="F40" s="12"/>
      <c r="G40" s="5">
        <f>fm(N40)</f>
        <v>0</v>
      </c>
      <c r="H40" s="5"/>
      <c r="I40" s="5"/>
      <c r="J40" s="5"/>
      <c r="K40" s="5"/>
      <c r="L40" s="5"/>
      <c r="M40" s="5" t="s">
        <v>2</v>
      </c>
      <c r="N40" s="43">
        <f>x-(ex+t/2)</f>
        <v>-15.224076225310903</v>
      </c>
      <c r="O40" s="33"/>
    </row>
    <row r="41" spans="1:15" ht="12.75">
      <c r="A41" s="5"/>
      <c r="B41" s="32"/>
      <c r="C41" s="5"/>
      <c r="D41" s="5"/>
      <c r="E41" s="5"/>
      <c r="F41" s="12" t="s">
        <v>79</v>
      </c>
      <c r="G41" s="5" t="str">
        <f>fn(N42)</f>
        <v>=y-(ey+t/2)</v>
      </c>
      <c r="H41" s="5"/>
      <c r="I41" s="5"/>
      <c r="J41" s="5"/>
      <c r="K41" s="5"/>
      <c r="L41" s="5"/>
      <c r="M41" s="5"/>
      <c r="N41" s="5"/>
      <c r="O41" s="33"/>
    </row>
    <row r="42" spans="1:15" ht="12.75">
      <c r="A42" s="5"/>
      <c r="B42" s="32"/>
      <c r="C42" s="5"/>
      <c r="D42" s="5"/>
      <c r="E42" s="5"/>
      <c r="F42" s="12"/>
      <c r="G42" s="5">
        <f>fm(N42)</f>
        <v>0</v>
      </c>
      <c r="H42" s="5"/>
      <c r="I42" s="5"/>
      <c r="J42" s="5"/>
      <c r="K42" s="5"/>
      <c r="L42" s="5"/>
      <c r="M42" s="5" t="s">
        <v>2</v>
      </c>
      <c r="N42" s="43">
        <f>y-(ey+t/2)</f>
        <v>16.935031047865458</v>
      </c>
      <c r="O42" s="33"/>
    </row>
    <row r="43" spans="1:15" ht="12.75">
      <c r="A43" s="5"/>
      <c r="B43" s="32"/>
      <c r="C43" s="5"/>
      <c r="D43" s="5"/>
      <c r="E43" s="5"/>
      <c r="F43" s="12" t="s">
        <v>83</v>
      </c>
      <c r="G43" s="5" t="str">
        <f>fn(N45)</f>
        <v>=SQRT(xo^2+yo^2+(Ix+Iy)/Ag)</v>
      </c>
      <c r="H43" s="5"/>
      <c r="I43" s="5"/>
      <c r="J43" s="5"/>
      <c r="K43" s="5"/>
      <c r="L43" s="5"/>
      <c r="M43" s="5"/>
      <c r="N43" s="33"/>
      <c r="O43" s="33"/>
    </row>
    <row r="44" spans="1:15" ht="12.75">
      <c r="A44" s="5"/>
      <c r="B44" s="32"/>
      <c r="C44" s="5"/>
      <c r="D44" s="5"/>
      <c r="E44" s="5"/>
      <c r="F44" s="12"/>
      <c r="G44" s="5">
        <f>fm(N45)</f>
        <v>0</v>
      </c>
      <c r="H44" s="5"/>
      <c r="I44" s="5"/>
      <c r="J44" s="5"/>
      <c r="K44" s="5"/>
      <c r="L44" s="5"/>
      <c r="M44" s="5"/>
      <c r="N44" s="33"/>
      <c r="O44" s="33"/>
    </row>
    <row r="45" spans="1:15" ht="12.75">
      <c r="A45" s="5"/>
      <c r="B45" s="32"/>
      <c r="C45" s="5"/>
      <c r="D45" s="5"/>
      <c r="E45" s="5"/>
      <c r="F45" s="12"/>
      <c r="G45" s="5"/>
      <c r="H45" s="5"/>
      <c r="I45" s="5"/>
      <c r="J45" s="5"/>
      <c r="K45" s="5"/>
      <c r="L45" s="5"/>
      <c r="M45" s="5" t="s">
        <v>2</v>
      </c>
      <c r="N45" s="43">
        <f>SQRT(xo^2+yo^2+(Ix+Iy)/Ag)</f>
        <v>37.22449211884889</v>
      </c>
      <c r="O45" s="33"/>
    </row>
    <row r="46" spans="1:15" ht="12.75">
      <c r="A46" s="5"/>
      <c r="B46" s="32"/>
      <c r="C46" s="5"/>
      <c r="D46" s="5"/>
      <c r="E46" s="5"/>
      <c r="F46" s="12" t="s">
        <v>87</v>
      </c>
      <c r="G46" s="5" t="str">
        <f>fn(N47)</f>
        <v>=1-(xo^2+yo^2)/ro^2</v>
      </c>
      <c r="H46" s="5"/>
      <c r="I46" s="5"/>
      <c r="J46" s="5"/>
      <c r="K46" s="5"/>
      <c r="L46" s="5"/>
      <c r="M46" s="5"/>
      <c r="N46" s="33"/>
      <c r="O46" s="33"/>
    </row>
    <row r="47" spans="1:15" ht="12.75">
      <c r="A47" s="5"/>
      <c r="B47" s="32"/>
      <c r="C47" s="5"/>
      <c r="D47" s="5"/>
      <c r="E47" s="5"/>
      <c r="F47" s="5"/>
      <c r="G47" s="5">
        <f>fm(N47)</f>
        <v>0</v>
      </c>
      <c r="H47" s="5"/>
      <c r="I47" s="5"/>
      <c r="J47" s="5"/>
      <c r="K47" s="5"/>
      <c r="L47" s="5"/>
      <c r="M47" s="5" t="s">
        <v>2</v>
      </c>
      <c r="N47" s="46">
        <f>1-(xo^2+yo^2)/ro^2</f>
        <v>0.6257619325194461</v>
      </c>
      <c r="O47" s="33"/>
    </row>
    <row r="48" spans="1:15" ht="12.75">
      <c r="A48" s="5"/>
      <c r="B48" s="3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3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3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3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3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3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3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B55" s="3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3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B57" s="3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3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3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3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32" t="s">
        <v>24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</sheetData>
  <sheetProtection/>
  <mergeCells count="8">
    <mergeCell ref="N34:O34"/>
    <mergeCell ref="N35:O35"/>
    <mergeCell ref="H13:I13"/>
    <mergeCell ref="H17:I17"/>
    <mergeCell ref="H20:I20"/>
    <mergeCell ref="H24:I24"/>
    <mergeCell ref="N29:O29"/>
    <mergeCell ref="N30:O30"/>
  </mergeCells>
  <dataValidations count="1">
    <dataValidation type="list" allowBlank="1" showErrorMessage="1" sqref="H12">
      <formula1>"Imperial,Metric"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34"/>
  </sheetPr>
  <dimension ref="A1:Q46"/>
  <sheetViews>
    <sheetView showGridLines="0" showZeros="0" zoomScale="85" zoomScaleNormal="85" workbookViewId="0" topLeftCell="A1">
      <selection activeCell="A25" sqref="A25:IV26"/>
    </sheetView>
  </sheetViews>
  <sheetFormatPr defaultColWidth="9.140625" defaultRowHeight="12.75"/>
  <cols>
    <col min="1" max="1" width="1.7109375" style="4" customWidth="1"/>
    <col min="2" max="2" width="1.7109375" style="2" customWidth="1"/>
    <col min="3" max="4" width="1.7109375" style="4" customWidth="1"/>
    <col min="5" max="6" width="9.7109375" style="4" customWidth="1"/>
    <col min="7" max="7" width="1.7109375" style="4" customWidth="1"/>
    <col min="8" max="9" width="9.7109375" style="4" customWidth="1"/>
    <col min="10" max="10" width="1.7109375" style="4" customWidth="1"/>
    <col min="11" max="12" width="9.7109375" style="4" customWidth="1"/>
    <col min="13" max="13" width="1.7109375" style="4" customWidth="1"/>
    <col min="14" max="15" width="9.7109375" style="4" customWidth="1"/>
  </cols>
  <sheetData>
    <row r="1" spans="1:15" ht="12.75">
      <c r="A1" s="5"/>
      <c r="B1" s="32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32"/>
      <c r="C2" s="5"/>
      <c r="D2" s="5"/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32"/>
      <c r="C3" s="5"/>
      <c r="D3" s="5"/>
      <c r="E3" s="5" t="s">
        <v>260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32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32"/>
      <c r="C5" s="5"/>
      <c r="D5" s="5"/>
      <c r="E5" s="5" t="s">
        <v>5</v>
      </c>
      <c r="F5" s="5"/>
      <c r="G5" s="5" t="s">
        <v>2</v>
      </c>
      <c r="H5" s="5" t="s">
        <v>9</v>
      </c>
      <c r="I5" s="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6</v>
      </c>
      <c r="F6" s="5"/>
      <c r="G6" s="5" t="s">
        <v>2</v>
      </c>
      <c r="H6" s="6">
        <v>39707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7</v>
      </c>
      <c r="F7" s="5"/>
      <c r="G7" s="5" t="s">
        <v>2</v>
      </c>
      <c r="H7" s="5" t="s">
        <v>8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20</v>
      </c>
      <c r="F8" s="5"/>
      <c r="G8" s="5" t="s">
        <v>2</v>
      </c>
      <c r="H8" s="5" t="str">
        <f>wsname(E8)</f>
        <v>E6.y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/>
      <c r="C9" s="5"/>
      <c r="D9" s="5"/>
      <c r="E9" s="5" t="s">
        <v>21</v>
      </c>
      <c r="F9" s="5"/>
      <c r="G9" s="5" t="s">
        <v>2</v>
      </c>
      <c r="H9" s="5" t="s">
        <v>619</v>
      </c>
      <c r="I9" s="5"/>
      <c r="J9" s="5"/>
      <c r="K9" s="5"/>
      <c r="L9" s="5"/>
      <c r="M9" s="5"/>
      <c r="N9" s="5"/>
      <c r="O9" s="5"/>
    </row>
    <row r="10" spans="1:15" ht="12.75">
      <c r="A10" s="5"/>
      <c r="B10" s="32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32"/>
      <c r="C11" s="5"/>
      <c r="D11" s="5"/>
      <c r="E11" s="5" t="s">
        <v>261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5"/>
      <c r="B12" s="32" t="s">
        <v>3</v>
      </c>
      <c r="C12" s="5"/>
      <c r="D12" s="5"/>
      <c r="E12" s="5"/>
      <c r="F12" s="5"/>
      <c r="G12" s="5"/>
      <c r="H12" s="5"/>
      <c r="I12" s="5"/>
      <c r="J12" s="5"/>
      <c r="K12" s="5" t="s">
        <v>252</v>
      </c>
      <c r="L12" s="5" t="s">
        <v>228</v>
      </c>
      <c r="M12" s="5"/>
      <c r="N12" s="5"/>
      <c r="O12" s="5"/>
    </row>
    <row r="13" spans="1:15" ht="12.75">
      <c r="A13" s="5"/>
      <c r="B13" s="32"/>
      <c r="C13" s="5"/>
      <c r="D13" s="5"/>
      <c r="E13" s="5" t="s">
        <v>1</v>
      </c>
      <c r="F13" s="5"/>
      <c r="G13" s="5" t="s">
        <v>2</v>
      </c>
      <c r="H13" s="35" t="str">
        <f aca="true" t="shared" si="0" ref="H13:H23">getinput(K13,L13)</f>
        <v>Metric</v>
      </c>
      <c r="I13" s="33"/>
      <c r="J13" s="5"/>
      <c r="K13" s="5" t="s">
        <v>253</v>
      </c>
      <c r="L13" s="5" t="s">
        <v>1</v>
      </c>
      <c r="M13" s="5"/>
      <c r="N13" s="5"/>
      <c r="O13" s="5"/>
    </row>
    <row r="14" spans="1:15" ht="12.75">
      <c r="A14" s="5"/>
      <c r="B14" s="32"/>
      <c r="C14" s="5"/>
      <c r="D14" s="5"/>
      <c r="E14" s="5" t="s">
        <v>240</v>
      </c>
      <c r="F14" s="5"/>
      <c r="G14" s="5" t="s">
        <v>2</v>
      </c>
      <c r="H14" s="55">
        <f t="shared" si="0"/>
        <v>1</v>
      </c>
      <c r="I14" s="55"/>
      <c r="J14" s="5"/>
      <c r="K14" s="5" t="s">
        <v>253</v>
      </c>
      <c r="L14" s="5" t="s">
        <v>262</v>
      </c>
      <c r="M14" s="5"/>
      <c r="N14" s="5"/>
      <c r="O14" s="5"/>
    </row>
    <row r="15" spans="1:15" ht="12.75">
      <c r="A15" s="5"/>
      <c r="B15" s="32"/>
      <c r="C15" s="5"/>
      <c r="D15" s="5"/>
      <c r="E15" s="5" t="s">
        <v>263</v>
      </c>
      <c r="F15" s="5"/>
      <c r="G15" s="5" t="s">
        <v>2</v>
      </c>
      <c r="H15" s="92">
        <f t="shared" si="0"/>
        <v>1.5</v>
      </c>
      <c r="I15" s="92"/>
      <c r="J15" s="5"/>
      <c r="K15" s="5" t="s">
        <v>253</v>
      </c>
      <c r="L15" s="5" t="s">
        <v>264</v>
      </c>
      <c r="M15" s="5"/>
      <c r="N15" s="5"/>
      <c r="O15" s="5"/>
    </row>
    <row r="16" spans="1:15" ht="12.75">
      <c r="A16" s="5"/>
      <c r="B16" s="32"/>
      <c r="C16" s="5"/>
      <c r="D16" s="5"/>
      <c r="E16" s="5" t="s">
        <v>242</v>
      </c>
      <c r="F16" s="5"/>
      <c r="G16" s="5" t="s">
        <v>2</v>
      </c>
      <c r="H16" s="42" t="str">
        <f t="shared" si="0"/>
        <v>pretensioned bolted</v>
      </c>
      <c r="I16" s="55"/>
      <c r="J16" s="5"/>
      <c r="K16" s="5" t="s">
        <v>253</v>
      </c>
      <c r="L16" s="5" t="s">
        <v>265</v>
      </c>
      <c r="M16" s="5"/>
      <c r="N16" s="5"/>
      <c r="O16" s="5"/>
    </row>
    <row r="17" spans="1:15" ht="12.75">
      <c r="A17" s="5"/>
      <c r="B17" s="32"/>
      <c r="C17" s="5"/>
      <c r="D17" s="5"/>
      <c r="E17" s="5" t="s">
        <v>244</v>
      </c>
      <c r="F17" s="5"/>
      <c r="G17" s="5" t="s">
        <v>2</v>
      </c>
      <c r="H17" s="42">
        <f t="shared" si="0"/>
        <v>6</v>
      </c>
      <c r="I17" s="55"/>
      <c r="J17" s="5"/>
      <c r="K17" s="5" t="s">
        <v>253</v>
      </c>
      <c r="L17" s="5" t="s">
        <v>266</v>
      </c>
      <c r="M17" s="5"/>
      <c r="N17" s="5"/>
      <c r="O17" s="5"/>
    </row>
    <row r="18" spans="1:15" ht="12.75">
      <c r="A18" s="5"/>
      <c r="B18" s="32"/>
      <c r="C18" s="5"/>
      <c r="D18" s="5"/>
      <c r="E18" s="5" t="s">
        <v>267</v>
      </c>
      <c r="F18" s="5"/>
      <c r="G18" s="5" t="s">
        <v>2</v>
      </c>
      <c r="H18" s="43">
        <f t="shared" si="0"/>
        <v>23.7109</v>
      </c>
      <c r="I18" s="33"/>
      <c r="J18" s="5"/>
      <c r="K18" s="5" t="s">
        <v>268</v>
      </c>
      <c r="L18" s="5" t="s">
        <v>116</v>
      </c>
      <c r="M18" s="5"/>
      <c r="N18" s="5"/>
      <c r="O18" s="5"/>
    </row>
    <row r="19" spans="1:15" ht="12.75">
      <c r="A19" s="5"/>
      <c r="B19" s="32"/>
      <c r="C19" s="5"/>
      <c r="D19" s="5"/>
      <c r="E19" s="5" t="s">
        <v>269</v>
      </c>
      <c r="F19" s="5"/>
      <c r="G19" s="5" t="s">
        <v>2</v>
      </c>
      <c r="H19" s="43">
        <f t="shared" si="0"/>
        <v>18.2372</v>
      </c>
      <c r="I19" s="33"/>
      <c r="J19" s="5"/>
      <c r="K19" s="5" t="s">
        <v>268</v>
      </c>
      <c r="L19" s="5" t="s">
        <v>101</v>
      </c>
      <c r="M19" s="5"/>
      <c r="N19" s="5"/>
      <c r="O19" s="5"/>
    </row>
    <row r="20" spans="1:15" ht="12.75">
      <c r="A20" s="5"/>
      <c r="B20" s="32"/>
      <c r="C20" s="5"/>
      <c r="D20" s="5"/>
      <c r="E20" s="5" t="s">
        <v>270</v>
      </c>
      <c r="F20" s="5"/>
      <c r="G20" s="5" t="s">
        <v>2</v>
      </c>
      <c r="H20" s="43">
        <f t="shared" si="0"/>
        <v>23.114</v>
      </c>
      <c r="I20" s="33"/>
      <c r="J20" s="5"/>
      <c r="K20" s="5" t="s">
        <v>268</v>
      </c>
      <c r="L20" s="5" t="s">
        <v>95</v>
      </c>
      <c r="M20" s="5"/>
      <c r="N20" s="5"/>
      <c r="O20" s="5"/>
    </row>
    <row r="21" spans="1:15" ht="12.75">
      <c r="A21" s="5"/>
      <c r="B21" s="32"/>
      <c r="C21" s="5"/>
      <c r="D21" s="5"/>
      <c r="E21" s="5" t="s">
        <v>271</v>
      </c>
      <c r="F21" s="5"/>
      <c r="G21" s="5" t="s">
        <v>2</v>
      </c>
      <c r="H21" s="43">
        <f t="shared" si="0"/>
        <v>13.1064</v>
      </c>
      <c r="I21" s="33"/>
      <c r="J21" s="5"/>
      <c r="K21" s="5" t="s">
        <v>272</v>
      </c>
      <c r="L21" s="5" t="s">
        <v>258</v>
      </c>
      <c r="M21" s="5"/>
      <c r="N21" s="5"/>
      <c r="O21" s="5"/>
    </row>
    <row r="22" spans="1:15" ht="12.75">
      <c r="A22" s="5"/>
      <c r="B22" s="32"/>
      <c r="C22" s="5"/>
      <c r="D22" s="5"/>
      <c r="E22" s="5" t="s">
        <v>131</v>
      </c>
      <c r="F22" s="5"/>
      <c r="G22" s="5" t="s">
        <v>2</v>
      </c>
      <c r="H22" s="43">
        <f t="shared" si="0"/>
        <v>29.9183779441667</v>
      </c>
      <c r="I22" s="33"/>
      <c r="J22" s="5"/>
      <c r="K22" s="5" t="s">
        <v>268</v>
      </c>
      <c r="L22" s="5" t="s">
        <v>131</v>
      </c>
      <c r="M22" s="5"/>
      <c r="N22" s="5"/>
      <c r="O22" s="5"/>
    </row>
    <row r="23" spans="1:15" ht="12.75">
      <c r="A23" s="5"/>
      <c r="B23" s="32"/>
      <c r="C23" s="5"/>
      <c r="D23" s="5"/>
      <c r="E23" s="5" t="s">
        <v>128</v>
      </c>
      <c r="F23" s="5"/>
      <c r="G23" s="5" t="s">
        <v>2</v>
      </c>
      <c r="H23" s="43">
        <f t="shared" si="0"/>
        <v>23.1126043534691</v>
      </c>
      <c r="I23" s="33"/>
      <c r="J23" s="5"/>
      <c r="K23" s="5" t="s">
        <v>268</v>
      </c>
      <c r="L23" s="5" t="s">
        <v>128</v>
      </c>
      <c r="M23" s="5"/>
      <c r="N23" s="5"/>
      <c r="O23" s="5"/>
    </row>
    <row r="24" spans="1:15" ht="12.75">
      <c r="A24" s="5"/>
      <c r="B24" s="32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32"/>
      <c r="C25" s="5"/>
      <c r="D25" s="5" t="s">
        <v>617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32"/>
      <c r="C26" s="5"/>
      <c r="D26" s="5"/>
      <c r="E26" s="5" t="str">
        <f>"%"&amp;Name&amp;"&amp;References"</f>
        <v>%E6.y&amp;References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32"/>
      <c r="C27" s="5"/>
      <c r="D27" s="5"/>
      <c r="E27" s="5" t="s">
        <v>140</v>
      </c>
      <c r="F27" s="5"/>
      <c r="G27" s="5">
        <f>fm(N27,"unit",,,,,,TRUE)</f>
        <v>0</v>
      </c>
      <c r="H27" s="5"/>
      <c r="I27" s="5"/>
      <c r="J27" s="5">
        <f>fm(N27,"unit")</f>
        <v>0</v>
      </c>
      <c r="K27" s="5"/>
      <c r="L27" s="5"/>
      <c r="M27" s="5" t="s">
        <v>2</v>
      </c>
      <c r="N27" s="36">
        <f>Ky*Ly*unit("ft","in",Units)*unit("m","mm",Units)/ry</f>
        <v>50.13640788946784</v>
      </c>
      <c r="O27" s="5"/>
    </row>
    <row r="28" spans="1:15" ht="12.75">
      <c r="A28" s="5"/>
      <c r="B28" s="32"/>
      <c r="C28" s="5"/>
      <c r="D28" s="5" t="s">
        <v>143</v>
      </c>
      <c r="E28" s="5"/>
      <c r="F28" s="5"/>
      <c r="G28" s="5"/>
      <c r="H28" s="5"/>
      <c r="I28" s="5"/>
      <c r="J28" s="5"/>
      <c r="K28" s="5"/>
      <c r="L28" s="5"/>
      <c r="M28" s="5"/>
      <c r="N28" s="33"/>
      <c r="O28" s="5"/>
    </row>
    <row r="29" spans="1:17" ht="12.75">
      <c r="A29" s="5"/>
      <c r="B29" s="32"/>
      <c r="C29" s="5"/>
      <c r="D29" s="5"/>
      <c r="E29" s="5" t="s">
        <v>144</v>
      </c>
      <c r="F29" s="5"/>
      <c r="G29" s="5" t="str">
        <f>fn(N30)</f>
        <v>=MIN(ry_sec,rx_sec,rz_sec)</v>
      </c>
      <c r="H29" s="5"/>
      <c r="I29" s="5"/>
      <c r="J29" s="5"/>
      <c r="K29" s="5"/>
      <c r="L29" s="5"/>
      <c r="M29" s="5"/>
      <c r="N29" s="33"/>
      <c r="O29" s="5"/>
      <c r="Q29" s="48"/>
    </row>
    <row r="30" spans="1:15" ht="12.75">
      <c r="A30" s="5"/>
      <c r="B30" s="32"/>
      <c r="C30" s="5"/>
      <c r="D30" s="5"/>
      <c r="E30" s="5"/>
      <c r="F30" s="5"/>
      <c r="G30" s="5">
        <f>fm(N30)</f>
        <v>0</v>
      </c>
      <c r="H30" s="5"/>
      <c r="I30" s="5"/>
      <c r="J30" s="5"/>
      <c r="K30" s="5"/>
      <c r="L30" s="5"/>
      <c r="M30" s="5" t="s">
        <v>2</v>
      </c>
      <c r="N30" s="43">
        <f>MIN(ry_sec,rx_sec,rz_sec)</f>
        <v>13.1064</v>
      </c>
      <c r="O30" s="5"/>
    </row>
    <row r="31" spans="1:15" ht="12.75">
      <c r="A31" s="5"/>
      <c r="B31" s="32"/>
      <c r="C31" s="5"/>
      <c r="D31" s="5"/>
      <c r="E31" s="5" t="s">
        <v>148</v>
      </c>
      <c r="F31" s="5"/>
      <c r="G31" s="5" t="str">
        <f>fn(N32)</f>
        <v>=SQRT(slender_o^2+(a/ri)^2)</v>
      </c>
      <c r="H31" s="5"/>
      <c r="I31" s="5"/>
      <c r="J31" s="5"/>
      <c r="K31" s="5"/>
      <c r="L31" s="5"/>
      <c r="M31" s="5"/>
      <c r="N31" s="33"/>
      <c r="O31" s="5"/>
    </row>
    <row r="32" spans="1:15" ht="12.75">
      <c r="A32" s="5"/>
      <c r="B32" s="32"/>
      <c r="C32" s="5"/>
      <c r="D32" s="5"/>
      <c r="E32" s="5"/>
      <c r="F32" s="5"/>
      <c r="G32" s="5">
        <f>fm(N32)</f>
        <v>0</v>
      </c>
      <c r="H32" s="5"/>
      <c r="I32" s="5"/>
      <c r="J32" s="5"/>
      <c r="K32" s="5"/>
      <c r="L32" s="5"/>
      <c r="M32" s="5" t="s">
        <v>2</v>
      </c>
      <c r="N32" s="36">
        <f>SQRT(slender_o^2+(a/ri)^2)</f>
        <v>50.1384978755872</v>
      </c>
      <c r="O32" s="5"/>
    </row>
    <row r="33" spans="1:15" ht="12.75">
      <c r="A33" s="5"/>
      <c r="B33" s="32"/>
      <c r="C33" s="5"/>
      <c r="D33" s="5" t="s">
        <v>151</v>
      </c>
      <c r="E33" s="5"/>
      <c r="F33" s="5"/>
      <c r="G33" s="5"/>
      <c r="H33" s="5"/>
      <c r="I33" s="5"/>
      <c r="J33" s="5"/>
      <c r="K33" s="5"/>
      <c r="L33" s="5"/>
      <c r="M33" s="5"/>
      <c r="N33" s="33"/>
      <c r="O33" s="5"/>
    </row>
    <row r="34" spans="1:15" ht="12.75">
      <c r="A34" s="5"/>
      <c r="B34" s="32"/>
      <c r="C34" s="5"/>
      <c r="D34" s="5"/>
      <c r="E34" s="49" t="s">
        <v>152</v>
      </c>
      <c r="F34" s="5"/>
      <c r="G34" s="5" t="str">
        <f>fn(N34)</f>
        <v>=x_cg/ry_sec</v>
      </c>
      <c r="H34" s="5"/>
      <c r="I34" s="5"/>
      <c r="J34" s="5">
        <f>fm(N34)</f>
        <v>0</v>
      </c>
      <c r="K34" s="5"/>
      <c r="L34" s="5"/>
      <c r="M34" s="5" t="s">
        <v>2</v>
      </c>
      <c r="N34" s="46">
        <f>x_cg/ry_sec</f>
        <v>1.3001392757660166</v>
      </c>
      <c r="O34" s="5"/>
    </row>
    <row r="35" spans="1:15" ht="12.75">
      <c r="A35" s="5"/>
      <c r="B35" s="32"/>
      <c r="C35" s="5"/>
      <c r="D35" s="5"/>
      <c r="E35" s="5" t="s">
        <v>155</v>
      </c>
      <c r="F35" s="5"/>
      <c r="G35" s="5" t="str">
        <f>fn(N37)</f>
        <v>=SQRT(slender_o^2+0.82*α^2/(1+α^2)*(a/ry_sec)^2)</v>
      </c>
      <c r="H35" s="5"/>
      <c r="I35" s="5"/>
      <c r="J35" s="5"/>
      <c r="K35" s="5"/>
      <c r="L35" s="5"/>
      <c r="M35" s="5"/>
      <c r="N35" s="33"/>
      <c r="O35" s="5"/>
    </row>
    <row r="36" spans="1:15" ht="12.75">
      <c r="A36" s="5"/>
      <c r="B36" s="32"/>
      <c r="C36" s="5"/>
      <c r="D36" s="5"/>
      <c r="E36" s="5"/>
      <c r="F36" s="5"/>
      <c r="G36" s="5">
        <f>fm(N37)</f>
        <v>0</v>
      </c>
      <c r="H36" s="5"/>
      <c r="I36" s="5"/>
      <c r="J36" s="5"/>
      <c r="K36" s="5"/>
      <c r="L36" s="5"/>
      <c r="M36" s="5"/>
      <c r="N36" s="33"/>
      <c r="O36" s="5"/>
    </row>
    <row r="37" spans="1:15" ht="12.75">
      <c r="A37" s="5"/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 t="s">
        <v>2</v>
      </c>
      <c r="N37" s="36">
        <f>SQRT(slender_o^2+0.82*α^2/(1+α^2)*(a/ry_sec)^2)</f>
        <v>50.13696402856309</v>
      </c>
      <c r="O37" s="5"/>
    </row>
    <row r="38" spans="1:15" ht="12.75">
      <c r="A38" s="5"/>
      <c r="B38" s="32"/>
      <c r="C38" s="5"/>
      <c r="D38" s="5"/>
      <c r="E38" s="5" t="s">
        <v>158</v>
      </c>
      <c r="F38" s="5"/>
      <c r="G38" s="5" t="str">
        <f>fn(N40)</f>
        <v>=IF(Conn="Snug-Tight Bolted",slender_m1,slender_m2)</v>
      </c>
      <c r="H38" s="5"/>
      <c r="I38" s="5"/>
      <c r="J38" s="5"/>
      <c r="K38" s="5"/>
      <c r="L38" s="5"/>
      <c r="M38" s="5"/>
      <c r="N38" s="33"/>
      <c r="O38" s="5"/>
    </row>
    <row r="39" spans="1:15" ht="12.75">
      <c r="A39" s="5"/>
      <c r="B39" s="32"/>
      <c r="C39" s="5"/>
      <c r="D39" s="5"/>
      <c r="E39" s="5"/>
      <c r="F39" s="5"/>
      <c r="G39" s="5">
        <f>fm(N40)</f>
        <v>0</v>
      </c>
      <c r="H39" s="5"/>
      <c r="I39" s="5"/>
      <c r="J39" s="5"/>
      <c r="K39" s="5"/>
      <c r="L39" s="5"/>
      <c r="M39" s="5"/>
      <c r="N39" s="43"/>
      <c r="O39" s="5"/>
    </row>
    <row r="40" spans="1:15" ht="12.75">
      <c r="A40" s="5"/>
      <c r="B40" s="32"/>
      <c r="C40" s="5"/>
      <c r="D40" s="5"/>
      <c r="E40" s="5"/>
      <c r="F40" s="5"/>
      <c r="G40" s="5"/>
      <c r="H40" s="5"/>
      <c r="I40" s="5"/>
      <c r="J40" s="5"/>
      <c r="K40" s="5"/>
      <c r="L40" s="5"/>
      <c r="M40" s="5" t="s">
        <v>2</v>
      </c>
      <c r="N40" s="36">
        <f>IF(Conn="Snug-Tight Bolted",slender_m1,slender_m2)</f>
        <v>50.13696402856309</v>
      </c>
      <c r="O40" s="5"/>
    </row>
    <row r="41" spans="1:15" ht="12.75">
      <c r="A41" s="5"/>
      <c r="B41" s="32"/>
      <c r="C41" s="5"/>
      <c r="D41" s="5"/>
      <c r="E41" s="5" t="s">
        <v>161</v>
      </c>
      <c r="F41" s="5"/>
      <c r="G41" s="5" t="str">
        <f>fn(N41)</f>
        <v>=ry*slender_o/slender_m</v>
      </c>
      <c r="H41" s="5"/>
      <c r="I41" s="5"/>
      <c r="J41" s="5">
        <f>fm(N41)</f>
        <v>0</v>
      </c>
      <c r="K41" s="5"/>
      <c r="L41" s="5"/>
      <c r="M41" s="5" t="s">
        <v>2</v>
      </c>
      <c r="N41" s="43">
        <f>ry*slender_o/slender_m</f>
        <v>29.91804607764938</v>
      </c>
      <c r="O41" s="5"/>
    </row>
    <row r="42" spans="1:15" ht="12.75">
      <c r="A42" s="5"/>
      <c r="B42" s="32"/>
      <c r="C42" s="5"/>
      <c r="D42" s="5"/>
      <c r="E42" s="5" t="s">
        <v>164</v>
      </c>
      <c r="F42" s="5"/>
      <c r="G42" s="5"/>
      <c r="H42" s="5"/>
      <c r="I42" s="5"/>
      <c r="J42" s="5"/>
      <c r="K42" s="5"/>
      <c r="L42" s="5"/>
      <c r="M42" s="5"/>
      <c r="N42" s="43"/>
      <c r="O42" s="5"/>
    </row>
    <row r="43" spans="1:15" ht="12.75">
      <c r="A43" s="5"/>
      <c r="B43" s="32"/>
      <c r="C43" s="5"/>
      <c r="D43" s="5"/>
      <c r="E43" s="5" t="s">
        <v>165</v>
      </c>
      <c r="F43" s="5"/>
      <c r="G43" s="5" t="str">
        <f>fn(N43)</f>
        <v>=Ky*a/ri</v>
      </c>
      <c r="H43" s="5"/>
      <c r="I43" s="5"/>
      <c r="J43" s="5">
        <f>fm(N43)</f>
        <v>0</v>
      </c>
      <c r="K43" s="5"/>
      <c r="L43" s="5"/>
      <c r="M43" s="5" t="s">
        <v>2</v>
      </c>
      <c r="N43" s="36">
        <f>Ky*a/ri</f>
        <v>0.4577916132576451</v>
      </c>
      <c r="O43" s="5"/>
    </row>
    <row r="44" spans="1:15" ht="12.75">
      <c r="A44" s="5"/>
      <c r="B44" s="32"/>
      <c r="C44" s="5"/>
      <c r="D44" s="5"/>
      <c r="E44" s="5"/>
      <c r="F44" s="5"/>
      <c r="G44" s="5" t="str">
        <f>fn(N44)</f>
        <v>=0.75*slender_m</v>
      </c>
      <c r="H44" s="5"/>
      <c r="I44" s="5"/>
      <c r="J44" s="5">
        <f>fm(N44)</f>
        <v>0</v>
      </c>
      <c r="K44" s="5"/>
      <c r="L44" s="5"/>
      <c r="M44" s="5" t="s">
        <v>2</v>
      </c>
      <c r="N44" s="36">
        <f>0.75*slender_m</f>
        <v>37.60272302142232</v>
      </c>
      <c r="O44" s="5"/>
    </row>
    <row r="45" spans="1:15" ht="12.75">
      <c r="A45" s="5"/>
      <c r="B45" s="32"/>
      <c r="C45" s="5"/>
      <c r="D45" s="5"/>
      <c r="E45" s="5" t="s">
        <v>170</v>
      </c>
      <c r="F45" s="5"/>
      <c r="G45" s="5" t="s">
        <v>2</v>
      </c>
      <c r="H45" s="5" t="b">
        <f>IF(N44&gt;=N43,TRUE,FALSE)</f>
        <v>1</v>
      </c>
      <c r="I45" s="5"/>
      <c r="J45" s="5"/>
      <c r="K45" s="5"/>
      <c r="L45" s="5"/>
      <c r="M45" s="5"/>
      <c r="N45" s="34"/>
      <c r="O45" s="5"/>
    </row>
    <row r="46" spans="1:15" ht="12.75">
      <c r="A46" s="5"/>
      <c r="B46" s="32" t="s">
        <v>24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sheetProtection/>
  <mergeCells count="1">
    <mergeCell ref="H15:I15"/>
  </mergeCells>
  <dataValidations count="2">
    <dataValidation type="list" allowBlank="1" showInputMessage="1" showErrorMessage="1" sqref="H16">
      <formula1>"snug-tight bolted,welded,pretensioned bolted"</formula1>
    </dataValidation>
    <dataValidation type="list" allowBlank="1" showErrorMessage="1" sqref="H13">
      <formula1>"Imperial,Metric"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34"/>
  </sheetPr>
  <dimension ref="A1:O35"/>
  <sheetViews>
    <sheetView showGridLines="0" showZeros="0" zoomScale="85" zoomScaleNormal="85" workbookViewId="0" topLeftCell="A1">
      <selection activeCell="H8" sqref="H8"/>
    </sheetView>
  </sheetViews>
  <sheetFormatPr defaultColWidth="9.140625" defaultRowHeight="12.75"/>
  <cols>
    <col min="1" max="1" width="1.7109375" style="4" customWidth="1"/>
    <col min="2" max="2" width="1.7109375" style="2" customWidth="1"/>
    <col min="3" max="4" width="1.7109375" style="4" customWidth="1"/>
    <col min="5" max="6" width="11.7109375" style="4" customWidth="1"/>
    <col min="7" max="7" width="1.7109375" style="4" customWidth="1"/>
    <col min="8" max="9" width="11.7109375" style="4" customWidth="1"/>
    <col min="10" max="10" width="1.7109375" style="4" customWidth="1"/>
    <col min="11" max="12" width="11.7109375" style="4" customWidth="1"/>
    <col min="13" max="13" width="1.7109375" style="4" customWidth="1"/>
    <col min="14" max="15" width="11.7109375" style="4" customWidth="1"/>
  </cols>
  <sheetData>
    <row r="1" spans="1:15" ht="12.75">
      <c r="A1" s="5"/>
      <c r="B1" s="32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32"/>
      <c r="C2" s="5"/>
      <c r="D2" s="5"/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32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32"/>
      <c r="C4" s="5"/>
      <c r="D4" s="5"/>
      <c r="E4" s="5" t="s">
        <v>5</v>
      </c>
      <c r="F4" s="5"/>
      <c r="G4" s="5" t="s">
        <v>2</v>
      </c>
      <c r="H4" s="5" t="s">
        <v>9</v>
      </c>
      <c r="I4" s="5"/>
      <c r="J4" s="5"/>
      <c r="K4" s="5"/>
      <c r="L4" s="5"/>
      <c r="M4" s="5"/>
      <c r="N4" s="5"/>
      <c r="O4" s="5"/>
    </row>
    <row r="5" spans="1:15" ht="12.75">
      <c r="A5" s="5"/>
      <c r="B5" s="32"/>
      <c r="C5" s="5"/>
      <c r="D5" s="5"/>
      <c r="E5" s="5" t="s">
        <v>6</v>
      </c>
      <c r="F5" s="5"/>
      <c r="G5" s="5" t="s">
        <v>2</v>
      </c>
      <c r="H5" s="73">
        <v>39707</v>
      </c>
      <c r="I5" s="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7</v>
      </c>
      <c r="F6" s="5"/>
      <c r="G6" s="5" t="s">
        <v>2</v>
      </c>
      <c r="H6" s="5" t="s">
        <v>8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20</v>
      </c>
      <c r="F7" s="5"/>
      <c r="G7" s="5" t="s">
        <v>2</v>
      </c>
      <c r="H7" s="5" t="str">
        <f>wsname(E7)</f>
        <v>E3.x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21</v>
      </c>
      <c r="F8" s="5"/>
      <c r="G8" s="5" t="s">
        <v>2</v>
      </c>
      <c r="H8" s="5" t="s">
        <v>623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32"/>
      <c r="C10" s="5"/>
      <c r="D10" s="5"/>
      <c r="E10" s="5" t="s">
        <v>273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32" t="s">
        <v>3</v>
      </c>
      <c r="C11" s="5"/>
      <c r="D11" s="5"/>
      <c r="E11" s="5"/>
      <c r="F11" s="5"/>
      <c r="G11" s="5"/>
      <c r="H11" s="5"/>
      <c r="I11" s="5"/>
      <c r="J11" s="5"/>
      <c r="K11" s="5" t="s">
        <v>252</v>
      </c>
      <c r="L11" s="5" t="s">
        <v>228</v>
      </c>
      <c r="M11" s="5"/>
      <c r="N11" s="5"/>
      <c r="O11" s="5"/>
    </row>
    <row r="12" spans="1:15" ht="12.75">
      <c r="A12" s="5"/>
      <c r="B12" s="32"/>
      <c r="C12" s="5"/>
      <c r="D12" s="5"/>
      <c r="E12" s="5"/>
      <c r="F12" s="12" t="s">
        <v>1</v>
      </c>
      <c r="G12" s="5" t="s">
        <v>2</v>
      </c>
      <c r="H12" s="35" t="str">
        <f aca="true" t="shared" si="0" ref="H12:H18">getinput(K12,L12)</f>
        <v>Metric</v>
      </c>
      <c r="I12" s="33"/>
      <c r="J12" s="5"/>
      <c r="K12" s="5" t="s">
        <v>253</v>
      </c>
      <c r="L12" s="5" t="s">
        <v>1</v>
      </c>
      <c r="M12" s="5"/>
      <c r="N12" s="5"/>
      <c r="O12" s="5"/>
    </row>
    <row r="13" spans="1:15" ht="12.75">
      <c r="A13" s="5"/>
      <c r="B13" s="32"/>
      <c r="C13" s="5"/>
      <c r="D13" s="5"/>
      <c r="E13" s="5"/>
      <c r="F13" s="12" t="s">
        <v>274</v>
      </c>
      <c r="G13" s="5" t="s">
        <v>2</v>
      </c>
      <c r="H13" s="55">
        <f t="shared" si="0"/>
        <v>1</v>
      </c>
      <c r="I13" s="33"/>
      <c r="J13" s="5"/>
      <c r="K13" s="5" t="s">
        <v>253</v>
      </c>
      <c r="L13" s="5" t="s">
        <v>275</v>
      </c>
      <c r="M13" s="5"/>
      <c r="N13" s="5"/>
      <c r="O13" s="5"/>
    </row>
    <row r="14" spans="1:15" ht="12.75">
      <c r="A14" s="5"/>
      <c r="B14" s="32"/>
      <c r="C14" s="5"/>
      <c r="D14" s="5"/>
      <c r="E14" s="5"/>
      <c r="F14" s="12" t="s">
        <v>620</v>
      </c>
      <c r="G14" s="5" t="s">
        <v>2</v>
      </c>
      <c r="H14" s="39">
        <f t="shared" si="0"/>
        <v>1.5</v>
      </c>
      <c r="I14" s="33"/>
      <c r="J14" s="5"/>
      <c r="K14" s="5" t="s">
        <v>253</v>
      </c>
      <c r="L14" s="5" t="s">
        <v>276</v>
      </c>
      <c r="M14" s="5"/>
      <c r="N14" s="5"/>
      <c r="O14" s="5"/>
    </row>
    <row r="15" spans="1:15" ht="12.75">
      <c r="A15" s="5"/>
      <c r="B15" s="32"/>
      <c r="C15" s="5"/>
      <c r="D15" s="5"/>
      <c r="E15" s="5"/>
      <c r="F15" s="12" t="s">
        <v>277</v>
      </c>
      <c r="G15" s="5" t="s">
        <v>2</v>
      </c>
      <c r="H15" s="43">
        <f t="shared" si="0"/>
        <v>23.1126043534691</v>
      </c>
      <c r="I15" s="33"/>
      <c r="J15" s="5"/>
      <c r="K15" s="5" t="s">
        <v>268</v>
      </c>
      <c r="L15" s="5" t="s">
        <v>128</v>
      </c>
      <c r="M15" s="5"/>
      <c r="N15" s="5"/>
      <c r="O15" s="5"/>
    </row>
    <row r="16" spans="1:15" ht="12.75">
      <c r="A16" s="5"/>
      <c r="B16" s="32"/>
      <c r="C16" s="5"/>
      <c r="D16" s="5"/>
      <c r="E16" s="5"/>
      <c r="F16" s="12" t="s">
        <v>278</v>
      </c>
      <c r="G16" s="5" t="s">
        <v>2</v>
      </c>
      <c r="H16" s="44">
        <f t="shared" si="0"/>
        <v>248.211327123913</v>
      </c>
      <c r="I16" s="33"/>
      <c r="J16" s="5"/>
      <c r="K16" s="5" t="s">
        <v>320</v>
      </c>
      <c r="L16" s="5" t="s">
        <v>280</v>
      </c>
      <c r="M16" s="5"/>
      <c r="N16" s="5"/>
      <c r="O16" s="5"/>
    </row>
    <row r="17" spans="1:15" ht="12.75">
      <c r="A17" s="5"/>
      <c r="B17" s="32"/>
      <c r="C17" s="5"/>
      <c r="D17" s="5"/>
      <c r="E17" s="5"/>
      <c r="F17" s="12" t="s">
        <v>281</v>
      </c>
      <c r="G17" s="5" t="s">
        <v>2</v>
      </c>
      <c r="H17" s="93">
        <f t="shared" si="0"/>
        <v>200000</v>
      </c>
      <c r="I17" s="93"/>
      <c r="J17" s="5"/>
      <c r="K17" s="5" t="s">
        <v>320</v>
      </c>
      <c r="L17" s="5" t="s">
        <v>282</v>
      </c>
      <c r="M17" s="5"/>
      <c r="N17" s="5"/>
      <c r="O17" s="5"/>
    </row>
    <row r="18" spans="1:15" ht="12.75">
      <c r="A18" s="5"/>
      <c r="B18" s="32"/>
      <c r="C18" s="5"/>
      <c r="D18" s="5"/>
      <c r="E18" s="5"/>
      <c r="F18" s="12" t="s">
        <v>283</v>
      </c>
      <c r="G18" s="5" t="s">
        <v>2</v>
      </c>
      <c r="H18" s="88">
        <f t="shared" si="0"/>
        <v>3225.8</v>
      </c>
      <c r="I18" s="88"/>
      <c r="J18" s="5"/>
      <c r="K18" s="5" t="s">
        <v>268</v>
      </c>
      <c r="L18" s="5" t="s">
        <v>103</v>
      </c>
      <c r="M18" s="5"/>
      <c r="N18" s="5"/>
      <c r="O18" s="47"/>
    </row>
    <row r="19" spans="1:15" ht="12.75">
      <c r="A19" s="5"/>
      <c r="B19" s="32" t="s">
        <v>23</v>
      </c>
      <c r="C19" s="5"/>
      <c r="D19" s="5"/>
      <c r="E19" s="5"/>
      <c r="F19" s="12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32"/>
      <c r="C20" s="5"/>
      <c r="D20" s="5" t="s">
        <v>617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32"/>
      <c r="C21" s="5"/>
      <c r="D21" s="5"/>
      <c r="E21" s="5" t="str">
        <f>"%"&amp;Name&amp;"&amp;References"</f>
        <v>%E3.x&amp;References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32"/>
      <c r="C22" s="5"/>
      <c r="D22" s="5"/>
      <c r="E22" s="5"/>
      <c r="F22" s="12" t="s">
        <v>171</v>
      </c>
      <c r="G22" s="5">
        <f>fm(N22,"unit",,,,,,TRUE)</f>
        <v>0</v>
      </c>
      <c r="H22" s="5"/>
      <c r="I22" s="5"/>
      <c r="J22" s="5">
        <f>fm(N22,"unit")</f>
        <v>0</v>
      </c>
      <c r="K22" s="5"/>
      <c r="L22" s="5"/>
      <c r="M22" s="5" t="s">
        <v>2</v>
      </c>
      <c r="N22" s="36">
        <f>K*L*unit("m","mm",Units)*unit("ft","in",Units)/ra</f>
        <v>64.8996528932862</v>
      </c>
      <c r="O22" s="5"/>
    </row>
    <row r="23" spans="1:15" ht="12.75">
      <c r="A23" s="5"/>
      <c r="B23" s="32"/>
      <c r="C23" s="5"/>
      <c r="D23" s="5"/>
      <c r="E23" s="5"/>
      <c r="F23" s="12" t="s">
        <v>173</v>
      </c>
      <c r="G23" s="5" t="str">
        <f>fn(N24)</f>
        <v>=PI()^2*E/(slender)^2</v>
      </c>
      <c r="H23" s="5"/>
      <c r="I23" s="5"/>
      <c r="J23" s="5"/>
      <c r="K23" s="5"/>
      <c r="L23" s="5"/>
      <c r="M23" s="5"/>
      <c r="N23" s="33"/>
      <c r="O23" s="5"/>
    </row>
    <row r="24" spans="1:15" ht="12.75">
      <c r="A24" s="5"/>
      <c r="B24" s="32"/>
      <c r="C24" s="5"/>
      <c r="D24" s="5"/>
      <c r="E24" s="5"/>
      <c r="F24" s="12"/>
      <c r="G24" s="5">
        <f>fm(N24)</f>
        <v>0</v>
      </c>
      <c r="H24" s="5"/>
      <c r="I24" s="5"/>
      <c r="J24" s="5"/>
      <c r="K24" s="5"/>
      <c r="L24" s="5"/>
      <c r="M24" s="5" t="s">
        <v>2</v>
      </c>
      <c r="N24" s="44">
        <f>PI()^2*E/(slender)^2</f>
        <v>468.6460845899401</v>
      </c>
      <c r="O24" s="5"/>
    </row>
    <row r="25" spans="1:15" ht="12.75">
      <c r="A25" s="5"/>
      <c r="B25" s="32"/>
      <c r="C25" s="5"/>
      <c r="D25" s="5" t="s">
        <v>177</v>
      </c>
      <c r="E25" s="5"/>
      <c r="F25" s="12"/>
      <c r="G25" s="5"/>
      <c r="H25" s="5"/>
      <c r="I25" s="5"/>
      <c r="J25" s="5"/>
      <c r="K25" s="5"/>
      <c r="L25" s="5"/>
      <c r="M25" s="5"/>
      <c r="N25" s="44"/>
      <c r="O25" s="5"/>
    </row>
    <row r="26" spans="1:15" ht="12.75">
      <c r="A26" s="5"/>
      <c r="B26" s="32"/>
      <c r="C26" s="5"/>
      <c r="D26" s="5"/>
      <c r="E26" s="5"/>
      <c r="F26" s="12" t="s">
        <v>284</v>
      </c>
      <c r="G26" s="5" t="str">
        <f>fn(N27)</f>
        <v>=0.658^(Fy/Fe)*Fy</v>
      </c>
      <c r="H26" s="5"/>
      <c r="I26" s="5"/>
      <c r="J26" s="5"/>
      <c r="K26" s="5"/>
      <c r="L26" s="5"/>
      <c r="M26" s="5"/>
      <c r="N26" s="33"/>
      <c r="O26" s="5"/>
    </row>
    <row r="27" spans="1:15" ht="12.75">
      <c r="A27" s="5"/>
      <c r="B27" s="32"/>
      <c r="C27" s="5"/>
      <c r="D27" s="5"/>
      <c r="E27" s="5"/>
      <c r="F27" s="12"/>
      <c r="G27" s="5">
        <f>fm(N27)</f>
        <v>0</v>
      </c>
      <c r="H27" s="5"/>
      <c r="I27" s="5"/>
      <c r="J27" s="5"/>
      <c r="K27" s="5"/>
      <c r="L27" s="5"/>
      <c r="M27" s="5" t="s">
        <v>2</v>
      </c>
      <c r="N27" s="44">
        <f>0.658^(Fy/Fe)*Fy</f>
        <v>198.86011400427492</v>
      </c>
      <c r="O27" s="5"/>
    </row>
    <row r="28" spans="1:15" ht="12.75">
      <c r="A28" s="5"/>
      <c r="B28" s="32"/>
      <c r="C28" s="5"/>
      <c r="D28" s="5"/>
      <c r="E28" s="5"/>
      <c r="F28" s="12" t="s">
        <v>285</v>
      </c>
      <c r="G28" s="5" t="str">
        <f>fn(N28)</f>
        <v>=0.877*Fe</v>
      </c>
      <c r="H28" s="5"/>
      <c r="I28" s="5"/>
      <c r="J28" s="5">
        <f>fm(N28)</f>
        <v>0</v>
      </c>
      <c r="K28" s="5"/>
      <c r="L28" s="5"/>
      <c r="M28" s="5" t="s">
        <v>2</v>
      </c>
      <c r="N28" s="44">
        <f>0.877*Fe</f>
        <v>411.00261618537746</v>
      </c>
      <c r="O28" s="5"/>
    </row>
    <row r="29" spans="1:15" ht="12.75">
      <c r="A29" s="5"/>
      <c r="B29" s="32"/>
      <c r="C29" s="5"/>
      <c r="D29" s="5"/>
      <c r="E29" s="5"/>
      <c r="F29" s="12"/>
      <c r="G29" s="5"/>
      <c r="H29" s="5"/>
      <c r="I29" s="5"/>
      <c r="J29" s="5"/>
      <c r="K29" s="5"/>
      <c r="L29" s="5"/>
      <c r="M29" s="5"/>
      <c r="N29" s="44"/>
      <c r="O29" s="5"/>
    </row>
    <row r="30" spans="1:15" ht="12.75">
      <c r="A30" s="5"/>
      <c r="B30" s="32"/>
      <c r="C30" s="5"/>
      <c r="D30" s="5"/>
      <c r="E30" s="5"/>
      <c r="F30" s="12" t="s">
        <v>286</v>
      </c>
      <c r="G30" s="5" t="str">
        <f>fn(N30)</f>
        <v>=Fe&gt;=0.44*Fy</v>
      </c>
      <c r="H30" s="5"/>
      <c r="I30" s="5"/>
      <c r="J30" s="5">
        <f>fm(N30)</f>
        <v>0</v>
      </c>
      <c r="K30" s="5"/>
      <c r="L30" s="5"/>
      <c r="M30" s="5" t="s">
        <v>2</v>
      </c>
      <c r="N30" s="44" t="b">
        <f>Fe&gt;=0.44*Fy</f>
        <v>1</v>
      </c>
      <c r="O30" s="5"/>
    </row>
    <row r="31" spans="1:15" ht="12.75">
      <c r="A31" s="5"/>
      <c r="B31" s="32"/>
      <c r="C31" s="5"/>
      <c r="D31" s="5"/>
      <c r="E31" s="64"/>
      <c r="F31" s="97" t="s">
        <v>189</v>
      </c>
      <c r="G31" s="64" t="s">
        <v>2</v>
      </c>
      <c r="H31" s="98">
        <f>IF(N30,N27,N28)</f>
        <v>198.86011400427492</v>
      </c>
      <c r="I31" s="5"/>
      <c r="J31" s="5"/>
      <c r="K31" s="5"/>
      <c r="L31" s="5"/>
      <c r="O31" s="5"/>
    </row>
    <row r="32" spans="1:15" ht="12.75">
      <c r="A32" s="5"/>
      <c r="B32" s="32"/>
      <c r="C32" s="5"/>
      <c r="D32" s="5"/>
      <c r="E32" s="5"/>
      <c r="F32" s="12" t="s">
        <v>190</v>
      </c>
      <c r="G32" s="5" t="s">
        <v>2</v>
      </c>
      <c r="H32" s="33">
        <v>0.9</v>
      </c>
      <c r="I32" s="5"/>
      <c r="J32" s="5"/>
      <c r="K32" s="5"/>
      <c r="L32" s="5"/>
      <c r="M32" s="5"/>
      <c r="N32" s="33"/>
      <c r="O32" s="5"/>
    </row>
    <row r="33" spans="1:15" ht="12.75">
      <c r="A33" s="5"/>
      <c r="B33" s="32"/>
      <c r="C33" s="5"/>
      <c r="D33" s="5"/>
      <c r="E33" s="5"/>
      <c r="F33" s="12" t="s">
        <v>191</v>
      </c>
      <c r="G33" s="5" t="str">
        <f>fn(N34,,21)</f>
        <v>=Φ_c*Fcr*Ag</v>
      </c>
      <c r="H33" s="5"/>
      <c r="I33" s="5"/>
      <c r="J33" s="5"/>
      <c r="K33" s="5"/>
      <c r="L33" s="5"/>
      <c r="M33" s="5"/>
      <c r="N33" s="33"/>
      <c r="O33" s="5"/>
    </row>
    <row r="34" spans="1:15" ht="12.75">
      <c r="A34" s="5"/>
      <c r="B34" s="32"/>
      <c r="C34" s="5"/>
      <c r="D34" s="5"/>
      <c r="E34" s="5"/>
      <c r="F34" s="5"/>
      <c r="G34" s="5">
        <f>fm(N34,"unit")</f>
        <v>0</v>
      </c>
      <c r="H34" s="5"/>
      <c r="I34" s="5"/>
      <c r="J34" s="5"/>
      <c r="K34" s="5"/>
      <c r="L34" s="5"/>
      <c r="M34" s="5" t="s">
        <v>2</v>
      </c>
      <c r="N34" s="37">
        <f>Φ_c*Fcr*Ag*unit("N","kN",Units)</f>
        <v>577.334660179491</v>
      </c>
      <c r="O34" s="5"/>
    </row>
    <row r="35" spans="1:15" ht="12.75">
      <c r="A35" s="5"/>
      <c r="B35" s="32" t="s">
        <v>24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sheetProtection/>
  <mergeCells count="2">
    <mergeCell ref="H17:I17"/>
    <mergeCell ref="H18:I18"/>
  </mergeCells>
  <dataValidations count="1">
    <dataValidation type="list" allowBlank="1" showErrorMessage="1" sqref="H12">
      <formula1>"Imperial,Metric"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indexed="34"/>
  </sheetPr>
  <dimension ref="A1:O35"/>
  <sheetViews>
    <sheetView showGridLines="0" showZeros="0" zoomScale="85" zoomScaleNormal="85" workbookViewId="0" topLeftCell="A1">
      <selection activeCell="H8" sqref="H8"/>
    </sheetView>
  </sheetViews>
  <sheetFormatPr defaultColWidth="9.140625" defaultRowHeight="12.75"/>
  <cols>
    <col min="1" max="1" width="1.7109375" style="4" customWidth="1"/>
    <col min="2" max="2" width="1.7109375" style="2" customWidth="1"/>
    <col min="3" max="4" width="1.7109375" style="4" customWidth="1"/>
    <col min="5" max="6" width="11.7109375" style="4" customWidth="1"/>
    <col min="7" max="7" width="1.7109375" style="4" customWidth="1"/>
    <col min="8" max="9" width="11.7109375" style="4" customWidth="1"/>
    <col min="10" max="10" width="1.7109375" style="4" customWidth="1"/>
    <col min="11" max="12" width="11.7109375" style="4" customWidth="1"/>
    <col min="13" max="13" width="1.7109375" style="4" customWidth="1"/>
    <col min="14" max="15" width="11.7109375" style="4" customWidth="1"/>
  </cols>
  <sheetData>
    <row r="1" spans="1:15" ht="12.75">
      <c r="A1" s="5"/>
      <c r="B1" s="32" t="s">
        <v>10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/>
      <c r="B2" s="32"/>
      <c r="C2" s="5"/>
      <c r="D2" s="5"/>
      <c r="E2" s="5" t="s">
        <v>11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32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5"/>
      <c r="B4" s="32"/>
      <c r="C4" s="5"/>
      <c r="D4" s="5"/>
      <c r="E4" s="5" t="s">
        <v>5</v>
      </c>
      <c r="F4" s="5"/>
      <c r="G4" s="5" t="s">
        <v>2</v>
      </c>
      <c r="H4" s="5" t="s">
        <v>9</v>
      </c>
      <c r="I4" s="5"/>
      <c r="J4" s="5"/>
      <c r="K4" s="5"/>
      <c r="L4" s="5"/>
      <c r="M4" s="5"/>
      <c r="N4" s="5"/>
      <c r="O4" s="5"/>
    </row>
    <row r="5" spans="1:15" ht="12.75">
      <c r="A5" s="5"/>
      <c r="B5" s="32"/>
      <c r="C5" s="5"/>
      <c r="D5" s="5"/>
      <c r="E5" s="5" t="s">
        <v>6</v>
      </c>
      <c r="F5" s="5"/>
      <c r="G5" s="5" t="s">
        <v>2</v>
      </c>
      <c r="H5" s="73">
        <v>39707</v>
      </c>
      <c r="I5" s="5"/>
      <c r="J5" s="5"/>
      <c r="K5" s="5"/>
      <c r="L5" s="5"/>
      <c r="M5" s="5"/>
      <c r="N5" s="5"/>
      <c r="O5" s="5"/>
    </row>
    <row r="6" spans="1:15" ht="12.75">
      <c r="A6" s="5"/>
      <c r="B6" s="32"/>
      <c r="C6" s="5"/>
      <c r="D6" s="5"/>
      <c r="E6" s="5" t="s">
        <v>7</v>
      </c>
      <c r="F6" s="5"/>
      <c r="G6" s="5" t="s">
        <v>2</v>
      </c>
      <c r="H6" s="5" t="s">
        <v>8</v>
      </c>
      <c r="I6" s="5"/>
      <c r="J6" s="5"/>
      <c r="K6" s="5"/>
      <c r="L6" s="5"/>
      <c r="M6" s="5"/>
      <c r="N6" s="5"/>
      <c r="O6" s="5"/>
    </row>
    <row r="7" spans="1:15" ht="12.75">
      <c r="A7" s="5"/>
      <c r="B7" s="32"/>
      <c r="C7" s="5"/>
      <c r="D7" s="5"/>
      <c r="E7" s="5" t="s">
        <v>20</v>
      </c>
      <c r="F7" s="5"/>
      <c r="G7" s="5" t="s">
        <v>2</v>
      </c>
      <c r="H7" s="5" t="str">
        <f>wsname(E7)</f>
        <v>E3.y</v>
      </c>
      <c r="I7" s="5"/>
      <c r="J7" s="5"/>
      <c r="K7" s="5"/>
      <c r="L7" s="5"/>
      <c r="M7" s="5"/>
      <c r="N7" s="5"/>
      <c r="O7" s="5"/>
    </row>
    <row r="8" spans="1:15" ht="12.75">
      <c r="A8" s="5"/>
      <c r="B8" s="32"/>
      <c r="C8" s="5"/>
      <c r="D8" s="5"/>
      <c r="E8" s="5" t="s">
        <v>21</v>
      </c>
      <c r="F8" s="5"/>
      <c r="G8" s="5" t="s">
        <v>2</v>
      </c>
      <c r="H8" s="5" t="s">
        <v>623</v>
      </c>
      <c r="I8" s="5"/>
      <c r="J8" s="5"/>
      <c r="K8" s="5"/>
      <c r="L8" s="5"/>
      <c r="M8" s="5"/>
      <c r="N8" s="5"/>
      <c r="O8" s="5"/>
    </row>
    <row r="9" spans="1:15" ht="12.75">
      <c r="A9" s="5"/>
      <c r="B9" s="32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5"/>
      <c r="B10" s="32"/>
      <c r="C10" s="5"/>
      <c r="D10" s="5"/>
      <c r="E10" s="5" t="s">
        <v>273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5"/>
      <c r="B11" s="32" t="s">
        <v>3</v>
      </c>
      <c r="C11" s="5"/>
      <c r="D11" s="5"/>
      <c r="E11" s="5"/>
      <c r="F11" s="5"/>
      <c r="G11" s="5"/>
      <c r="H11" s="5"/>
      <c r="I11" s="5"/>
      <c r="J11" s="5"/>
      <c r="K11" s="5" t="s">
        <v>252</v>
      </c>
      <c r="L11" s="5" t="s">
        <v>228</v>
      </c>
      <c r="M11" s="5"/>
      <c r="N11" s="5"/>
      <c r="O11" s="5"/>
    </row>
    <row r="12" spans="1:15" ht="12.75">
      <c r="A12" s="5"/>
      <c r="B12" s="32"/>
      <c r="C12" s="5"/>
      <c r="D12" s="5"/>
      <c r="E12" s="5"/>
      <c r="F12" s="12" t="s">
        <v>1</v>
      </c>
      <c r="G12" s="5" t="s">
        <v>2</v>
      </c>
      <c r="H12" s="35" t="str">
        <f aca="true" t="shared" si="0" ref="H12:H18">getinput(K12,L12)</f>
        <v>Metric</v>
      </c>
      <c r="I12" s="33"/>
      <c r="J12" s="5"/>
      <c r="K12" s="5" t="s">
        <v>253</v>
      </c>
      <c r="L12" s="5" t="s">
        <v>1</v>
      </c>
      <c r="M12" s="5"/>
      <c r="N12" s="5"/>
      <c r="O12" s="5"/>
    </row>
    <row r="13" spans="1:15" ht="12.75">
      <c r="A13" s="5"/>
      <c r="B13" s="32"/>
      <c r="C13" s="5"/>
      <c r="D13" s="5"/>
      <c r="E13" s="5"/>
      <c r="F13" s="12" t="s">
        <v>274</v>
      </c>
      <c r="G13" s="5" t="s">
        <v>2</v>
      </c>
      <c r="H13" s="55">
        <f t="shared" si="0"/>
        <v>1</v>
      </c>
      <c r="I13" s="33"/>
      <c r="J13" s="5"/>
      <c r="K13" s="5" t="s">
        <v>253</v>
      </c>
      <c r="L13" s="5" t="s">
        <v>262</v>
      </c>
      <c r="M13" s="5"/>
      <c r="N13" s="5"/>
      <c r="O13" s="5"/>
    </row>
    <row r="14" spans="1:15" ht="12.75">
      <c r="A14" s="5"/>
      <c r="B14" s="32"/>
      <c r="C14" s="5"/>
      <c r="D14" s="5"/>
      <c r="E14" s="5"/>
      <c r="F14" s="12" t="s">
        <v>620</v>
      </c>
      <c r="G14" s="5" t="s">
        <v>2</v>
      </c>
      <c r="H14" s="39">
        <f t="shared" si="0"/>
        <v>1.5</v>
      </c>
      <c r="I14" s="33"/>
      <c r="J14" s="5"/>
      <c r="K14" s="5" t="s">
        <v>253</v>
      </c>
      <c r="L14" s="5" t="s">
        <v>264</v>
      </c>
      <c r="M14" s="5"/>
      <c r="N14" s="5"/>
      <c r="O14" s="5"/>
    </row>
    <row r="15" spans="1:15" ht="12.75">
      <c r="A15" s="5"/>
      <c r="B15" s="32"/>
      <c r="C15" s="5"/>
      <c r="D15" s="5"/>
      <c r="E15" s="5"/>
      <c r="F15" s="12" t="s">
        <v>277</v>
      </c>
      <c r="G15" s="5" t="s">
        <v>2</v>
      </c>
      <c r="H15" s="43">
        <f t="shared" si="0"/>
        <v>29.9180460776494</v>
      </c>
      <c r="I15" s="33"/>
      <c r="J15" s="5"/>
      <c r="K15" s="5" t="s">
        <v>249</v>
      </c>
      <c r="L15" s="5" t="s">
        <v>287</v>
      </c>
      <c r="M15" s="5"/>
      <c r="N15" s="5"/>
      <c r="O15" s="5"/>
    </row>
    <row r="16" spans="1:15" ht="12.75">
      <c r="A16" s="5"/>
      <c r="B16" s="32"/>
      <c r="C16" s="5"/>
      <c r="D16" s="5"/>
      <c r="E16" s="5"/>
      <c r="F16" s="12" t="s">
        <v>278</v>
      </c>
      <c r="G16" s="5" t="s">
        <v>2</v>
      </c>
      <c r="H16" s="44">
        <f t="shared" si="0"/>
        <v>248.211327123913</v>
      </c>
      <c r="I16" s="33"/>
      <c r="J16" s="5"/>
      <c r="K16" s="5" t="s">
        <v>320</v>
      </c>
      <c r="L16" s="5" t="s">
        <v>280</v>
      </c>
      <c r="M16" s="5"/>
      <c r="N16" s="5"/>
      <c r="O16" s="5"/>
    </row>
    <row r="17" spans="1:15" ht="12.75">
      <c r="A17" s="5"/>
      <c r="B17" s="32"/>
      <c r="C17" s="5"/>
      <c r="D17" s="5"/>
      <c r="E17" s="5"/>
      <c r="F17" s="12" t="s">
        <v>281</v>
      </c>
      <c r="G17" s="5" t="s">
        <v>2</v>
      </c>
      <c r="H17" s="93">
        <f t="shared" si="0"/>
        <v>200000</v>
      </c>
      <c r="I17" s="93"/>
      <c r="J17" s="5"/>
      <c r="K17" s="5" t="s">
        <v>320</v>
      </c>
      <c r="L17" s="5" t="s">
        <v>282</v>
      </c>
      <c r="M17" s="5"/>
      <c r="N17" s="5"/>
      <c r="O17" s="5"/>
    </row>
    <row r="18" spans="1:15" ht="12.75">
      <c r="A18" s="5"/>
      <c r="B18" s="32"/>
      <c r="C18" s="5"/>
      <c r="D18" s="5"/>
      <c r="E18" s="5"/>
      <c r="F18" s="12" t="s">
        <v>283</v>
      </c>
      <c r="G18" s="5" t="s">
        <v>2</v>
      </c>
      <c r="H18" s="88">
        <f t="shared" si="0"/>
        <v>3225.8</v>
      </c>
      <c r="I18" s="88"/>
      <c r="J18" s="5"/>
      <c r="K18" s="5" t="s">
        <v>268</v>
      </c>
      <c r="L18" s="5" t="s">
        <v>103</v>
      </c>
      <c r="M18" s="5"/>
      <c r="N18" s="5"/>
      <c r="O18" s="47"/>
    </row>
    <row r="19" spans="1:15" ht="12.75">
      <c r="A19" s="5"/>
      <c r="B19" s="32" t="s">
        <v>23</v>
      </c>
      <c r="C19" s="5"/>
      <c r="D19" s="5"/>
      <c r="E19" s="5"/>
      <c r="F19" s="12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32"/>
      <c r="C20" s="5"/>
      <c r="D20" s="5" t="s">
        <v>617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32"/>
      <c r="C21" s="5"/>
      <c r="D21" s="5"/>
      <c r="E21" s="5" t="str">
        <f>"%"&amp;Name&amp;"&amp;References"</f>
        <v>%E3.y&amp;References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5"/>
      <c r="B22" s="32"/>
      <c r="C22" s="5"/>
      <c r="D22" s="5"/>
      <c r="E22" s="5"/>
      <c r="F22" s="12" t="s">
        <v>171</v>
      </c>
      <c r="G22" s="5">
        <f>fm(N22,"unit",,,,,,TRUE)</f>
        <v>0</v>
      </c>
      <c r="H22" s="5"/>
      <c r="I22" s="5"/>
      <c r="J22" s="5">
        <f>fm(N22,"unit")</f>
        <v>0</v>
      </c>
      <c r="K22" s="5"/>
      <c r="L22" s="5"/>
      <c r="M22" s="5" t="s">
        <v>2</v>
      </c>
      <c r="N22" s="36">
        <f>K*L*unit("m","mm",Units)*unit("ft","in",Units)/ra</f>
        <v>50.13696402856306</v>
      </c>
      <c r="O22" s="5"/>
    </row>
    <row r="23" spans="1:15" ht="12.75">
      <c r="A23" s="5"/>
      <c r="B23" s="32"/>
      <c r="C23" s="5"/>
      <c r="D23" s="5"/>
      <c r="E23" s="5"/>
      <c r="F23" s="12" t="s">
        <v>173</v>
      </c>
      <c r="G23" s="5" t="str">
        <f>fn(N24)</f>
        <v>=PI()^2*E/(slender)^2</v>
      </c>
      <c r="H23" s="5"/>
      <c r="I23" s="5"/>
      <c r="J23" s="5"/>
      <c r="K23" s="5"/>
      <c r="L23" s="5"/>
      <c r="M23" s="5"/>
      <c r="N23" s="33"/>
      <c r="O23" s="5"/>
    </row>
    <row r="24" spans="1:15" ht="12.75">
      <c r="A24" s="5"/>
      <c r="B24" s="32"/>
      <c r="C24" s="5"/>
      <c r="D24" s="5"/>
      <c r="E24" s="5"/>
      <c r="F24" s="12"/>
      <c r="G24" s="5">
        <f>fm(N24)</f>
        <v>0</v>
      </c>
      <c r="H24" s="5"/>
      <c r="I24" s="5"/>
      <c r="J24" s="5"/>
      <c r="K24" s="5"/>
      <c r="L24" s="5"/>
      <c r="M24" s="5" t="s">
        <v>2</v>
      </c>
      <c r="N24" s="44">
        <f>PI()^2*E/(slender)^2</f>
        <v>785.2603628512273</v>
      </c>
      <c r="O24" s="5"/>
    </row>
    <row r="25" spans="1:15" ht="12.75">
      <c r="A25" s="5"/>
      <c r="B25" s="32"/>
      <c r="C25" s="5"/>
      <c r="D25" s="5" t="s">
        <v>177</v>
      </c>
      <c r="E25" s="5"/>
      <c r="F25" s="12"/>
      <c r="G25" s="5"/>
      <c r="H25" s="5"/>
      <c r="I25" s="5"/>
      <c r="J25" s="5"/>
      <c r="K25" s="5"/>
      <c r="L25" s="5"/>
      <c r="M25" s="5"/>
      <c r="N25" s="44"/>
      <c r="O25" s="5"/>
    </row>
    <row r="26" spans="1:15" ht="12.75">
      <c r="A26" s="5"/>
      <c r="B26" s="32"/>
      <c r="C26" s="5"/>
      <c r="D26" s="5"/>
      <c r="E26" s="5"/>
      <c r="F26" s="12" t="s">
        <v>284</v>
      </c>
      <c r="G26" s="5" t="str">
        <f>fn(N27)</f>
        <v>=0.658^(Fy/Fe)*Fy</v>
      </c>
      <c r="H26" s="5"/>
      <c r="I26" s="5"/>
      <c r="J26" s="5"/>
      <c r="K26" s="5"/>
      <c r="L26" s="5"/>
      <c r="M26" s="5"/>
      <c r="N26" s="33"/>
      <c r="O26" s="5"/>
    </row>
    <row r="27" spans="1:15" ht="12.75">
      <c r="A27" s="5"/>
      <c r="B27" s="32"/>
      <c r="C27" s="5"/>
      <c r="D27" s="5"/>
      <c r="E27" s="5"/>
      <c r="F27" s="12"/>
      <c r="G27" s="5">
        <f>fm(N27)</f>
        <v>0</v>
      </c>
      <c r="H27" s="5"/>
      <c r="I27" s="5"/>
      <c r="J27" s="5"/>
      <c r="K27" s="5"/>
      <c r="L27" s="5"/>
      <c r="M27" s="5" t="s">
        <v>2</v>
      </c>
      <c r="N27" s="44">
        <f>0.658^(Fy/Fe)*Fy</f>
        <v>217.45279520023465</v>
      </c>
      <c r="O27" s="5"/>
    </row>
    <row r="28" spans="1:15" ht="12.75">
      <c r="A28" s="5"/>
      <c r="B28" s="32"/>
      <c r="C28" s="5"/>
      <c r="D28" s="5"/>
      <c r="E28" s="5"/>
      <c r="F28" s="12" t="s">
        <v>285</v>
      </c>
      <c r="G28" s="5" t="str">
        <f>fn(N28)</f>
        <v>=0.877*Fe</v>
      </c>
      <c r="H28" s="5"/>
      <c r="I28" s="5"/>
      <c r="J28" s="5">
        <f>fm(N28)</f>
        <v>0</v>
      </c>
      <c r="K28" s="5"/>
      <c r="L28" s="5"/>
      <c r="M28" s="5" t="s">
        <v>2</v>
      </c>
      <c r="N28" s="44">
        <f>0.877*Fe</f>
        <v>688.6733382205264</v>
      </c>
      <c r="O28" s="5"/>
    </row>
    <row r="29" spans="1:15" ht="12.75">
      <c r="A29" s="5"/>
      <c r="B29" s="32"/>
      <c r="C29" s="5"/>
      <c r="D29" s="5"/>
      <c r="E29" s="5"/>
      <c r="F29" s="12"/>
      <c r="G29" s="5"/>
      <c r="H29" s="5"/>
      <c r="I29" s="5"/>
      <c r="J29" s="5"/>
      <c r="K29" s="5"/>
      <c r="L29" s="5"/>
      <c r="M29" s="5"/>
      <c r="N29" s="44"/>
      <c r="O29" s="5"/>
    </row>
    <row r="30" spans="1:15" ht="12.75">
      <c r="A30" s="5"/>
      <c r="B30" s="32"/>
      <c r="C30" s="5"/>
      <c r="D30" s="5"/>
      <c r="E30" s="5"/>
      <c r="F30" s="12" t="s">
        <v>286</v>
      </c>
      <c r="G30" s="5" t="str">
        <f>fn(N30)</f>
        <v>=Fe&gt;=0.44*Fy</v>
      </c>
      <c r="H30" s="5"/>
      <c r="I30" s="5"/>
      <c r="J30" s="5">
        <f>fm(N30)</f>
        <v>0</v>
      </c>
      <c r="K30" s="5"/>
      <c r="L30" s="5"/>
      <c r="M30" s="5" t="s">
        <v>2</v>
      </c>
      <c r="N30" s="44" t="b">
        <f>Fe&gt;=0.44*Fy</f>
        <v>1</v>
      </c>
      <c r="O30" s="5"/>
    </row>
    <row r="31" spans="1:15" ht="12.75">
      <c r="A31" s="5"/>
      <c r="B31" s="32"/>
      <c r="C31" s="5"/>
      <c r="D31" s="5"/>
      <c r="E31" s="64"/>
      <c r="F31" s="97" t="s">
        <v>189</v>
      </c>
      <c r="G31" s="64" t="s">
        <v>2</v>
      </c>
      <c r="H31" s="98">
        <f>IF(N30,N27,N28)</f>
        <v>217.45279520023465</v>
      </c>
      <c r="I31" s="5"/>
      <c r="J31" s="5"/>
      <c r="K31" s="5"/>
      <c r="L31" s="5"/>
      <c r="O31" s="5"/>
    </row>
    <row r="32" spans="1:15" ht="12.75">
      <c r="A32" s="5"/>
      <c r="B32" s="32"/>
      <c r="C32" s="5"/>
      <c r="D32" s="5"/>
      <c r="E32" s="5"/>
      <c r="F32" s="12" t="s">
        <v>190</v>
      </c>
      <c r="G32" s="5" t="s">
        <v>2</v>
      </c>
      <c r="H32" s="33">
        <v>0.9</v>
      </c>
      <c r="I32" s="5"/>
      <c r="J32" s="5"/>
      <c r="K32" s="5"/>
      <c r="L32" s="5"/>
      <c r="M32" s="5"/>
      <c r="N32" s="33"/>
      <c r="O32" s="5"/>
    </row>
    <row r="33" spans="1:15" ht="12.75">
      <c r="A33" s="5"/>
      <c r="B33" s="32"/>
      <c r="C33" s="5"/>
      <c r="D33" s="5"/>
      <c r="E33" s="5"/>
      <c r="F33" s="12" t="s">
        <v>191</v>
      </c>
      <c r="G33" s="5" t="str">
        <f>fn(N34,,21)</f>
        <v>=Φ_c*Fcr*Ag</v>
      </c>
      <c r="H33" s="5"/>
      <c r="I33" s="5"/>
      <c r="J33" s="5"/>
      <c r="K33" s="5"/>
      <c r="L33" s="5"/>
      <c r="M33" s="5"/>
      <c r="N33" s="33"/>
      <c r="O33" s="5"/>
    </row>
    <row r="34" spans="1:15" ht="12.75">
      <c r="A34" s="5"/>
      <c r="B34" s="32"/>
      <c r="C34" s="5"/>
      <c r="D34" s="5"/>
      <c r="E34" s="5"/>
      <c r="F34" s="5"/>
      <c r="G34" s="5">
        <f>fm(N34,"unit")</f>
        <v>0</v>
      </c>
      <c r="H34" s="5"/>
      <c r="I34" s="5"/>
      <c r="J34" s="5"/>
      <c r="K34" s="5"/>
      <c r="L34" s="5"/>
      <c r="M34" s="5" t="s">
        <v>2</v>
      </c>
      <c r="N34" s="37">
        <f>Φ_c*Fcr*Ag*unit("N","kN",Units)</f>
        <v>631.3133040812252</v>
      </c>
      <c r="O34" s="5"/>
    </row>
    <row r="35" spans="1:15" ht="12.75">
      <c r="A35" s="5"/>
      <c r="B35" s="32" t="s">
        <v>24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</sheetData>
  <sheetProtection/>
  <mergeCells count="2">
    <mergeCell ref="H17:I17"/>
    <mergeCell ref="H18:I18"/>
  </mergeCells>
  <dataValidations count="1">
    <dataValidation type="list" allowBlank="1" showErrorMessage="1" sqref="H12">
      <formula1>"Imperial,Metric"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Fluor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Cowper-Smith 1-403-537-4795</dc:creator>
  <cp:keywords/>
  <dc:description/>
  <cp:lastModifiedBy>Luke Cowper-Smith 1-403-537-4795</cp:lastModifiedBy>
  <cp:lastPrinted>2008-10-22T17:58:29Z</cp:lastPrinted>
  <dcterms:created xsi:type="dcterms:W3CDTF">2008-09-18T14:14:11Z</dcterms:created>
  <dcterms:modified xsi:type="dcterms:W3CDTF">2008-11-07T22:22:46Z</dcterms:modified>
  <cp:category/>
  <cp:version/>
  <cp:contentType/>
  <cp:contentStatus/>
</cp:coreProperties>
</file>