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40" yWindow="165" windowWidth="17235" windowHeight="12015" tabRatio="667" firstSheet="1" activeTab="2"/>
  </bookViews>
  <sheets>
    <sheet name="~#temp" sheetId="4" state="hidden" r:id="rId1"/>
    <sheet name="AISC Angle Database" sheetId="6" r:id="rId2"/>
    <sheet name="Steel Angle Lintel Design" sheetId="5" r:id="rId3"/>
    <sheet name="Readme" sheetId="13" r:id="rId4"/>
  </sheets>
  <externalReferences>
    <externalReference r:id="rId5"/>
  </externalReferences>
  <definedNames>
    <definedName name="_xlnm.Print_Area" localSheetId="2">'Steel Angle Lintel Design'!$B$1:$Q$248</definedName>
    <definedName name="_xlnm.Print_Titles" localSheetId="2">'Steel Angle Lintel Design'!$1:$5</definedName>
  </definedNames>
  <calcPr calcId="125725"/>
</workbook>
</file>

<file path=xl/calcChain.xml><?xml version="1.0" encoding="utf-8"?>
<calcChain xmlns="http://schemas.openxmlformats.org/spreadsheetml/2006/main">
  <c r="I81" i="5"/>
  <c r="D38" i="6"/>
  <c r="T117" i="5" l="1"/>
  <c r="U117"/>
  <c r="I88" l="1"/>
  <c r="I87"/>
  <c r="I82"/>
  <c r="AF189"/>
  <c r="T21" i="6" l="1"/>
  <c r="T22"/>
  <c r="T23"/>
  <c r="T24"/>
  <c r="T25"/>
  <c r="T26"/>
  <c r="T27"/>
  <c r="T28"/>
  <c r="T29"/>
  <c r="T30"/>
  <c r="T31"/>
  <c r="T32"/>
  <c r="T33"/>
  <c r="T34"/>
  <c r="T35"/>
  <c r="T36"/>
  <c r="T37"/>
  <c r="T38"/>
  <c r="T39"/>
  <c r="T40"/>
  <c r="T41"/>
  <c r="T42"/>
  <c r="T43"/>
  <c r="T44"/>
  <c r="T45"/>
  <c r="T46"/>
  <c r="T47"/>
  <c r="T48"/>
  <c r="T49"/>
  <c r="T50"/>
  <c r="T51"/>
  <c r="T52"/>
  <c r="T53"/>
  <c r="T54"/>
  <c r="T55"/>
  <c r="T56"/>
  <c r="T57"/>
  <c r="T58"/>
  <c r="T59"/>
  <c r="T60"/>
  <c r="T61"/>
  <c r="T62"/>
  <c r="T63"/>
  <c r="T64"/>
  <c r="T65"/>
  <c r="T66"/>
  <c r="T67"/>
  <c r="T68"/>
  <c r="T69"/>
  <c r="T70"/>
  <c r="T71"/>
  <c r="T72"/>
  <c r="T73"/>
  <c r="T74"/>
  <c r="T75"/>
  <c r="T76"/>
  <c r="T77"/>
  <c r="T78"/>
  <c r="T79"/>
  <c r="T80"/>
  <c r="T81"/>
  <c r="T82"/>
  <c r="T83"/>
  <c r="T84"/>
  <c r="T85"/>
  <c r="T86"/>
  <c r="T87"/>
  <c r="T88"/>
  <c r="T89"/>
  <c r="T90"/>
  <c r="T91"/>
  <c r="T92"/>
  <c r="T93"/>
  <c r="T94"/>
  <c r="T95"/>
  <c r="T96"/>
  <c r="T97"/>
  <c r="T98"/>
  <c r="T99"/>
  <c r="T100"/>
  <c r="T101"/>
  <c r="T102"/>
  <c r="T103"/>
  <c r="T104"/>
  <c r="T105"/>
  <c r="T106"/>
  <c r="T107"/>
  <c r="T108"/>
  <c r="T109"/>
  <c r="T110"/>
  <c r="T111"/>
  <c r="T112"/>
  <c r="T113"/>
  <c r="T114"/>
  <c r="T115"/>
  <c r="T116"/>
  <c r="T117"/>
  <c r="T118"/>
  <c r="T119"/>
  <c r="T120"/>
  <c r="T121"/>
  <c r="T122"/>
  <c r="T123"/>
  <c r="T124"/>
  <c r="T125"/>
  <c r="T126"/>
  <c r="T127"/>
  <c r="T128"/>
  <c r="T129"/>
  <c r="T130"/>
  <c r="T131"/>
  <c r="T132"/>
  <c r="T135"/>
  <c r="T136"/>
  <c r="T137"/>
  <c r="T138"/>
  <c r="T139"/>
  <c r="T140"/>
  <c r="T141"/>
  <c r="T142"/>
  <c r="T143"/>
  <c r="T144"/>
  <c r="T145"/>
  <c r="T146"/>
  <c r="T147"/>
  <c r="T148"/>
  <c r="T149"/>
  <c r="T150"/>
  <c r="T151"/>
  <c r="T152"/>
  <c r="T153"/>
  <c r="T154"/>
  <c r="T155"/>
  <c r="T156"/>
  <c r="T157"/>
  <c r="T158"/>
  <c r="T159"/>
  <c r="T160"/>
  <c r="T161"/>
  <c r="T162"/>
  <c r="T163"/>
  <c r="T164"/>
  <c r="T165"/>
  <c r="T166"/>
  <c r="T167"/>
  <c r="T168"/>
  <c r="T169"/>
  <c r="T170"/>
  <c r="T171"/>
  <c r="T172"/>
  <c r="T173"/>
  <c r="T174"/>
  <c r="T175"/>
  <c r="T176"/>
  <c r="T177"/>
  <c r="T178"/>
  <c r="T179"/>
  <c r="T180"/>
  <c r="T181"/>
  <c r="T182"/>
  <c r="T183"/>
  <c r="T184"/>
  <c r="T185"/>
  <c r="T186"/>
  <c r="T187"/>
  <c r="T188"/>
  <c r="T189"/>
  <c r="T190"/>
  <c r="T191"/>
  <c r="T192"/>
  <c r="T193"/>
  <c r="T194"/>
  <c r="T195"/>
  <c r="T196"/>
  <c r="T197"/>
  <c r="T198"/>
  <c r="T199"/>
  <c r="T200"/>
  <c r="T201"/>
  <c r="T202"/>
  <c r="T203"/>
  <c r="T204"/>
  <c r="T205"/>
  <c r="T206"/>
  <c r="T207"/>
  <c r="T208"/>
  <c r="T209"/>
  <c r="T210"/>
  <c r="T211"/>
  <c r="T212"/>
  <c r="T213"/>
  <c r="T214"/>
  <c r="T215"/>
  <c r="T216"/>
  <c r="T217"/>
  <c r="T218"/>
  <c r="T219"/>
  <c r="T220"/>
  <c r="T221"/>
  <c r="T222"/>
  <c r="T223"/>
  <c r="T224"/>
  <c r="T225"/>
  <c r="T226"/>
  <c r="T227"/>
  <c r="T228"/>
  <c r="T229"/>
  <c r="T230"/>
  <c r="T231"/>
  <c r="T232"/>
  <c r="T233"/>
  <c r="T234"/>
  <c r="T235"/>
  <c r="T236"/>
  <c r="T237"/>
  <c r="T238"/>
  <c r="T239"/>
  <c r="T240"/>
  <c r="T241"/>
  <c r="T242"/>
  <c r="T243"/>
  <c r="T244"/>
  <c r="T245"/>
  <c r="T246"/>
  <c r="T247"/>
  <c r="T248"/>
  <c r="T249"/>
  <c r="T250"/>
  <c r="T251"/>
  <c r="T252"/>
  <c r="T253"/>
  <c r="T254"/>
  <c r="T255"/>
  <c r="T256"/>
  <c r="T257"/>
  <c r="T258"/>
  <c r="T259"/>
  <c r="T260"/>
  <c r="T261"/>
  <c r="T262"/>
  <c r="T263"/>
  <c r="T264"/>
  <c r="T265"/>
  <c r="T266"/>
  <c r="T267"/>
  <c r="T268"/>
  <c r="T269"/>
  <c r="T270"/>
  <c r="T271"/>
  <c r="T272"/>
  <c r="T273"/>
  <c r="T274"/>
  <c r="T275"/>
  <c r="T276"/>
  <c r="T277"/>
  <c r="T278"/>
  <c r="T279"/>
  <c r="T280"/>
  <c r="T281"/>
  <c r="T282"/>
  <c r="T283"/>
  <c r="T284"/>
  <c r="T285"/>
  <c r="T286"/>
  <c r="T287"/>
  <c r="T288"/>
  <c r="T289"/>
  <c r="T290"/>
  <c r="T291"/>
  <c r="T292"/>
  <c r="T293"/>
  <c r="T294"/>
  <c r="T295"/>
  <c r="T296"/>
  <c r="T297"/>
  <c r="T298"/>
  <c r="T299"/>
  <c r="T300"/>
  <c r="T301"/>
  <c r="T302"/>
  <c r="T303"/>
  <c r="T304"/>
  <c r="T305"/>
  <c r="T306"/>
  <c r="T307"/>
  <c r="T308"/>
  <c r="T309"/>
  <c r="T310"/>
  <c r="T311"/>
  <c r="T312"/>
  <c r="T313"/>
  <c r="T314"/>
  <c r="T315"/>
  <c r="T316"/>
  <c r="T317"/>
  <c r="T318"/>
  <c r="T319"/>
  <c r="T320"/>
  <c r="T321"/>
  <c r="T322"/>
  <c r="T323"/>
  <c r="T324"/>
  <c r="T325"/>
  <c r="T326"/>
  <c r="T327"/>
  <c r="T328"/>
  <c r="T329"/>
  <c r="T330"/>
  <c r="T331"/>
  <c r="T332"/>
  <c r="T333"/>
  <c r="T20"/>
  <c r="C141" i="5"/>
  <c r="C142"/>
  <c r="C143"/>
  <c r="C144"/>
  <c r="C145"/>
  <c r="C146"/>
  <c r="C147"/>
  <c r="C148"/>
  <c r="C149"/>
  <c r="C150"/>
  <c r="C151"/>
  <c r="C152"/>
  <c r="C153"/>
  <c r="C154"/>
  <c r="C155"/>
  <c r="C156"/>
  <c r="C157"/>
  <c r="C158"/>
  <c r="C159"/>
  <c r="C140"/>
  <c r="F81" l="1"/>
  <c r="L88" l="1"/>
  <c r="L87"/>
  <c r="L82"/>
  <c r="L81"/>
  <c r="F88"/>
  <c r="F87"/>
  <c r="F82"/>
  <c r="O88" l="1"/>
  <c r="O87"/>
  <c r="O81"/>
  <c r="O82"/>
  <c r="I95" l="1"/>
  <c r="M96" s="1"/>
  <c r="I98"/>
  <c r="M95" l="1"/>
  <c r="U7" i="6" l="1"/>
  <c r="U8"/>
  <c r="U9"/>
  <c r="U10"/>
  <c r="U11"/>
  <c r="U12"/>
  <c r="U13"/>
  <c r="U14"/>
  <c r="U15"/>
  <c r="U16"/>
  <c r="U17"/>
  <c r="U18"/>
  <c r="U19"/>
  <c r="U20"/>
  <c r="U21"/>
  <c r="U22"/>
  <c r="U23"/>
  <c r="U24"/>
  <c r="U25"/>
  <c r="U26"/>
  <c r="U27"/>
  <c r="U28"/>
  <c r="U29"/>
  <c r="U30"/>
  <c r="U31"/>
  <c r="U32"/>
  <c r="U33"/>
  <c r="U34"/>
  <c r="U35"/>
  <c r="U36"/>
  <c r="U37"/>
  <c r="U38"/>
  <c r="U39"/>
  <c r="U40"/>
  <c r="U41"/>
  <c r="U42"/>
  <c r="U43"/>
  <c r="U44"/>
  <c r="U45"/>
  <c r="U46"/>
  <c r="U47"/>
  <c r="U48"/>
  <c r="U49"/>
  <c r="U50"/>
  <c r="U51"/>
  <c r="U52"/>
  <c r="U53"/>
  <c r="U54"/>
  <c r="U55"/>
  <c r="U56"/>
  <c r="U57"/>
  <c r="U58"/>
  <c r="U59"/>
  <c r="U60"/>
  <c r="U61"/>
  <c r="U62"/>
  <c r="U63"/>
  <c r="U64"/>
  <c r="U65"/>
  <c r="U66"/>
  <c r="U67"/>
  <c r="U68"/>
  <c r="U69"/>
  <c r="U70"/>
  <c r="U71"/>
  <c r="U72"/>
  <c r="U73"/>
  <c r="U74"/>
  <c r="U75"/>
  <c r="U76"/>
  <c r="U77"/>
  <c r="U78"/>
  <c r="U79"/>
  <c r="U80"/>
  <c r="U81"/>
  <c r="U82"/>
  <c r="U83"/>
  <c r="U84"/>
  <c r="U85"/>
  <c r="U86"/>
  <c r="U87"/>
  <c r="U88"/>
  <c r="U89"/>
  <c r="U90"/>
  <c r="U91"/>
  <c r="U92"/>
  <c r="U93"/>
  <c r="U94"/>
  <c r="U95"/>
  <c r="U96"/>
  <c r="U97"/>
  <c r="U98"/>
  <c r="U99"/>
  <c r="U100"/>
  <c r="U101"/>
  <c r="U102"/>
  <c r="U103"/>
  <c r="U104"/>
  <c r="U105"/>
  <c r="U106"/>
  <c r="U107"/>
  <c r="U108"/>
  <c r="U109"/>
  <c r="U110"/>
  <c r="U111"/>
  <c r="U112"/>
  <c r="U113"/>
  <c r="U114"/>
  <c r="U115"/>
  <c r="U116"/>
  <c r="U117"/>
  <c r="U118"/>
  <c r="U119"/>
  <c r="U120"/>
  <c r="U121"/>
  <c r="U122"/>
  <c r="U123"/>
  <c r="U124"/>
  <c r="U125"/>
  <c r="U126"/>
  <c r="U127"/>
  <c r="U128"/>
  <c r="U129"/>
  <c r="U130"/>
  <c r="U131"/>
  <c r="U132"/>
  <c r="U135"/>
  <c r="U136"/>
  <c r="U137"/>
  <c r="U138"/>
  <c r="U139"/>
  <c r="U140"/>
  <c r="U141"/>
  <c r="U142"/>
  <c r="U143"/>
  <c r="U144"/>
  <c r="U145"/>
  <c r="U146"/>
  <c r="U147"/>
  <c r="U148"/>
  <c r="U149"/>
  <c r="U150"/>
  <c r="U151"/>
  <c r="U152"/>
  <c r="U153"/>
  <c r="U154"/>
  <c r="U155"/>
  <c r="U156"/>
  <c r="U157"/>
  <c r="U158"/>
  <c r="U159"/>
  <c r="U160"/>
  <c r="U161"/>
  <c r="U162"/>
  <c r="U163"/>
  <c r="U164"/>
  <c r="U165"/>
  <c r="U166"/>
  <c r="U167"/>
  <c r="U168"/>
  <c r="U169"/>
  <c r="U170"/>
  <c r="U171"/>
  <c r="U172"/>
  <c r="U173"/>
  <c r="U174"/>
  <c r="U175"/>
  <c r="U176"/>
  <c r="U177"/>
  <c r="U178"/>
  <c r="U179"/>
  <c r="U180"/>
  <c r="U181"/>
  <c r="U182"/>
  <c r="U183"/>
  <c r="U184"/>
  <c r="U185"/>
  <c r="U186"/>
  <c r="U187"/>
  <c r="U188"/>
  <c r="U189"/>
  <c r="U190"/>
  <c r="U191"/>
  <c r="U192"/>
  <c r="U193"/>
  <c r="U194"/>
  <c r="U195"/>
  <c r="U196"/>
  <c r="U197"/>
  <c r="U198"/>
  <c r="U199"/>
  <c r="U200"/>
  <c r="U201"/>
  <c r="U202"/>
  <c r="U203"/>
  <c r="U204"/>
  <c r="U205"/>
  <c r="U206"/>
  <c r="U207"/>
  <c r="U208"/>
  <c r="U209"/>
  <c r="U210"/>
  <c r="U211"/>
  <c r="U212"/>
  <c r="U213"/>
  <c r="U214"/>
  <c r="U215"/>
  <c r="U216"/>
  <c r="U217"/>
  <c r="U218"/>
  <c r="U219"/>
  <c r="U220"/>
  <c r="U221"/>
  <c r="U222"/>
  <c r="U223"/>
  <c r="U224"/>
  <c r="U225"/>
  <c r="U226"/>
  <c r="U227"/>
  <c r="U228"/>
  <c r="U229"/>
  <c r="U230"/>
  <c r="U231"/>
  <c r="U232"/>
  <c r="U233"/>
  <c r="U234"/>
  <c r="U235"/>
  <c r="U236"/>
  <c r="U237"/>
  <c r="U238"/>
  <c r="U239"/>
  <c r="U240"/>
  <c r="U241"/>
  <c r="U242"/>
  <c r="U243"/>
  <c r="U244"/>
  <c r="U245"/>
  <c r="U246"/>
  <c r="U247"/>
  <c r="U248"/>
  <c r="U249"/>
  <c r="U250"/>
  <c r="U251"/>
  <c r="U252"/>
  <c r="U253"/>
  <c r="U254"/>
  <c r="U255"/>
  <c r="U256"/>
  <c r="U257"/>
  <c r="U258"/>
  <c r="U259"/>
  <c r="U260"/>
  <c r="U261"/>
  <c r="U262"/>
  <c r="U263"/>
  <c r="U264"/>
  <c r="U265"/>
  <c r="U266"/>
  <c r="U267"/>
  <c r="U268"/>
  <c r="U269"/>
  <c r="U270"/>
  <c r="U271"/>
  <c r="U272"/>
  <c r="U273"/>
  <c r="U274"/>
  <c r="U275"/>
  <c r="U276"/>
  <c r="U277"/>
  <c r="U278"/>
  <c r="U279"/>
  <c r="U280"/>
  <c r="U281"/>
  <c r="U282"/>
  <c r="U283"/>
  <c r="U284"/>
  <c r="U285"/>
  <c r="U286"/>
  <c r="U287"/>
  <c r="U288"/>
  <c r="U289"/>
  <c r="U290"/>
  <c r="U291"/>
  <c r="U292"/>
  <c r="U293"/>
  <c r="U294"/>
  <c r="U295"/>
  <c r="U296"/>
  <c r="U297"/>
  <c r="U298"/>
  <c r="U299"/>
  <c r="U300"/>
  <c r="U301"/>
  <c r="U302"/>
  <c r="U303"/>
  <c r="U304"/>
  <c r="U305"/>
  <c r="U306"/>
  <c r="U307"/>
  <c r="U308"/>
  <c r="U309"/>
  <c r="U310"/>
  <c r="U311"/>
  <c r="U312"/>
  <c r="U313"/>
  <c r="U314"/>
  <c r="U315"/>
  <c r="U316"/>
  <c r="U317"/>
  <c r="U318"/>
  <c r="U319"/>
  <c r="U320"/>
  <c r="U321"/>
  <c r="U322"/>
  <c r="U323"/>
  <c r="U324"/>
  <c r="U325"/>
  <c r="U326"/>
  <c r="U327"/>
  <c r="U328"/>
  <c r="U329"/>
  <c r="U330"/>
  <c r="U331"/>
  <c r="U332"/>
  <c r="U333"/>
  <c r="U6"/>
  <c r="T6"/>
  <c r="I266" i="5"/>
  <c r="J189"/>
  <c r="F180"/>
  <c r="N266"/>
  <c r="Z214" l="1"/>
  <c r="Z215"/>
  <c r="Z216"/>
  <c r="Z217"/>
  <c r="Z218"/>
  <c r="Z219"/>
  <c r="Z220"/>
  <c r="Z221"/>
  <c r="Z222"/>
  <c r="Z213"/>
  <c r="Y214"/>
  <c r="Y215"/>
  <c r="Y216"/>
  <c r="Y217"/>
  <c r="Y218"/>
  <c r="Y219"/>
  <c r="Y220"/>
  <c r="Y221"/>
  <c r="Y222"/>
  <c r="Y213"/>
  <c r="G216"/>
  <c r="G211"/>
  <c r="G210"/>
  <c r="T7" i="6" l="1"/>
  <c r="T8"/>
  <c r="T9"/>
  <c r="T10"/>
  <c r="T11"/>
  <c r="T12"/>
  <c r="T13"/>
  <c r="T14"/>
  <c r="T15"/>
  <c r="T16"/>
  <c r="T17"/>
  <c r="T18"/>
  <c r="T19"/>
  <c r="J184" i="5"/>
  <c r="K187"/>
  <c r="AJ12" l="1"/>
  <c r="M29" s="1"/>
  <c r="AJ11"/>
  <c r="M28" s="1"/>
  <c r="O89" s="1"/>
  <c r="AJ10"/>
  <c r="M27" s="1"/>
  <c r="AL12"/>
  <c r="AL11"/>
  <c r="AL10"/>
  <c r="M98" l="1"/>
  <c r="L89"/>
  <c r="F89"/>
  <c r="L83"/>
  <c r="F83"/>
  <c r="I83"/>
  <c r="O83"/>
  <c r="AM16"/>
  <c r="A133" i="6" l="1"/>
  <c r="A134"/>
  <c r="H7"/>
  <c r="A7" s="1"/>
  <c r="H9"/>
  <c r="A9" s="1"/>
  <c r="H11"/>
  <c r="A11" s="1"/>
  <c r="H13"/>
  <c r="A13" s="1"/>
  <c r="H15"/>
  <c r="A15" s="1"/>
  <c r="H17"/>
  <c r="A17" s="1"/>
  <c r="H19"/>
  <c r="A19" s="1"/>
  <c r="H21"/>
  <c r="A21" s="1"/>
  <c r="H23"/>
  <c r="A23" s="1"/>
  <c r="H25"/>
  <c r="A25" s="1"/>
  <c r="H27"/>
  <c r="A27" s="1"/>
  <c r="H29"/>
  <c r="A29" s="1"/>
  <c r="H31"/>
  <c r="A31" s="1"/>
  <c r="H33"/>
  <c r="A33" s="1"/>
  <c r="H35"/>
  <c r="A35" s="1"/>
  <c r="H37"/>
  <c r="A37" s="1"/>
  <c r="H39"/>
  <c r="A39" s="1"/>
  <c r="H41"/>
  <c r="A41" s="1"/>
  <c r="H43"/>
  <c r="A43" s="1"/>
  <c r="H45"/>
  <c r="A45" s="1"/>
  <c r="H47"/>
  <c r="A47" s="1"/>
  <c r="H49"/>
  <c r="A49" s="1"/>
  <c r="H51"/>
  <c r="A51" s="1"/>
  <c r="H53"/>
  <c r="A53" s="1"/>
  <c r="H55"/>
  <c r="A55" s="1"/>
  <c r="H57"/>
  <c r="A57" s="1"/>
  <c r="H59"/>
  <c r="A59" s="1"/>
  <c r="H61"/>
  <c r="A61" s="1"/>
  <c r="H63"/>
  <c r="A63" s="1"/>
  <c r="H65"/>
  <c r="A65" s="1"/>
  <c r="H67"/>
  <c r="A67" s="1"/>
  <c r="H69"/>
  <c r="A69" s="1"/>
  <c r="H71"/>
  <c r="A71" s="1"/>
  <c r="H73"/>
  <c r="A73" s="1"/>
  <c r="H75"/>
  <c r="A75" s="1"/>
  <c r="H77"/>
  <c r="A77" s="1"/>
  <c r="H79"/>
  <c r="A79" s="1"/>
  <c r="H81"/>
  <c r="A81" s="1"/>
  <c r="H83"/>
  <c r="A83" s="1"/>
  <c r="H85"/>
  <c r="A85" s="1"/>
  <c r="H87"/>
  <c r="A87" s="1"/>
  <c r="H89"/>
  <c r="A89" s="1"/>
  <c r="H91"/>
  <c r="A91" s="1"/>
  <c r="H93"/>
  <c r="A93" s="1"/>
  <c r="H95"/>
  <c r="A95" s="1"/>
  <c r="H97"/>
  <c r="A97" s="1"/>
  <c r="H99"/>
  <c r="A99" s="1"/>
  <c r="H101"/>
  <c r="A101" s="1"/>
  <c r="H103"/>
  <c r="A103" s="1"/>
  <c r="H105"/>
  <c r="A105" s="1"/>
  <c r="H107"/>
  <c r="A107" s="1"/>
  <c r="H109"/>
  <c r="A109" s="1"/>
  <c r="H111"/>
  <c r="A111" s="1"/>
  <c r="H113"/>
  <c r="A113" s="1"/>
  <c r="H115"/>
  <c r="A115" s="1"/>
  <c r="H117"/>
  <c r="A117" s="1"/>
  <c r="H119"/>
  <c r="A119" s="1"/>
  <c r="H121"/>
  <c r="A121" s="1"/>
  <c r="H123"/>
  <c r="A123" s="1"/>
  <c r="H125"/>
  <c r="A125" s="1"/>
  <c r="H127"/>
  <c r="A127" s="1"/>
  <c r="H129"/>
  <c r="A129" s="1"/>
  <c r="H131"/>
  <c r="A131" s="1"/>
  <c r="H136"/>
  <c r="A136" s="1"/>
  <c r="H138"/>
  <c r="A138" s="1"/>
  <c r="H140"/>
  <c r="A140" s="1"/>
  <c r="H142"/>
  <c r="A142" s="1"/>
  <c r="H144"/>
  <c r="A144" s="1"/>
  <c r="H146"/>
  <c r="A146" s="1"/>
  <c r="H148"/>
  <c r="A148" s="1"/>
  <c r="H150"/>
  <c r="A150" s="1"/>
  <c r="H152"/>
  <c r="A152" s="1"/>
  <c r="H154"/>
  <c r="A154" s="1"/>
  <c r="H156"/>
  <c r="A156" s="1"/>
  <c r="H158"/>
  <c r="A158" s="1"/>
  <c r="H160"/>
  <c r="A160" s="1"/>
  <c r="H162"/>
  <c r="A162" s="1"/>
  <c r="H164"/>
  <c r="A164" s="1"/>
  <c r="H166"/>
  <c r="A166" s="1"/>
  <c r="H168"/>
  <c r="A168" s="1"/>
  <c r="H170"/>
  <c r="A170" s="1"/>
  <c r="H172"/>
  <c r="A172" s="1"/>
  <c r="H174"/>
  <c r="A174" s="1"/>
  <c r="H176"/>
  <c r="A176" s="1"/>
  <c r="H178"/>
  <c r="A178" s="1"/>
  <c r="H8"/>
  <c r="A8" s="1"/>
  <c r="H10"/>
  <c r="A10" s="1"/>
  <c r="H12"/>
  <c r="A12" s="1"/>
  <c r="H14"/>
  <c r="A14" s="1"/>
  <c r="H16"/>
  <c r="A16" s="1"/>
  <c r="H18"/>
  <c r="A18" s="1"/>
  <c r="H20"/>
  <c r="A20" s="1"/>
  <c r="H22"/>
  <c r="A22" s="1"/>
  <c r="H24"/>
  <c r="A24" s="1"/>
  <c r="H26"/>
  <c r="A26" s="1"/>
  <c r="H28"/>
  <c r="A28" s="1"/>
  <c r="H30"/>
  <c r="A30" s="1"/>
  <c r="H32"/>
  <c r="A32" s="1"/>
  <c r="H34"/>
  <c r="A34" s="1"/>
  <c r="H36"/>
  <c r="A36" s="1"/>
  <c r="H38"/>
  <c r="A38" s="1"/>
  <c r="H40"/>
  <c r="A40" s="1"/>
  <c r="H42"/>
  <c r="A42" s="1"/>
  <c r="H44"/>
  <c r="A44" s="1"/>
  <c r="H46"/>
  <c r="A46" s="1"/>
  <c r="H48"/>
  <c r="A48" s="1"/>
  <c r="H50"/>
  <c r="A50" s="1"/>
  <c r="H52"/>
  <c r="A52" s="1"/>
  <c r="H54"/>
  <c r="A54" s="1"/>
  <c r="H56"/>
  <c r="A56" s="1"/>
  <c r="H58"/>
  <c r="A58" s="1"/>
  <c r="H60"/>
  <c r="A60" s="1"/>
  <c r="H62"/>
  <c r="A62" s="1"/>
  <c r="H64"/>
  <c r="A64" s="1"/>
  <c r="H66"/>
  <c r="A66" s="1"/>
  <c r="H68"/>
  <c r="A68" s="1"/>
  <c r="H70"/>
  <c r="A70" s="1"/>
  <c r="H72"/>
  <c r="A72" s="1"/>
  <c r="H74"/>
  <c r="A74" s="1"/>
  <c r="H76"/>
  <c r="A76" s="1"/>
  <c r="H78"/>
  <c r="A78" s="1"/>
  <c r="H80"/>
  <c r="A80" s="1"/>
  <c r="H82"/>
  <c r="A82" s="1"/>
  <c r="H84"/>
  <c r="A84" s="1"/>
  <c r="H86"/>
  <c r="A86" s="1"/>
  <c r="H88"/>
  <c r="A88" s="1"/>
  <c r="H90"/>
  <c r="A90" s="1"/>
  <c r="H92"/>
  <c r="A92" s="1"/>
  <c r="H94"/>
  <c r="A94" s="1"/>
  <c r="H96"/>
  <c r="A96" s="1"/>
  <c r="H98"/>
  <c r="A98" s="1"/>
  <c r="H100"/>
  <c r="A100" s="1"/>
  <c r="H102"/>
  <c r="A102" s="1"/>
  <c r="H104"/>
  <c r="A104" s="1"/>
  <c r="H106"/>
  <c r="A106" s="1"/>
  <c r="H108"/>
  <c r="A108" s="1"/>
  <c r="H110"/>
  <c r="A110" s="1"/>
  <c r="H112"/>
  <c r="A112" s="1"/>
  <c r="H114"/>
  <c r="A114" s="1"/>
  <c r="H116"/>
  <c r="A116" s="1"/>
  <c r="H118"/>
  <c r="A118" s="1"/>
  <c r="H120"/>
  <c r="A120" s="1"/>
  <c r="H122"/>
  <c r="A122" s="1"/>
  <c r="H124"/>
  <c r="A124" s="1"/>
  <c r="H126"/>
  <c r="A126" s="1"/>
  <c r="H128"/>
  <c r="A128" s="1"/>
  <c r="H130"/>
  <c r="A130" s="1"/>
  <c r="H132"/>
  <c r="A132" s="1"/>
  <c r="H137"/>
  <c r="A137" s="1"/>
  <c r="H139"/>
  <c r="A139" s="1"/>
  <c r="H141"/>
  <c r="A141" s="1"/>
  <c r="H143"/>
  <c r="A143" s="1"/>
  <c r="H145"/>
  <c r="A145" s="1"/>
  <c r="H147"/>
  <c r="A147" s="1"/>
  <c r="H149"/>
  <c r="A149" s="1"/>
  <c r="H151"/>
  <c r="A151" s="1"/>
  <c r="H153"/>
  <c r="A153" s="1"/>
  <c r="H155"/>
  <c r="A155" s="1"/>
  <c r="H157"/>
  <c r="A157" s="1"/>
  <c r="H159"/>
  <c r="A159" s="1"/>
  <c r="H161"/>
  <c r="A161" s="1"/>
  <c r="H163"/>
  <c r="A163" s="1"/>
  <c r="H165"/>
  <c r="A165" s="1"/>
  <c r="H167"/>
  <c r="A167" s="1"/>
  <c r="H169"/>
  <c r="A169" s="1"/>
  <c r="H171"/>
  <c r="A171" s="1"/>
  <c r="H173"/>
  <c r="A173" s="1"/>
  <c r="H175"/>
  <c r="A175" s="1"/>
  <c r="H177"/>
  <c r="A177" s="1"/>
  <c r="H135"/>
  <c r="A135" s="1"/>
  <c r="H332"/>
  <c r="A332" s="1"/>
  <c r="H330"/>
  <c r="A330" s="1"/>
  <c r="H328"/>
  <c r="A328" s="1"/>
  <c r="H326"/>
  <c r="A326" s="1"/>
  <c r="H324"/>
  <c r="A324" s="1"/>
  <c r="H322"/>
  <c r="A322" s="1"/>
  <c r="H320"/>
  <c r="A320" s="1"/>
  <c r="H318"/>
  <c r="A318" s="1"/>
  <c r="H316"/>
  <c r="A316" s="1"/>
  <c r="H314"/>
  <c r="A314" s="1"/>
  <c r="H312"/>
  <c r="A312" s="1"/>
  <c r="H310"/>
  <c r="A310" s="1"/>
  <c r="H308"/>
  <c r="A308" s="1"/>
  <c r="H306"/>
  <c r="A306" s="1"/>
  <c r="H304"/>
  <c r="A304" s="1"/>
  <c r="H302"/>
  <c r="A302" s="1"/>
  <c r="H300"/>
  <c r="A300" s="1"/>
  <c r="H298"/>
  <c r="A298" s="1"/>
  <c r="H296"/>
  <c r="A296" s="1"/>
  <c r="H294"/>
  <c r="A294" s="1"/>
  <c r="H292"/>
  <c r="A292" s="1"/>
  <c r="H290"/>
  <c r="A290" s="1"/>
  <c r="H288"/>
  <c r="A288" s="1"/>
  <c r="H286"/>
  <c r="A286" s="1"/>
  <c r="H284"/>
  <c r="A284" s="1"/>
  <c r="H282"/>
  <c r="A282" s="1"/>
  <c r="H280"/>
  <c r="A280" s="1"/>
  <c r="H278"/>
  <c r="A278" s="1"/>
  <c r="H276"/>
  <c r="A276" s="1"/>
  <c r="H274"/>
  <c r="A274" s="1"/>
  <c r="H272"/>
  <c r="A272" s="1"/>
  <c r="H270"/>
  <c r="A270" s="1"/>
  <c r="H268"/>
  <c r="A268" s="1"/>
  <c r="H266"/>
  <c r="A266" s="1"/>
  <c r="H264"/>
  <c r="A264" s="1"/>
  <c r="H262"/>
  <c r="A262" s="1"/>
  <c r="H260"/>
  <c r="A260" s="1"/>
  <c r="H258"/>
  <c r="A258" s="1"/>
  <c r="H256"/>
  <c r="A256" s="1"/>
  <c r="H254"/>
  <c r="A254" s="1"/>
  <c r="H252"/>
  <c r="A252" s="1"/>
  <c r="H250"/>
  <c r="A250" s="1"/>
  <c r="H248"/>
  <c r="A248" s="1"/>
  <c r="H246"/>
  <c r="A246" s="1"/>
  <c r="H244"/>
  <c r="A244" s="1"/>
  <c r="H242"/>
  <c r="A242" s="1"/>
  <c r="H240"/>
  <c r="A240" s="1"/>
  <c r="H238"/>
  <c r="A238" s="1"/>
  <c r="H236"/>
  <c r="A236" s="1"/>
  <c r="H234"/>
  <c r="A234" s="1"/>
  <c r="H232"/>
  <c r="A232" s="1"/>
  <c r="H230"/>
  <c r="A230" s="1"/>
  <c r="H228"/>
  <c r="A228" s="1"/>
  <c r="H226"/>
  <c r="A226" s="1"/>
  <c r="H224"/>
  <c r="A224" s="1"/>
  <c r="H222"/>
  <c r="A222" s="1"/>
  <c r="H220"/>
  <c r="A220" s="1"/>
  <c r="H218"/>
  <c r="A218" s="1"/>
  <c r="H216"/>
  <c r="A216" s="1"/>
  <c r="H214"/>
  <c r="A214" s="1"/>
  <c r="H212"/>
  <c r="A212" s="1"/>
  <c r="H210"/>
  <c r="A210" s="1"/>
  <c r="H208"/>
  <c r="A208" s="1"/>
  <c r="H206"/>
  <c r="A206" s="1"/>
  <c r="H204"/>
  <c r="A204" s="1"/>
  <c r="H202"/>
  <c r="A202" s="1"/>
  <c r="H200"/>
  <c r="A200" s="1"/>
  <c r="H198"/>
  <c r="A198" s="1"/>
  <c r="H196"/>
  <c r="A196" s="1"/>
  <c r="H194"/>
  <c r="A194" s="1"/>
  <c r="H192"/>
  <c r="A192" s="1"/>
  <c r="H190"/>
  <c r="A190" s="1"/>
  <c r="H188"/>
  <c r="A188" s="1"/>
  <c r="H186"/>
  <c r="A186" s="1"/>
  <c r="H184"/>
  <c r="A184" s="1"/>
  <c r="H182"/>
  <c r="A182" s="1"/>
  <c r="H180"/>
  <c r="A180" s="1"/>
  <c r="H6"/>
  <c r="A6" s="1"/>
  <c r="H333"/>
  <c r="A333" s="1"/>
  <c r="H331"/>
  <c r="A331" s="1"/>
  <c r="H329"/>
  <c r="A329" s="1"/>
  <c r="H327"/>
  <c r="A327" s="1"/>
  <c r="H325"/>
  <c r="A325" s="1"/>
  <c r="H323"/>
  <c r="A323" s="1"/>
  <c r="H321"/>
  <c r="A321" s="1"/>
  <c r="H319"/>
  <c r="A319" s="1"/>
  <c r="H317"/>
  <c r="A317" s="1"/>
  <c r="H315"/>
  <c r="A315" s="1"/>
  <c r="H313"/>
  <c r="A313" s="1"/>
  <c r="H311"/>
  <c r="A311" s="1"/>
  <c r="H309"/>
  <c r="A309" s="1"/>
  <c r="H307"/>
  <c r="A307" s="1"/>
  <c r="H305"/>
  <c r="A305" s="1"/>
  <c r="H303"/>
  <c r="A303" s="1"/>
  <c r="H301"/>
  <c r="A301" s="1"/>
  <c r="H299"/>
  <c r="A299" s="1"/>
  <c r="H297"/>
  <c r="A297" s="1"/>
  <c r="H295"/>
  <c r="A295" s="1"/>
  <c r="H293"/>
  <c r="A293" s="1"/>
  <c r="H291"/>
  <c r="A291" s="1"/>
  <c r="H289"/>
  <c r="A289" s="1"/>
  <c r="H287"/>
  <c r="A287" s="1"/>
  <c r="H285"/>
  <c r="A285" s="1"/>
  <c r="H283"/>
  <c r="A283" s="1"/>
  <c r="H281"/>
  <c r="A281" s="1"/>
  <c r="H279"/>
  <c r="A279" s="1"/>
  <c r="H277"/>
  <c r="A277" s="1"/>
  <c r="H275"/>
  <c r="A275" s="1"/>
  <c r="H273"/>
  <c r="A273" s="1"/>
  <c r="H271"/>
  <c r="A271" s="1"/>
  <c r="H269"/>
  <c r="A269" s="1"/>
  <c r="H267"/>
  <c r="A267" s="1"/>
  <c r="H265"/>
  <c r="A265" s="1"/>
  <c r="H263"/>
  <c r="A263" s="1"/>
  <c r="H261"/>
  <c r="A261" s="1"/>
  <c r="H259"/>
  <c r="A259" s="1"/>
  <c r="H257"/>
  <c r="A257" s="1"/>
  <c r="H255"/>
  <c r="A255" s="1"/>
  <c r="H253"/>
  <c r="A253" s="1"/>
  <c r="H251"/>
  <c r="A251" s="1"/>
  <c r="H249"/>
  <c r="A249" s="1"/>
  <c r="H247"/>
  <c r="A247" s="1"/>
  <c r="H245"/>
  <c r="A245" s="1"/>
  <c r="H243"/>
  <c r="A243" s="1"/>
  <c r="H241"/>
  <c r="A241" s="1"/>
  <c r="H239"/>
  <c r="A239" s="1"/>
  <c r="H237"/>
  <c r="A237" s="1"/>
  <c r="H235"/>
  <c r="A235" s="1"/>
  <c r="H233"/>
  <c r="A233" s="1"/>
  <c r="H231"/>
  <c r="A231" s="1"/>
  <c r="H229"/>
  <c r="A229" s="1"/>
  <c r="H227"/>
  <c r="A227" s="1"/>
  <c r="H225"/>
  <c r="A225" s="1"/>
  <c r="H223"/>
  <c r="A223" s="1"/>
  <c r="H221"/>
  <c r="A221" s="1"/>
  <c r="H219"/>
  <c r="A219" s="1"/>
  <c r="H217"/>
  <c r="A217" s="1"/>
  <c r="H215"/>
  <c r="A215" s="1"/>
  <c r="H213"/>
  <c r="A213" s="1"/>
  <c r="H211"/>
  <c r="A211" s="1"/>
  <c r="H209"/>
  <c r="A209" s="1"/>
  <c r="H207"/>
  <c r="A207" s="1"/>
  <c r="H205"/>
  <c r="A205" s="1"/>
  <c r="H203"/>
  <c r="A203" s="1"/>
  <c r="H201"/>
  <c r="A201" s="1"/>
  <c r="H199"/>
  <c r="A199" s="1"/>
  <c r="H197"/>
  <c r="A197" s="1"/>
  <c r="H195"/>
  <c r="A195" s="1"/>
  <c r="H193"/>
  <c r="A193" s="1"/>
  <c r="H191"/>
  <c r="A191" s="1"/>
  <c r="H189"/>
  <c r="A189" s="1"/>
  <c r="H187"/>
  <c r="A187" s="1"/>
  <c r="H185"/>
  <c r="A185" s="1"/>
  <c r="H183"/>
  <c r="A183" s="1"/>
  <c r="H181"/>
  <c r="A181" s="1"/>
  <c r="H179"/>
  <c r="A179" s="1"/>
  <c r="C221" l="1"/>
  <c r="C25"/>
  <c r="C47"/>
  <c r="C101"/>
  <c r="C197"/>
  <c r="C57"/>
  <c r="C52"/>
  <c r="C70"/>
  <c r="C9"/>
  <c r="C41"/>
  <c r="C85"/>
  <c r="C12"/>
  <c r="C15"/>
  <c r="C79"/>
  <c r="C8"/>
  <c r="C31"/>
  <c r="C63"/>
  <c r="C10"/>
  <c r="C129"/>
  <c r="C96"/>
  <c r="C30"/>
  <c r="C81"/>
  <c r="C148"/>
  <c r="C64"/>
  <c r="C167"/>
  <c r="C164"/>
  <c r="C40"/>
  <c r="C80"/>
  <c r="C128"/>
  <c r="C314"/>
  <c r="C282"/>
  <c r="C112"/>
  <c r="C151"/>
  <c r="C330"/>
  <c r="C298"/>
  <c r="C266"/>
  <c r="C234"/>
  <c r="C17"/>
  <c r="C33"/>
  <c r="C49"/>
  <c r="C69"/>
  <c r="C93"/>
  <c r="C117"/>
  <c r="C32"/>
  <c r="C7"/>
  <c r="C23"/>
  <c r="C39"/>
  <c r="C55"/>
  <c r="C71"/>
  <c r="C115"/>
  <c r="C22"/>
  <c r="C54"/>
  <c r="C65"/>
  <c r="C113"/>
  <c r="C140"/>
  <c r="C156"/>
  <c r="C172"/>
  <c r="C24"/>
  <c r="C48"/>
  <c r="C72"/>
  <c r="C88"/>
  <c r="C104"/>
  <c r="C120"/>
  <c r="C143"/>
  <c r="C159"/>
  <c r="C175"/>
  <c r="C322"/>
  <c r="C306"/>
  <c r="C290"/>
  <c r="C274"/>
  <c r="C250"/>
  <c r="C218"/>
  <c r="C95"/>
  <c r="C258"/>
  <c r="C242"/>
  <c r="C226"/>
  <c r="C83"/>
  <c r="C123"/>
  <c r="C142"/>
  <c r="C162"/>
  <c r="C13"/>
  <c r="C21"/>
  <c r="C29"/>
  <c r="C37"/>
  <c r="C45"/>
  <c r="C53"/>
  <c r="C61"/>
  <c r="C73"/>
  <c r="C89"/>
  <c r="C97"/>
  <c r="C105"/>
  <c r="C125"/>
  <c r="C20"/>
  <c r="C36"/>
  <c r="C60"/>
  <c r="C11"/>
  <c r="C19"/>
  <c r="C27"/>
  <c r="C35"/>
  <c r="C43"/>
  <c r="C51"/>
  <c r="C59"/>
  <c r="C67"/>
  <c r="C75"/>
  <c r="C107"/>
  <c r="C119"/>
  <c r="C18"/>
  <c r="C26"/>
  <c r="C38"/>
  <c r="C58"/>
  <c r="C132"/>
  <c r="C77"/>
  <c r="C109"/>
  <c r="C121"/>
  <c r="C136"/>
  <c r="C144"/>
  <c r="C152"/>
  <c r="C160"/>
  <c r="C168"/>
  <c r="C176"/>
  <c r="C16"/>
  <c r="C28"/>
  <c r="C44"/>
  <c r="C56"/>
  <c r="C68"/>
  <c r="C76"/>
  <c r="C84"/>
  <c r="C92"/>
  <c r="C100"/>
  <c r="C108"/>
  <c r="C116"/>
  <c r="C124"/>
  <c r="C139"/>
  <c r="C147"/>
  <c r="C155"/>
  <c r="C163"/>
  <c r="C171"/>
  <c r="C135"/>
  <c r="C326"/>
  <c r="C318"/>
  <c r="C310"/>
  <c r="C302"/>
  <c r="C294"/>
  <c r="C286"/>
  <c r="C278"/>
  <c r="C270"/>
  <c r="C262"/>
  <c r="C254"/>
  <c r="C246"/>
  <c r="C238"/>
  <c r="C230"/>
  <c r="C222"/>
  <c r="C214"/>
  <c r="C87"/>
  <c r="C103"/>
  <c r="C131"/>
  <c r="C150"/>
  <c r="C178"/>
  <c r="C91"/>
  <c r="C99"/>
  <c r="C111"/>
  <c r="C127"/>
  <c r="C138"/>
  <c r="C146"/>
  <c r="C154"/>
  <c r="C170"/>
  <c r="C34"/>
  <c r="C66"/>
  <c r="C158"/>
  <c r="C166"/>
  <c r="C174"/>
  <c r="C14"/>
  <c r="C46"/>
  <c r="C94"/>
  <c r="C141"/>
  <c r="C42"/>
  <c r="C50"/>
  <c r="C78"/>
  <c r="C110"/>
  <c r="C173"/>
  <c r="C86"/>
  <c r="C102"/>
  <c r="C122"/>
  <c r="C157"/>
  <c r="C324"/>
  <c r="C62"/>
  <c r="C74"/>
  <c r="C82"/>
  <c r="C90"/>
  <c r="C98"/>
  <c r="C106"/>
  <c r="C114"/>
  <c r="C130"/>
  <c r="C149"/>
  <c r="C165"/>
  <c r="C332"/>
  <c r="C308"/>
  <c r="C118"/>
  <c r="C126"/>
  <c r="C137"/>
  <c r="C145"/>
  <c r="C153"/>
  <c r="C161"/>
  <c r="C169"/>
  <c r="C177"/>
  <c r="C328"/>
  <c r="C316"/>
  <c r="C284"/>
  <c r="C320"/>
  <c r="C312"/>
  <c r="C300"/>
  <c r="C244"/>
  <c r="C304"/>
  <c r="C292"/>
  <c r="C276"/>
  <c r="C212"/>
  <c r="C296"/>
  <c r="C288"/>
  <c r="C280"/>
  <c r="C260"/>
  <c r="C228"/>
  <c r="C333"/>
  <c r="C268"/>
  <c r="C252"/>
  <c r="C236"/>
  <c r="C220"/>
  <c r="C204"/>
  <c r="C301"/>
  <c r="C192"/>
  <c r="C317"/>
  <c r="C269"/>
  <c r="C285"/>
  <c r="C237"/>
  <c r="C253"/>
  <c r="C181"/>
  <c r="C272"/>
  <c r="C264"/>
  <c r="C256"/>
  <c r="C248"/>
  <c r="C240"/>
  <c r="C232"/>
  <c r="C224"/>
  <c r="C216"/>
  <c r="C208"/>
  <c r="C200"/>
  <c r="C184"/>
  <c r="C325"/>
  <c r="C309"/>
  <c r="C293"/>
  <c r="C277"/>
  <c r="C261"/>
  <c r="C245"/>
  <c r="C229"/>
  <c r="C213"/>
  <c r="C187"/>
  <c r="C205"/>
  <c r="C189"/>
  <c r="C196"/>
  <c r="C188"/>
  <c r="C180"/>
  <c r="C329"/>
  <c r="C321"/>
  <c r="C313"/>
  <c r="C305"/>
  <c r="C297"/>
  <c r="C289"/>
  <c r="C281"/>
  <c r="C273"/>
  <c r="C265"/>
  <c r="C257"/>
  <c r="C249"/>
  <c r="C241"/>
  <c r="C233"/>
  <c r="C225"/>
  <c r="C217"/>
  <c r="C209"/>
  <c r="C201"/>
  <c r="C193"/>
  <c r="C185"/>
  <c r="C231"/>
  <c r="C215"/>
  <c r="C199"/>
  <c r="C183"/>
  <c r="C206"/>
  <c r="C198"/>
  <c r="C190"/>
  <c r="C182"/>
  <c r="C331"/>
  <c r="C323"/>
  <c r="C315"/>
  <c r="C307"/>
  <c r="C299"/>
  <c r="C291"/>
  <c r="C283"/>
  <c r="C275"/>
  <c r="C267"/>
  <c r="C259"/>
  <c r="C251"/>
  <c r="C243"/>
  <c r="C235"/>
  <c r="C219"/>
  <c r="C203"/>
  <c r="C133"/>
  <c r="C223"/>
  <c r="C207"/>
  <c r="C191"/>
  <c r="C210"/>
  <c r="C202"/>
  <c r="C194"/>
  <c r="C186"/>
  <c r="C327"/>
  <c r="C319"/>
  <c r="C311"/>
  <c r="C303"/>
  <c r="C295"/>
  <c r="C287"/>
  <c r="C279"/>
  <c r="C271"/>
  <c r="C263"/>
  <c r="C255"/>
  <c r="C247"/>
  <c r="C239"/>
  <c r="C227"/>
  <c r="C211"/>
  <c r="C195"/>
  <c r="C179"/>
  <c r="C6" l="1"/>
  <c r="B6"/>
  <c r="B7" l="1"/>
  <c r="B8" s="1"/>
  <c r="B9" s="1"/>
  <c r="B10" s="1"/>
  <c r="B11" s="1"/>
  <c r="B12" s="1"/>
  <c r="B13" s="1"/>
  <c r="B14" s="1"/>
  <c r="B15" s="1"/>
  <c r="B16" s="1"/>
  <c r="B17" s="1"/>
  <c r="B18" s="1"/>
  <c r="B19" s="1"/>
  <c r="B20" s="1"/>
  <c r="B21" s="1"/>
  <c r="B22" s="1"/>
  <c r="B23" s="1"/>
  <c r="B24" s="1"/>
  <c r="B25" s="1"/>
  <c r="B26" s="1"/>
  <c r="B27" s="1"/>
  <c r="B28" s="1"/>
  <c r="B29" s="1"/>
  <c r="B30" s="1"/>
  <c r="B31" s="1"/>
  <c r="B32" s="1"/>
  <c r="B33" s="1"/>
  <c r="B34" s="1"/>
  <c r="B35" s="1"/>
  <c r="B36" s="1"/>
  <c r="B37" s="1"/>
  <c r="B38" s="1"/>
  <c r="B39" s="1"/>
  <c r="B40" s="1"/>
  <c r="B41" s="1"/>
  <c r="B42" s="1"/>
  <c r="B43" s="1"/>
  <c r="B44" s="1"/>
  <c r="B45" s="1"/>
  <c r="B46" s="1"/>
  <c r="B47" s="1"/>
  <c r="B48" s="1"/>
  <c r="B49" s="1"/>
  <c r="B50" s="1"/>
  <c r="B51" s="1"/>
  <c r="B52" s="1"/>
  <c r="B53" s="1"/>
  <c r="B54" s="1"/>
  <c r="B55" s="1"/>
  <c r="B56" s="1"/>
  <c r="B57" s="1"/>
  <c r="B58" s="1"/>
  <c r="B59" s="1"/>
  <c r="B60" s="1"/>
  <c r="B61" s="1"/>
  <c r="B62" s="1"/>
  <c r="B63" s="1"/>
  <c r="B64" s="1"/>
  <c r="B65" s="1"/>
  <c r="B66" s="1"/>
  <c r="B67" s="1"/>
  <c r="B68" s="1"/>
  <c r="B69" s="1"/>
  <c r="B70" s="1"/>
  <c r="B71" s="1"/>
  <c r="B72" s="1"/>
  <c r="B73" s="1"/>
  <c r="B74" s="1"/>
  <c r="B75" s="1"/>
  <c r="B76" s="1"/>
  <c r="B77" s="1"/>
  <c r="B78" s="1"/>
  <c r="B79" s="1"/>
  <c r="B80" s="1"/>
  <c r="B81" s="1"/>
  <c r="B82" s="1"/>
  <c r="B83" s="1"/>
  <c r="B84" s="1"/>
  <c r="B85" s="1"/>
  <c r="B86" s="1"/>
  <c r="B87" s="1"/>
  <c r="B88" s="1"/>
  <c r="B89" s="1"/>
  <c r="B90" s="1"/>
  <c r="B91" s="1"/>
  <c r="B92" s="1"/>
  <c r="B93" s="1"/>
  <c r="B94" s="1"/>
  <c r="B95" s="1"/>
  <c r="B96" s="1"/>
  <c r="B97" s="1"/>
  <c r="B98" s="1"/>
  <c r="B99" s="1"/>
  <c r="B100" s="1"/>
  <c r="B101" s="1"/>
  <c r="B102" s="1"/>
  <c r="B103" s="1"/>
  <c r="B104" s="1"/>
  <c r="B105" s="1"/>
  <c r="B106" s="1"/>
  <c r="B107" s="1"/>
  <c r="B108" s="1"/>
  <c r="B109" s="1"/>
  <c r="B110" s="1"/>
  <c r="B111" s="1"/>
  <c r="B112" s="1"/>
  <c r="B113" s="1"/>
  <c r="B114" s="1"/>
  <c r="B115" s="1"/>
  <c r="B116" s="1"/>
  <c r="B117" s="1"/>
  <c r="B118" s="1"/>
  <c r="B119" s="1"/>
  <c r="B120" s="1"/>
  <c r="B121" s="1"/>
  <c r="B122" s="1"/>
  <c r="B123" s="1"/>
  <c r="B124" s="1"/>
  <c r="B125" s="1"/>
  <c r="B126" s="1"/>
  <c r="B127" s="1"/>
  <c r="B128" s="1"/>
  <c r="B129" s="1"/>
  <c r="B130" s="1"/>
  <c r="B131" s="1"/>
  <c r="B132" s="1"/>
  <c r="B133" s="1"/>
  <c r="B135" s="1"/>
  <c r="B136" s="1"/>
  <c r="B137" s="1"/>
  <c r="B138" s="1"/>
  <c r="B139" s="1"/>
  <c r="B140" s="1"/>
  <c r="B141" s="1"/>
  <c r="B142" s="1"/>
  <c r="B143" s="1"/>
  <c r="B144" s="1"/>
  <c r="B145" s="1"/>
  <c r="B146" s="1"/>
  <c r="B147" s="1"/>
  <c r="B148" s="1"/>
  <c r="B149" s="1"/>
  <c r="B150" s="1"/>
  <c r="B151" s="1"/>
  <c r="B152" s="1"/>
  <c r="B153" s="1"/>
  <c r="B154" s="1"/>
  <c r="B155" s="1"/>
  <c r="B156" s="1"/>
  <c r="B157" s="1"/>
  <c r="B158" s="1"/>
  <c r="B159" s="1"/>
  <c r="B160" s="1"/>
  <c r="B161" s="1"/>
  <c r="B162" s="1"/>
  <c r="B163" s="1"/>
  <c r="B164" s="1"/>
  <c r="B165" s="1"/>
  <c r="B166" s="1"/>
  <c r="B167" s="1"/>
  <c r="B168" s="1"/>
  <c r="B169" s="1"/>
  <c r="B170" s="1"/>
  <c r="B171" s="1"/>
  <c r="B172" s="1"/>
  <c r="B173" s="1"/>
  <c r="B174" s="1"/>
  <c r="B175" s="1"/>
  <c r="B176" s="1"/>
  <c r="B177" s="1"/>
  <c r="B178" s="1"/>
  <c r="B179" s="1"/>
  <c r="B180" s="1"/>
  <c r="B181" s="1"/>
  <c r="B182" s="1"/>
  <c r="B183" s="1"/>
  <c r="B184" s="1"/>
  <c r="B185" s="1"/>
  <c r="B186" s="1"/>
  <c r="B187" s="1"/>
  <c r="B188" s="1"/>
  <c r="B189" s="1"/>
  <c r="B190" s="1"/>
  <c r="B191" s="1"/>
  <c r="B192" s="1"/>
  <c r="B193" s="1"/>
  <c r="B194" s="1"/>
  <c r="B195" s="1"/>
  <c r="B196" s="1"/>
  <c r="B197" s="1"/>
  <c r="B198" s="1"/>
  <c r="B199" s="1"/>
  <c r="B200" s="1"/>
  <c r="B201" s="1"/>
  <c r="B202" s="1"/>
  <c r="B203" s="1"/>
  <c r="B204" s="1"/>
  <c r="B205" s="1"/>
  <c r="B206" s="1"/>
  <c r="B207" s="1"/>
  <c r="B208" s="1"/>
  <c r="B209" s="1"/>
  <c r="B210" s="1"/>
  <c r="B211" s="1"/>
  <c r="B212" s="1"/>
  <c r="B213" s="1"/>
  <c r="B214" s="1"/>
  <c r="B215" s="1"/>
  <c r="B216" s="1"/>
  <c r="B217" s="1"/>
  <c r="B218" s="1"/>
  <c r="B219" s="1"/>
  <c r="B220" s="1"/>
  <c r="B221" s="1"/>
  <c r="B222" s="1"/>
  <c r="B223" s="1"/>
  <c r="B224" s="1"/>
  <c r="B225" s="1"/>
  <c r="B226" s="1"/>
  <c r="B227" s="1"/>
  <c r="B228" s="1"/>
  <c r="B229" s="1"/>
  <c r="B230" s="1"/>
  <c r="B231" s="1"/>
  <c r="B232" s="1"/>
  <c r="B233" s="1"/>
  <c r="B234" s="1"/>
  <c r="B235" s="1"/>
  <c r="B236" s="1"/>
  <c r="B237" s="1"/>
  <c r="B238" s="1"/>
  <c r="B239" s="1"/>
  <c r="B240" s="1"/>
  <c r="B241" s="1"/>
  <c r="B242" s="1"/>
  <c r="B243" s="1"/>
  <c r="B244" s="1"/>
  <c r="B245" s="1"/>
  <c r="B246" s="1"/>
  <c r="B247" s="1"/>
  <c r="B248" s="1"/>
  <c r="B249" s="1"/>
  <c r="B250" s="1"/>
  <c r="B251" s="1"/>
  <c r="B252" s="1"/>
  <c r="B253" s="1"/>
  <c r="B254" s="1"/>
  <c r="B255" s="1"/>
  <c r="B256" s="1"/>
  <c r="B257" s="1"/>
  <c r="B258" s="1"/>
  <c r="B259" s="1"/>
  <c r="B260" s="1"/>
  <c r="B261" s="1"/>
  <c r="B262" s="1"/>
  <c r="B263" s="1"/>
  <c r="B264" s="1"/>
  <c r="B265" s="1"/>
  <c r="B266" s="1"/>
  <c r="B267" s="1"/>
  <c r="B268" s="1"/>
  <c r="B269" s="1"/>
  <c r="B270" s="1"/>
  <c r="B271" s="1"/>
  <c r="B272" s="1"/>
  <c r="B273" s="1"/>
  <c r="B274" s="1"/>
  <c r="B275" s="1"/>
  <c r="B276" s="1"/>
  <c r="B277" s="1"/>
  <c r="B278" s="1"/>
  <c r="B279" s="1"/>
  <c r="B280" s="1"/>
  <c r="B281" s="1"/>
  <c r="B282" s="1"/>
  <c r="B283" s="1"/>
  <c r="B284" s="1"/>
  <c r="B285" s="1"/>
  <c r="B286" s="1"/>
  <c r="B287" s="1"/>
  <c r="B288" s="1"/>
  <c r="B289" s="1"/>
  <c r="B290" s="1"/>
  <c r="B291" s="1"/>
  <c r="B292" s="1"/>
  <c r="B293" s="1"/>
  <c r="B294" s="1"/>
  <c r="B295" s="1"/>
  <c r="B296" s="1"/>
  <c r="B297" s="1"/>
  <c r="B298" s="1"/>
  <c r="B299" s="1"/>
  <c r="B300" s="1"/>
  <c r="B301" s="1"/>
  <c r="B302" s="1"/>
  <c r="B303" s="1"/>
  <c r="B304" s="1"/>
  <c r="B305" s="1"/>
  <c r="B306" s="1"/>
  <c r="B307" s="1"/>
  <c r="B308" s="1"/>
  <c r="B309" s="1"/>
  <c r="B310" s="1"/>
  <c r="B311" s="1"/>
  <c r="B312" s="1"/>
  <c r="B313" s="1"/>
  <c r="B314" s="1"/>
  <c r="B315" s="1"/>
  <c r="B316" s="1"/>
  <c r="B317" s="1"/>
  <c r="B318" s="1"/>
  <c r="B319" s="1"/>
  <c r="B320" s="1"/>
  <c r="B321" s="1"/>
  <c r="B322" s="1"/>
  <c r="B323" s="1"/>
  <c r="B324" s="1"/>
  <c r="B325" s="1"/>
  <c r="B326" s="1"/>
  <c r="B327" s="1"/>
  <c r="B328" s="1"/>
  <c r="B329" s="1"/>
  <c r="B330" s="1"/>
  <c r="B331" s="1"/>
  <c r="B332" s="1"/>
  <c r="B333" s="1"/>
  <c r="D65"/>
  <c r="D20"/>
  <c r="D314"/>
  <c r="D131"/>
  <c r="D41"/>
  <c r="D168"/>
  <c r="D330"/>
  <c r="D58"/>
  <c r="D322"/>
  <c r="D60"/>
  <c r="D77"/>
  <c r="D36"/>
  <c r="D282"/>
  <c r="D26"/>
  <c r="D57"/>
  <c r="D12"/>
  <c r="D298"/>
  <c r="D166"/>
  <c r="D175"/>
  <c r="D194"/>
  <c r="D83"/>
  <c r="D332"/>
  <c r="D281"/>
  <c r="D260"/>
  <c r="D145"/>
  <c r="D78"/>
  <c r="D154"/>
  <c r="D87"/>
  <c r="D235"/>
  <c r="D299"/>
  <c r="D198"/>
  <c r="D74"/>
  <c r="D212"/>
  <c r="D102"/>
  <c r="D111"/>
  <c r="D275"/>
  <c r="D222"/>
  <c r="D71"/>
  <c r="D29"/>
  <c r="D97"/>
  <c r="D164"/>
  <c r="D64"/>
  <c r="D128"/>
  <c r="D318"/>
  <c r="D254"/>
  <c r="D319"/>
  <c r="D191"/>
  <c r="D123"/>
  <c r="D82"/>
  <c r="D252"/>
  <c r="D273"/>
  <c r="D320"/>
  <c r="D256"/>
  <c r="D192"/>
  <c r="D285"/>
  <c r="D221"/>
  <c r="D181"/>
  <c r="D141"/>
  <c r="D244"/>
  <c r="D86"/>
  <c r="D95"/>
  <c r="D291"/>
  <c r="D15"/>
  <c r="D79"/>
  <c r="D37"/>
  <c r="D105"/>
  <c r="D172"/>
  <c r="D72"/>
  <c r="D139"/>
  <c r="D310"/>
  <c r="D246"/>
  <c r="D303"/>
  <c r="D11"/>
  <c r="D142"/>
  <c r="D98"/>
  <c r="D220"/>
  <c r="D257"/>
  <c r="D312"/>
  <c r="D248"/>
  <c r="D184"/>
  <c r="D277"/>
  <c r="D197"/>
  <c r="D207"/>
  <c r="D66"/>
  <c r="D289"/>
  <c r="D328"/>
  <c r="D200"/>
  <c r="D293"/>
  <c r="D309"/>
  <c r="D93"/>
  <c r="D263"/>
  <c r="D325"/>
  <c r="D33"/>
  <c r="D160"/>
  <c r="D132"/>
  <c r="D183"/>
  <c r="D9"/>
  <c r="D136"/>
  <c r="D116"/>
  <c r="D99"/>
  <c r="D159"/>
  <c r="D226"/>
  <c r="D49"/>
  <c r="D176"/>
  <c r="D167"/>
  <c r="D67"/>
  <c r="D25"/>
  <c r="D152"/>
  <c r="D151"/>
  <c r="D35"/>
  <c r="D143"/>
  <c r="D242"/>
  <c r="D19"/>
  <c r="D106"/>
  <c r="D217"/>
  <c r="D228"/>
  <c r="D161"/>
  <c r="D94"/>
  <c r="D170"/>
  <c r="D103"/>
  <c r="D219"/>
  <c r="D283"/>
  <c r="D182"/>
  <c r="D115"/>
  <c r="D305"/>
  <c r="D137"/>
  <c r="D146"/>
  <c r="D243"/>
  <c r="D206"/>
  <c r="D55"/>
  <c r="D13"/>
  <c r="D81"/>
  <c r="D148"/>
  <c r="D48"/>
  <c r="D112"/>
  <c r="D135"/>
  <c r="D270"/>
  <c r="D186"/>
  <c r="D223"/>
  <c r="D91"/>
  <c r="D50"/>
  <c r="D316"/>
  <c r="D193"/>
  <c r="D173"/>
  <c r="D272"/>
  <c r="D208"/>
  <c r="D301"/>
  <c r="D237"/>
  <c r="D213"/>
  <c r="D10"/>
  <c r="D180"/>
  <c r="D118"/>
  <c r="D127"/>
  <c r="D259"/>
  <c r="D214"/>
  <c r="D63"/>
  <c r="D21"/>
  <c r="D89"/>
  <c r="D156"/>
  <c r="D56"/>
  <c r="D120"/>
  <c r="D326"/>
  <c r="D262"/>
  <c r="D6"/>
  <c r="D107"/>
  <c r="D284"/>
  <c r="D264"/>
  <c r="D229"/>
  <c r="D52"/>
  <c r="D300"/>
  <c r="D233"/>
  <c r="D68"/>
  <c r="D157"/>
  <c r="D234"/>
  <c r="D306"/>
  <c r="D150"/>
  <c r="D321"/>
  <c r="D126"/>
  <c r="D138"/>
  <c r="D251"/>
  <c r="D327"/>
  <c r="D276"/>
  <c r="D7"/>
  <c r="D23"/>
  <c r="D45"/>
  <c r="D8"/>
  <c r="D147"/>
  <c r="D238"/>
  <c r="D27"/>
  <c r="D114"/>
  <c r="D304"/>
  <c r="D333"/>
  <c r="D205"/>
  <c r="D308"/>
  <c r="D195"/>
  <c r="D323"/>
  <c r="D30"/>
  <c r="D121"/>
  <c r="D88"/>
  <c r="D294"/>
  <c r="D271"/>
  <c r="D174"/>
  <c r="D313"/>
  <c r="D296"/>
  <c r="D261"/>
  <c r="D329"/>
  <c r="D125"/>
  <c r="D84"/>
  <c r="D311"/>
  <c r="D236"/>
  <c r="D101"/>
  <c r="D76"/>
  <c r="D215"/>
  <c r="D124"/>
  <c r="D258"/>
  <c r="D17"/>
  <c r="D144"/>
  <c r="D100"/>
  <c r="D247"/>
  <c r="D297"/>
  <c r="D117"/>
  <c r="D92"/>
  <c r="D279"/>
  <c r="D108"/>
  <c r="D274"/>
  <c r="D231"/>
  <c r="D42"/>
  <c r="D32"/>
  <c r="D196"/>
  <c r="D324"/>
  <c r="D110"/>
  <c r="D14"/>
  <c r="D119"/>
  <c r="D203"/>
  <c r="D267"/>
  <c r="D331"/>
  <c r="D199"/>
  <c r="D185"/>
  <c r="D169"/>
  <c r="D178"/>
  <c r="D211"/>
  <c r="D133"/>
  <c r="D39"/>
  <c r="D54"/>
  <c r="D61"/>
  <c r="D129"/>
  <c r="D24"/>
  <c r="D96"/>
  <c r="D163"/>
  <c r="D286"/>
  <c r="D218"/>
  <c r="D255"/>
  <c r="D59"/>
  <c r="D18"/>
  <c r="D149"/>
  <c r="D265"/>
  <c r="D209"/>
  <c r="D288"/>
  <c r="D224"/>
  <c r="D317"/>
  <c r="D253"/>
  <c r="D189"/>
  <c r="D51"/>
  <c r="D249"/>
  <c r="D153"/>
  <c r="D162"/>
  <c r="D227"/>
  <c r="D190"/>
  <c r="D47"/>
  <c r="D70"/>
  <c r="D73"/>
  <c r="D140"/>
  <c r="D40"/>
  <c r="D104"/>
  <c r="D171"/>
  <c r="D278"/>
  <c r="D202"/>
  <c r="D239"/>
  <c r="D75"/>
  <c r="D34"/>
  <c r="D165"/>
  <c r="D201"/>
  <c r="D179"/>
  <c r="D280"/>
  <c r="D216"/>
  <c r="D245"/>
  <c r="D250"/>
  <c r="D90"/>
  <c r="D177"/>
  <c r="D28"/>
  <c r="D266"/>
  <c r="D290"/>
  <c r="D109"/>
  <c r="D210"/>
  <c r="D85"/>
  <c r="D44"/>
  <c r="D122"/>
  <c r="D295"/>
  <c r="D204"/>
  <c r="D292"/>
  <c r="D46"/>
  <c r="D187"/>
  <c r="D315"/>
  <c r="D268"/>
  <c r="D62"/>
  <c r="D307"/>
  <c r="D22"/>
  <c r="D113"/>
  <c r="D80"/>
  <c r="D302"/>
  <c r="D287"/>
  <c r="D158"/>
  <c r="D188"/>
  <c r="D241"/>
  <c r="D240"/>
  <c r="D269"/>
  <c r="D69"/>
  <c r="D31"/>
  <c r="D53"/>
  <c r="D16"/>
  <c r="D155"/>
  <c r="D230"/>
  <c r="D43"/>
  <c r="D130"/>
  <c r="D225"/>
  <c r="D232"/>
  <c r="B335" l="1"/>
  <c r="D335"/>
  <c r="E325" s="1"/>
  <c r="F325" s="1"/>
  <c r="E6" l="1"/>
  <c r="E120"/>
  <c r="F120" s="1"/>
  <c r="E174"/>
  <c r="F174" s="1"/>
  <c r="E296"/>
  <c r="F296" s="1"/>
  <c r="E326"/>
  <c r="F326" s="1"/>
  <c r="E284"/>
  <c r="F284" s="1"/>
  <c r="E109"/>
  <c r="F109" s="1"/>
  <c r="E151"/>
  <c r="F151" s="1"/>
  <c r="E95"/>
  <c r="F95" s="1"/>
  <c r="E323"/>
  <c r="F323" s="1"/>
  <c r="E308"/>
  <c r="F308" s="1"/>
  <c r="E20"/>
  <c r="F20" s="1"/>
  <c r="E213"/>
  <c r="F213" s="1"/>
  <c r="E54"/>
  <c r="F54" s="1"/>
  <c r="E302"/>
  <c r="F302" s="1"/>
  <c r="E115"/>
  <c r="F115" s="1"/>
  <c r="E265"/>
  <c r="F265" s="1"/>
  <c r="E84"/>
  <c r="F84" s="1"/>
  <c r="E77"/>
  <c r="F77" s="1"/>
  <c r="E245"/>
  <c r="F245" s="1"/>
  <c r="E162"/>
  <c r="F162" s="1"/>
  <c r="E279"/>
  <c r="F279" s="1"/>
  <c r="E147"/>
  <c r="F147" s="1"/>
  <c r="E180"/>
  <c r="F180" s="1"/>
  <c r="E195"/>
  <c r="F195" s="1"/>
  <c r="E235"/>
  <c r="F235" s="1"/>
  <c r="E154"/>
  <c r="F154" s="1"/>
  <c r="E160"/>
  <c r="F160" s="1"/>
  <c r="E116"/>
  <c r="F116" s="1"/>
  <c r="E266"/>
  <c r="F266" s="1"/>
  <c r="E61"/>
  <c r="F61" s="1"/>
  <c r="E197"/>
  <c r="F197" s="1"/>
  <c r="E86"/>
  <c r="F86" s="1"/>
  <c r="E127"/>
  <c r="F127" s="1"/>
  <c r="E183"/>
  <c r="F183" s="1"/>
  <c r="E311"/>
  <c r="F311" s="1"/>
  <c r="E270"/>
  <c r="F270" s="1"/>
  <c r="E112"/>
  <c r="F112" s="1"/>
  <c r="E41"/>
  <c r="F41" s="1"/>
  <c r="E244"/>
  <c r="F244" s="1"/>
  <c r="E10"/>
  <c r="F10" s="1"/>
  <c r="E259"/>
  <c r="F259" s="1"/>
  <c r="E60"/>
  <c r="F60" s="1"/>
  <c r="E34"/>
  <c r="F34" s="1"/>
  <c r="E59"/>
  <c r="F59" s="1"/>
  <c r="E216"/>
  <c r="F216" s="1"/>
  <c r="E280"/>
  <c r="F280" s="1"/>
  <c r="E169"/>
  <c r="F169" s="1"/>
  <c r="E102"/>
  <c r="F102" s="1"/>
  <c r="E38"/>
  <c r="F38" s="1"/>
  <c r="E146"/>
  <c r="F146" s="1"/>
  <c r="E79"/>
  <c r="F79" s="1"/>
  <c r="E15"/>
  <c r="F15" s="1"/>
  <c r="E231"/>
  <c r="F231" s="1"/>
  <c r="E295"/>
  <c r="F295" s="1"/>
  <c r="E190"/>
  <c r="F190" s="1"/>
  <c r="E254"/>
  <c r="F254" s="1"/>
  <c r="E318"/>
  <c r="F318" s="1"/>
  <c r="E128"/>
  <c r="F128" s="1"/>
  <c r="E32"/>
  <c r="F32" s="1"/>
  <c r="E73"/>
  <c r="F73" s="1"/>
  <c r="E241"/>
  <c r="F241" s="1"/>
  <c r="E212"/>
  <c r="F212" s="1"/>
  <c r="E173"/>
  <c r="F173" s="1"/>
  <c r="E42"/>
  <c r="F42" s="1"/>
  <c r="E83"/>
  <c r="F83" s="1"/>
  <c r="E227"/>
  <c r="F227" s="1"/>
  <c r="E194"/>
  <c r="F194" s="1"/>
  <c r="E124"/>
  <c r="F124" s="1"/>
  <c r="E37"/>
  <c r="F37" s="1"/>
  <c r="E75"/>
  <c r="F75" s="1"/>
  <c r="E249"/>
  <c r="F249" s="1"/>
  <c r="E218"/>
  <c r="F218" s="1"/>
  <c r="E283"/>
  <c r="F283" s="1"/>
  <c r="E272"/>
  <c r="F272" s="1"/>
  <c r="E80"/>
  <c r="F80" s="1"/>
  <c r="E16"/>
  <c r="F16" s="1"/>
  <c r="E121"/>
  <c r="F121" s="1"/>
  <c r="E57"/>
  <c r="F57" s="1"/>
  <c r="E193"/>
  <c r="F193" s="1"/>
  <c r="E257"/>
  <c r="F257" s="1"/>
  <c r="E321"/>
  <c r="F321" s="1"/>
  <c r="E228"/>
  <c r="F228" s="1"/>
  <c r="E292"/>
  <c r="F292" s="1"/>
  <c r="E157"/>
  <c r="F157" s="1"/>
  <c r="E90"/>
  <c r="F90" s="1"/>
  <c r="E26"/>
  <c r="F26" s="1"/>
  <c r="E131"/>
  <c r="F131" s="1"/>
  <c r="E67"/>
  <c r="F67" s="1"/>
  <c r="E179"/>
  <c r="F179" s="1"/>
  <c r="E243"/>
  <c r="F243" s="1"/>
  <c r="E307"/>
  <c r="F307" s="1"/>
  <c r="E210"/>
  <c r="F210" s="1"/>
  <c r="E290"/>
  <c r="F290" s="1"/>
  <c r="E92"/>
  <c r="F92" s="1"/>
  <c r="E136"/>
  <c r="F136" s="1"/>
  <c r="E181"/>
  <c r="F181" s="1"/>
  <c r="E299"/>
  <c r="F299" s="1"/>
  <c r="E142"/>
  <c r="F142" s="1"/>
  <c r="E185"/>
  <c r="F185" s="1"/>
  <c r="E88"/>
  <c r="F88" s="1"/>
  <c r="E251"/>
  <c r="F251" s="1"/>
  <c r="E236"/>
  <c r="F236" s="1"/>
  <c r="E268"/>
  <c r="F268" s="1"/>
  <c r="E23"/>
  <c r="F23" s="1"/>
  <c r="E219"/>
  <c r="F219" s="1"/>
  <c r="E256"/>
  <c r="F256" s="1"/>
  <c r="E306"/>
  <c r="F306" s="1"/>
  <c r="E143"/>
  <c r="F143" s="1"/>
  <c r="E76"/>
  <c r="F76" s="1"/>
  <c r="E12"/>
  <c r="F12" s="1"/>
  <c r="E117"/>
  <c r="F117" s="1"/>
  <c r="E53"/>
  <c r="F53" s="1"/>
  <c r="E176"/>
  <c r="F176" s="1"/>
  <c r="E250"/>
  <c r="F250" s="1"/>
  <c r="E267"/>
  <c r="F267" s="1"/>
  <c r="E252"/>
  <c r="F252" s="1"/>
  <c r="E281"/>
  <c r="F281" s="1"/>
  <c r="E33"/>
  <c r="F33" s="1"/>
  <c r="E164"/>
  <c r="F164" s="1"/>
  <c r="E144"/>
  <c r="F144" s="1"/>
  <c r="E282"/>
  <c r="F282" s="1"/>
  <c r="E187"/>
  <c r="F187" s="1"/>
  <c r="E82"/>
  <c r="F82" s="1"/>
  <c r="E329"/>
  <c r="F329" s="1"/>
  <c r="E17"/>
  <c r="F17" s="1"/>
  <c r="E182"/>
  <c r="F182" s="1"/>
  <c r="E87"/>
  <c r="F87" s="1"/>
  <c r="E177"/>
  <c r="F177" s="1"/>
  <c r="E204"/>
  <c r="F204" s="1"/>
  <c r="E224"/>
  <c r="F224" s="1"/>
  <c r="E62"/>
  <c r="F62" s="1"/>
  <c r="E237"/>
  <c r="F237" s="1"/>
  <c r="E81"/>
  <c r="F81" s="1"/>
  <c r="E71"/>
  <c r="F71" s="1"/>
  <c r="E253"/>
  <c r="F253" s="1"/>
  <c r="E170"/>
  <c r="F170" s="1"/>
  <c r="E192"/>
  <c r="F192" s="1"/>
  <c r="E113"/>
  <c r="F113" s="1"/>
  <c r="E114"/>
  <c r="F114" s="1"/>
  <c r="E148"/>
  <c r="F148" s="1"/>
  <c r="E278"/>
  <c r="F278" s="1"/>
  <c r="E319"/>
  <c r="F319" s="1"/>
  <c r="E191"/>
  <c r="F191" s="1"/>
  <c r="E119"/>
  <c r="F119" s="1"/>
  <c r="E78"/>
  <c r="F78" s="1"/>
  <c r="E304"/>
  <c r="F304" s="1"/>
  <c r="E333"/>
  <c r="F333" s="1"/>
  <c r="E205"/>
  <c r="F205" s="1"/>
  <c r="E332"/>
  <c r="F332" s="1"/>
  <c r="E40"/>
  <c r="F40" s="1"/>
  <c r="E303"/>
  <c r="F303" s="1"/>
  <c r="E138"/>
  <c r="F138" s="1"/>
  <c r="E288"/>
  <c r="F288" s="1"/>
  <c r="E189"/>
  <c r="F189" s="1"/>
  <c r="E126"/>
  <c r="F126" s="1"/>
  <c r="E103"/>
  <c r="F103" s="1"/>
  <c r="E221"/>
  <c r="F221" s="1"/>
  <c r="E277"/>
  <c r="F277" s="1"/>
  <c r="E64"/>
  <c r="F64" s="1"/>
  <c r="E45"/>
  <c r="F45" s="1"/>
  <c r="E220"/>
  <c r="F220" s="1"/>
  <c r="E200"/>
  <c r="F200" s="1"/>
  <c r="E209"/>
  <c r="F209" s="1"/>
  <c r="E125"/>
  <c r="F125" s="1"/>
  <c r="E13"/>
  <c r="F13" s="1"/>
  <c r="E118"/>
  <c r="F118" s="1"/>
  <c r="E238"/>
  <c r="F238" s="1"/>
  <c r="E74"/>
  <c r="F74" s="1"/>
  <c r="E36"/>
  <c r="F36" s="1"/>
  <c r="E52"/>
  <c r="F52" s="1"/>
  <c r="E202"/>
  <c r="F202" s="1"/>
  <c r="E229"/>
  <c r="F229" s="1"/>
  <c r="E232"/>
  <c r="F232" s="1"/>
  <c r="E22"/>
  <c r="F22" s="1"/>
  <c r="E247"/>
  <c r="F247" s="1"/>
  <c r="E135"/>
  <c r="F135" s="1"/>
  <c r="E273"/>
  <c r="F273" s="1"/>
  <c r="E51"/>
  <c r="F51" s="1"/>
  <c r="E68"/>
  <c r="F68" s="1"/>
  <c r="E104"/>
  <c r="F104" s="1"/>
  <c r="E248"/>
  <c r="F248" s="1"/>
  <c r="E137"/>
  <c r="F137" s="1"/>
  <c r="E178"/>
  <c r="F178" s="1"/>
  <c r="E47"/>
  <c r="F47" s="1"/>
  <c r="E263"/>
  <c r="F263" s="1"/>
  <c r="E222"/>
  <c r="F222" s="1"/>
  <c r="E163"/>
  <c r="F163" s="1"/>
  <c r="E140"/>
  <c r="F140" s="1"/>
  <c r="E305"/>
  <c r="F305" s="1"/>
  <c r="E106"/>
  <c r="F106" s="1"/>
  <c r="E19"/>
  <c r="F19" s="1"/>
  <c r="E258"/>
  <c r="F258" s="1"/>
  <c r="E186"/>
  <c r="F186" s="1"/>
  <c r="E24"/>
  <c r="F24" s="1"/>
  <c r="E287"/>
  <c r="F287" s="1"/>
  <c r="E48"/>
  <c r="F48" s="1"/>
  <c r="E89"/>
  <c r="F89" s="1"/>
  <c r="E225"/>
  <c r="F225" s="1"/>
  <c r="E196"/>
  <c r="F196" s="1"/>
  <c r="E324"/>
  <c r="F324" s="1"/>
  <c r="E58"/>
  <c r="F58" s="1"/>
  <c r="E99"/>
  <c r="F99" s="1"/>
  <c r="E211"/>
  <c r="F211" s="1"/>
  <c r="E133"/>
  <c r="F133" s="1"/>
  <c r="E159"/>
  <c r="F159" s="1"/>
  <c r="E69"/>
  <c r="F69" s="1"/>
  <c r="E11"/>
  <c r="F11" s="1"/>
  <c r="E313"/>
  <c r="F313" s="1"/>
  <c r="E167"/>
  <c r="F167" s="1"/>
  <c r="E8"/>
  <c r="F8" s="1"/>
  <c r="E110"/>
  <c r="F110" s="1"/>
  <c r="E274"/>
  <c r="F274" s="1"/>
  <c r="E108"/>
  <c r="F108" s="1"/>
  <c r="E152"/>
  <c r="F152" s="1"/>
  <c r="E21"/>
  <c r="F21" s="1"/>
  <c r="E331"/>
  <c r="F331" s="1"/>
  <c r="E107"/>
  <c r="F107" s="1"/>
  <c r="E316"/>
  <c r="F316" s="1"/>
  <c r="E217"/>
  <c r="F217" s="1"/>
  <c r="E56"/>
  <c r="F56" s="1"/>
  <c r="E315"/>
  <c r="F315" s="1"/>
  <c r="E300"/>
  <c r="F300" s="1"/>
  <c r="E158"/>
  <c r="F158" s="1"/>
  <c r="E223"/>
  <c r="F223" s="1"/>
  <c r="E301"/>
  <c r="F301" s="1"/>
  <c r="E271"/>
  <c r="F271" s="1"/>
  <c r="E50"/>
  <c r="F50" s="1"/>
  <c r="E161"/>
  <c r="F161" s="1"/>
  <c r="E207"/>
  <c r="F207" s="1"/>
  <c r="E72"/>
  <c r="F72" s="1"/>
  <c r="E297"/>
  <c r="F297" s="1"/>
  <c r="E214"/>
  <c r="F214" s="1"/>
  <c r="E55"/>
  <c r="F55" s="1"/>
  <c r="E145"/>
  <c r="F145" s="1"/>
  <c r="E269"/>
  <c r="F269" s="1"/>
  <c r="E233"/>
  <c r="F233" s="1"/>
  <c r="E7"/>
  <c r="F7" s="1"/>
  <c r="E317"/>
  <c r="F317" s="1"/>
  <c r="E39"/>
  <c r="F39" s="1"/>
  <c r="E320"/>
  <c r="F320" s="1"/>
  <c r="E234"/>
  <c r="F234" s="1"/>
  <c r="E215"/>
  <c r="F215" s="1"/>
  <c r="E101"/>
  <c r="F101" s="1"/>
  <c r="E298"/>
  <c r="F298" s="1"/>
  <c r="E309"/>
  <c r="F309" s="1"/>
  <c r="E31"/>
  <c r="F31" s="1"/>
  <c r="E105"/>
  <c r="F105" s="1"/>
  <c r="E322"/>
  <c r="F322" s="1"/>
  <c r="E93"/>
  <c r="F93" s="1"/>
  <c r="E330"/>
  <c r="F330" s="1"/>
  <c r="E29"/>
  <c r="F29" s="1"/>
  <c r="E293"/>
  <c r="F293" s="1"/>
  <c r="E153"/>
  <c r="F153" s="1"/>
  <c r="E63"/>
  <c r="F63" s="1"/>
  <c r="E206"/>
  <c r="F206" s="1"/>
  <c r="E172"/>
  <c r="F172" s="1"/>
  <c r="E141"/>
  <c r="F141" s="1"/>
  <c r="E226"/>
  <c r="F226" s="1"/>
  <c r="E65"/>
  <c r="F65" s="1"/>
  <c r="E184"/>
  <c r="F184" s="1"/>
  <c r="E312"/>
  <c r="F312" s="1"/>
  <c r="E70"/>
  <c r="F70" s="1"/>
  <c r="E111"/>
  <c r="F111" s="1"/>
  <c r="E199"/>
  <c r="F199" s="1"/>
  <c r="E327"/>
  <c r="F327" s="1"/>
  <c r="E286"/>
  <c r="F286" s="1"/>
  <c r="E96"/>
  <c r="F96" s="1"/>
  <c r="E9"/>
  <c r="F9" s="1"/>
  <c r="E276"/>
  <c r="F276" s="1"/>
  <c r="E150"/>
  <c r="F150" s="1"/>
  <c r="E291"/>
  <c r="F291" s="1"/>
  <c r="E168"/>
  <c r="F168" s="1"/>
  <c r="E165"/>
  <c r="F165" s="1"/>
  <c r="E149"/>
  <c r="F149" s="1"/>
  <c r="E139"/>
  <c r="F139" s="1"/>
  <c r="E156"/>
  <c r="F156" s="1"/>
  <c r="E25"/>
  <c r="F25" s="1"/>
  <c r="E289"/>
  <c r="F289" s="1"/>
  <c r="E260"/>
  <c r="F260" s="1"/>
  <c r="E122"/>
  <c r="F122" s="1"/>
  <c r="E166"/>
  <c r="F166" s="1"/>
  <c r="E35"/>
  <c r="F35" s="1"/>
  <c r="E275"/>
  <c r="F275" s="1"/>
  <c r="E242"/>
  <c r="F242" s="1"/>
  <c r="E28"/>
  <c r="F28" s="1"/>
  <c r="E314"/>
  <c r="F314" s="1"/>
  <c r="E98"/>
  <c r="F98" s="1"/>
  <c r="E129"/>
  <c r="F129" s="1"/>
  <c r="E18"/>
  <c r="F18" s="1"/>
  <c r="E246"/>
  <c r="F246" s="1"/>
  <c r="E30"/>
  <c r="F30" s="1"/>
  <c r="E175"/>
  <c r="F175" s="1"/>
  <c r="E44"/>
  <c r="F44" s="1"/>
  <c r="E85"/>
  <c r="F85" s="1"/>
  <c r="E132"/>
  <c r="F132" s="1"/>
  <c r="E203"/>
  <c r="F203" s="1"/>
  <c r="E66"/>
  <c r="F66" s="1"/>
  <c r="E188"/>
  <c r="F188" s="1"/>
  <c r="E97"/>
  <c r="F97" s="1"/>
  <c r="E100"/>
  <c r="F100" s="1"/>
  <c r="E123"/>
  <c r="F123" s="1"/>
  <c r="E49"/>
  <c r="F49" s="1"/>
  <c r="E310"/>
  <c r="F310" s="1"/>
  <c r="E46"/>
  <c r="F46" s="1"/>
  <c r="E239"/>
  <c r="F239" s="1"/>
  <c r="E208"/>
  <c r="F208" s="1"/>
  <c r="E198"/>
  <c r="F198" s="1"/>
  <c r="E230"/>
  <c r="F230" s="1"/>
  <c r="E201"/>
  <c r="F201" s="1"/>
  <c r="E27"/>
  <c r="F27" s="1"/>
  <c r="E171"/>
  <c r="F171" s="1"/>
  <c r="E255"/>
  <c r="F255" s="1"/>
  <c r="E14"/>
  <c r="F14" s="1"/>
  <c r="E240"/>
  <c r="F240" s="1"/>
  <c r="E91"/>
  <c r="F91" s="1"/>
  <c r="E262"/>
  <c r="F262" s="1"/>
  <c r="E94"/>
  <c r="F94" s="1"/>
  <c r="E294"/>
  <c r="F294" s="1"/>
  <c r="E285"/>
  <c r="F285" s="1"/>
  <c r="E155"/>
  <c r="F155" s="1"/>
  <c r="E43"/>
  <c r="F43" s="1"/>
  <c r="E130"/>
  <c r="F130" s="1"/>
  <c r="E328"/>
  <c r="F328" s="1"/>
  <c r="E264"/>
  <c r="F264" s="1"/>
  <c r="E261"/>
  <c r="F261" s="1"/>
  <c r="F6" l="1"/>
  <c r="E107" i="5" l="1"/>
  <c r="E126"/>
  <c r="E122"/>
  <c r="E123"/>
  <c r="E124"/>
  <c r="E125"/>
  <c r="E118"/>
  <c r="E121"/>
  <c r="E117"/>
  <c r="E120"/>
  <c r="E116"/>
  <c r="E119"/>
  <c r="E115"/>
  <c r="E112"/>
  <c r="E108"/>
  <c r="E111"/>
  <c r="E114"/>
  <c r="E110"/>
  <c r="E113"/>
  <c r="E109"/>
  <c r="AF181" l="1"/>
  <c r="AF151"/>
  <c r="AB151"/>
  <c r="AF30"/>
  <c r="AB152"/>
  <c r="AF31"/>
  <c r="AF182"/>
  <c r="AF152"/>
  <c r="AF183"/>
  <c r="AF153"/>
  <c r="AB153"/>
  <c r="AF32"/>
  <c r="AF187"/>
  <c r="AF157"/>
  <c r="AB157"/>
  <c r="AF36"/>
  <c r="AF185"/>
  <c r="AF155"/>
  <c r="AB155"/>
  <c r="AF34"/>
  <c r="AF158"/>
  <c r="AF188"/>
  <c r="AB158"/>
  <c r="AF37"/>
  <c r="AB156"/>
  <c r="AF35"/>
  <c r="AF186"/>
  <c r="AF156"/>
  <c r="AF154"/>
  <c r="AF184"/>
  <c r="AB154"/>
  <c r="AF33"/>
  <c r="P152"/>
  <c r="AE151"/>
  <c r="G152"/>
  <c r="AD151"/>
  <c r="AC151"/>
  <c r="P153"/>
  <c r="G153"/>
  <c r="AD152"/>
  <c r="AE152"/>
  <c r="AC152"/>
  <c r="P154"/>
  <c r="AE153"/>
  <c r="G154"/>
  <c r="AD153"/>
  <c r="AC153"/>
  <c r="P158"/>
  <c r="AE157"/>
  <c r="G158"/>
  <c r="AD157"/>
  <c r="AC157"/>
  <c r="P156"/>
  <c r="AE155"/>
  <c r="G156"/>
  <c r="AD155"/>
  <c r="AC155"/>
  <c r="P159"/>
  <c r="G159"/>
  <c r="AD158"/>
  <c r="AE158"/>
  <c r="AC158"/>
  <c r="P157"/>
  <c r="G157"/>
  <c r="AD156"/>
  <c r="AE156"/>
  <c r="AC156"/>
  <c r="P155"/>
  <c r="G155"/>
  <c r="AD154"/>
  <c r="AE154"/>
  <c r="AC154"/>
  <c r="H152"/>
  <c r="H153"/>
  <c r="H154"/>
  <c r="H158"/>
  <c r="H156"/>
  <c r="H159"/>
  <c r="H157"/>
  <c r="H155"/>
  <c r="D147"/>
  <c r="D142"/>
  <c r="D143"/>
  <c r="D144"/>
  <c r="D145"/>
  <c r="D152"/>
  <c r="Z151"/>
  <c r="D153"/>
  <c r="Z152"/>
  <c r="D154"/>
  <c r="Z153"/>
  <c r="D158"/>
  <c r="Z157"/>
  <c r="D156"/>
  <c r="Z155"/>
  <c r="D159"/>
  <c r="Z158"/>
  <c r="D146"/>
  <c r="D141"/>
  <c r="D148"/>
  <c r="D149"/>
  <c r="D150"/>
  <c r="D151"/>
  <c r="D157"/>
  <c r="Z156"/>
  <c r="D155"/>
  <c r="Z154"/>
  <c r="D140"/>
  <c r="I152"/>
  <c r="J152"/>
  <c r="K152"/>
  <c r="J153"/>
  <c r="K153"/>
  <c r="I153"/>
  <c r="I154"/>
  <c r="J154"/>
  <c r="K154"/>
  <c r="I158"/>
  <c r="K158"/>
  <c r="J158"/>
  <c r="I156"/>
  <c r="J156"/>
  <c r="K156"/>
  <c r="J159"/>
  <c r="K159"/>
  <c r="I159"/>
  <c r="J157"/>
  <c r="K157"/>
  <c r="I157"/>
  <c r="J155"/>
  <c r="K155"/>
  <c r="I155"/>
  <c r="R80"/>
  <c r="R75"/>
  <c r="R76"/>
  <c r="R77"/>
  <c r="R78"/>
  <c r="R85"/>
  <c r="U151"/>
  <c r="N119" s="1"/>
  <c r="W151"/>
  <c r="X151"/>
  <c r="AA151"/>
  <c r="V151"/>
  <c r="Y151"/>
  <c r="W110"/>
  <c r="Y110"/>
  <c r="AA110"/>
  <c r="AC110"/>
  <c r="AE110"/>
  <c r="L119" s="1"/>
  <c r="W85"/>
  <c r="Y85"/>
  <c r="AA85"/>
  <c r="AC85"/>
  <c r="AE85"/>
  <c r="V110"/>
  <c r="X110"/>
  <c r="Z110"/>
  <c r="AB110"/>
  <c r="AD110"/>
  <c r="K119" s="1"/>
  <c r="AF110"/>
  <c r="M119" s="1"/>
  <c r="V85"/>
  <c r="X85"/>
  <c r="Z85"/>
  <c r="AB85"/>
  <c r="AD85"/>
  <c r="AF85"/>
  <c r="U152"/>
  <c r="N120" s="1"/>
  <c r="W152"/>
  <c r="X152"/>
  <c r="AA152"/>
  <c r="R86"/>
  <c r="V152"/>
  <c r="Y152"/>
  <c r="V111"/>
  <c r="X111"/>
  <c r="Z111"/>
  <c r="AB111"/>
  <c r="AD111"/>
  <c r="K120" s="1"/>
  <c r="AF111"/>
  <c r="M120" s="1"/>
  <c r="W86"/>
  <c r="Y86"/>
  <c r="AA86"/>
  <c r="AC86"/>
  <c r="AE86"/>
  <c r="W111"/>
  <c r="Y111"/>
  <c r="AA111"/>
  <c r="AC111"/>
  <c r="AE111"/>
  <c r="L120" s="1"/>
  <c r="V86"/>
  <c r="X86"/>
  <c r="Z86"/>
  <c r="AB86"/>
  <c r="AD86"/>
  <c r="AF86"/>
  <c r="R87"/>
  <c r="U153"/>
  <c r="N121" s="1"/>
  <c r="W153"/>
  <c r="X153"/>
  <c r="AA153"/>
  <c r="V153"/>
  <c r="Y153"/>
  <c r="W112"/>
  <c r="Y112"/>
  <c r="AA112"/>
  <c r="AC112"/>
  <c r="AE112"/>
  <c r="L121" s="1"/>
  <c r="W87"/>
  <c r="Y87"/>
  <c r="AA87"/>
  <c r="AC87"/>
  <c r="AE87"/>
  <c r="V112"/>
  <c r="X112"/>
  <c r="Z112"/>
  <c r="AB112"/>
  <c r="AD112"/>
  <c r="K121" s="1"/>
  <c r="AF112"/>
  <c r="M121" s="1"/>
  <c r="V87"/>
  <c r="X87"/>
  <c r="Z87"/>
  <c r="AB87"/>
  <c r="AD87"/>
  <c r="AF87"/>
  <c r="R91"/>
  <c r="U157"/>
  <c r="N125" s="1"/>
  <c r="W157"/>
  <c r="X157"/>
  <c r="AA157"/>
  <c r="V157"/>
  <c r="Y157"/>
  <c r="W116"/>
  <c r="Y116"/>
  <c r="AA116"/>
  <c r="AC116"/>
  <c r="AE116"/>
  <c r="L125" s="1"/>
  <c r="W91"/>
  <c r="Y91"/>
  <c r="AA91"/>
  <c r="AC91"/>
  <c r="AE91"/>
  <c r="V116"/>
  <c r="X116"/>
  <c r="Z116"/>
  <c r="AB116"/>
  <c r="AD116"/>
  <c r="K125" s="1"/>
  <c r="AF116"/>
  <c r="M125" s="1"/>
  <c r="V91"/>
  <c r="X91"/>
  <c r="Z91"/>
  <c r="AB91"/>
  <c r="AD91"/>
  <c r="AF91"/>
  <c r="R89"/>
  <c r="U155"/>
  <c r="N123" s="1"/>
  <c r="W155"/>
  <c r="X155"/>
  <c r="AA155"/>
  <c r="V155"/>
  <c r="Y155"/>
  <c r="W114"/>
  <c r="Y114"/>
  <c r="AA114"/>
  <c r="AC114"/>
  <c r="AE114"/>
  <c r="L123" s="1"/>
  <c r="W89"/>
  <c r="Y89"/>
  <c r="AA89"/>
  <c r="AC89"/>
  <c r="AE89"/>
  <c r="V114"/>
  <c r="X114"/>
  <c r="Z114"/>
  <c r="AB114"/>
  <c r="AD114"/>
  <c r="K123" s="1"/>
  <c r="AF114"/>
  <c r="M123" s="1"/>
  <c r="V89"/>
  <c r="X89"/>
  <c r="Z89"/>
  <c r="AB89"/>
  <c r="AD89"/>
  <c r="AF89"/>
  <c r="U158"/>
  <c r="N126" s="1"/>
  <c r="W158"/>
  <c r="X158"/>
  <c r="AA158"/>
  <c r="V158"/>
  <c r="Y158"/>
  <c r="V117"/>
  <c r="X117"/>
  <c r="Z117"/>
  <c r="AB117"/>
  <c r="AD117"/>
  <c r="K126" s="1"/>
  <c r="AF117"/>
  <c r="M126" s="1"/>
  <c r="W117"/>
  <c r="Y117"/>
  <c r="AA117"/>
  <c r="AC117"/>
  <c r="AE117"/>
  <c r="L126" s="1"/>
  <c r="R79"/>
  <c r="R74"/>
  <c r="R81"/>
  <c r="R82"/>
  <c r="R83"/>
  <c r="R84"/>
  <c r="U156"/>
  <c r="N124" s="1"/>
  <c r="W156"/>
  <c r="X156"/>
  <c r="AA156"/>
  <c r="R90"/>
  <c r="V156"/>
  <c r="Y156"/>
  <c r="V115"/>
  <c r="X115"/>
  <c r="Z115"/>
  <c r="AB115"/>
  <c r="AD115"/>
  <c r="K124" s="1"/>
  <c r="AF115"/>
  <c r="M124" s="1"/>
  <c r="W90"/>
  <c r="Y90"/>
  <c r="AA90"/>
  <c r="AC90"/>
  <c r="AE90"/>
  <c r="W115"/>
  <c r="Y115"/>
  <c r="AA115"/>
  <c r="AC115"/>
  <c r="AE115"/>
  <c r="L124" s="1"/>
  <c r="V90"/>
  <c r="X90"/>
  <c r="Z90"/>
  <c r="AB90"/>
  <c r="AD90"/>
  <c r="AF90"/>
  <c r="U154"/>
  <c r="N122" s="1"/>
  <c r="W154"/>
  <c r="X154"/>
  <c r="R88"/>
  <c r="AA154"/>
  <c r="V154"/>
  <c r="Y154"/>
  <c r="V113"/>
  <c r="X113"/>
  <c r="Z113"/>
  <c r="AB113"/>
  <c r="AD113"/>
  <c r="K122" s="1"/>
  <c r="AF113"/>
  <c r="M122" s="1"/>
  <c r="W88"/>
  <c r="Y88"/>
  <c r="AA88"/>
  <c r="AC88"/>
  <c r="AE88"/>
  <c r="W113"/>
  <c r="Y113"/>
  <c r="AA113"/>
  <c r="AC113"/>
  <c r="AE113"/>
  <c r="L122" s="1"/>
  <c r="V88"/>
  <c r="X88"/>
  <c r="Z88"/>
  <c r="AB88"/>
  <c r="AD88"/>
  <c r="AF88"/>
  <c r="R73"/>
  <c r="R15"/>
  <c r="R98" s="1"/>
  <c r="R139" s="1"/>
  <c r="X30"/>
  <c r="Z30"/>
  <c r="AB30"/>
  <c r="AD30"/>
  <c r="Y30"/>
  <c r="AA30"/>
  <c r="AC30"/>
  <c r="AE30"/>
  <c r="Y31"/>
  <c r="AA31"/>
  <c r="AC31"/>
  <c r="AE31"/>
  <c r="X31"/>
  <c r="Z31"/>
  <c r="AB31"/>
  <c r="AD31"/>
  <c r="X32"/>
  <c r="Z32"/>
  <c r="AB32"/>
  <c r="AD32"/>
  <c r="Y32"/>
  <c r="AA32"/>
  <c r="AC32"/>
  <c r="AE32"/>
  <c r="X36"/>
  <c r="Z36"/>
  <c r="AB36"/>
  <c r="AD36"/>
  <c r="Y36"/>
  <c r="AA36"/>
  <c r="AC36"/>
  <c r="AE36"/>
  <c r="X34"/>
  <c r="Z34"/>
  <c r="AB34"/>
  <c r="AD34"/>
  <c r="Y34"/>
  <c r="AA34"/>
  <c r="AC34"/>
  <c r="AE34"/>
  <c r="Y37"/>
  <c r="AA37"/>
  <c r="AC37"/>
  <c r="AE37"/>
  <c r="X37"/>
  <c r="Z37"/>
  <c r="AB37"/>
  <c r="AD37"/>
  <c r="Y35"/>
  <c r="AA35"/>
  <c r="AC35"/>
  <c r="AE35"/>
  <c r="X35"/>
  <c r="Z35"/>
  <c r="AB35"/>
  <c r="AD35"/>
  <c r="Y33"/>
  <c r="AA33"/>
  <c r="AC33"/>
  <c r="AE33"/>
  <c r="X33"/>
  <c r="Z33"/>
  <c r="AB33"/>
  <c r="AD33"/>
  <c r="S188"/>
  <c r="U188"/>
  <c r="W188"/>
  <c r="Y188"/>
  <c r="AA188"/>
  <c r="AC188"/>
  <c r="AE188"/>
  <c r="R188"/>
  <c r="T188"/>
  <c r="V188"/>
  <c r="X188"/>
  <c r="Z188"/>
  <c r="AB188"/>
  <c r="AD188"/>
  <c r="S186"/>
  <c r="U186"/>
  <c r="W186"/>
  <c r="Y186"/>
  <c r="AA186"/>
  <c r="AC186"/>
  <c r="AE186"/>
  <c r="R186"/>
  <c r="T186"/>
  <c r="V186"/>
  <c r="X186"/>
  <c r="Z186"/>
  <c r="AB186"/>
  <c r="AD186"/>
  <c r="R187"/>
  <c r="T187"/>
  <c r="V187"/>
  <c r="X187"/>
  <c r="Z187"/>
  <c r="AB187"/>
  <c r="AD187"/>
  <c r="S187"/>
  <c r="U187"/>
  <c r="W187"/>
  <c r="Y187"/>
  <c r="AA187"/>
  <c r="AC187"/>
  <c r="AE187"/>
  <c r="R185"/>
  <c r="T185"/>
  <c r="V185"/>
  <c r="X185"/>
  <c r="Z185"/>
  <c r="AB185"/>
  <c r="AD185"/>
  <c r="S185"/>
  <c r="U185"/>
  <c r="W185"/>
  <c r="Y185"/>
  <c r="AA185"/>
  <c r="AC185"/>
  <c r="AE185"/>
  <c r="F147"/>
  <c r="F141"/>
  <c r="F142"/>
  <c r="F143"/>
  <c r="F144"/>
  <c r="F145"/>
  <c r="V31"/>
  <c r="F146"/>
  <c r="F148"/>
  <c r="F149"/>
  <c r="E282"/>
  <c r="F152"/>
  <c r="E283"/>
  <c r="F153"/>
  <c r="E284"/>
  <c r="F154"/>
  <c r="E288"/>
  <c r="F158"/>
  <c r="E286"/>
  <c r="F156"/>
  <c r="E289"/>
  <c r="F159"/>
  <c r="E280"/>
  <c r="F150"/>
  <c r="E281"/>
  <c r="F151"/>
  <c r="E287"/>
  <c r="F157"/>
  <c r="E285"/>
  <c r="F155"/>
  <c r="E270"/>
  <c r="F140"/>
  <c r="E271"/>
  <c r="E272"/>
  <c r="E273"/>
  <c r="E274"/>
  <c r="E275"/>
  <c r="E276"/>
  <c r="E277"/>
  <c r="E278"/>
  <c r="E279"/>
  <c r="I109"/>
  <c r="I110"/>
  <c r="I111"/>
  <c r="I112"/>
  <c r="I119"/>
  <c r="I120"/>
  <c r="I121"/>
  <c r="I125"/>
  <c r="I123"/>
  <c r="I126"/>
  <c r="I113"/>
  <c r="I114"/>
  <c r="I108"/>
  <c r="I115"/>
  <c r="I116"/>
  <c r="I117"/>
  <c r="I118"/>
  <c r="I124"/>
  <c r="I122"/>
  <c r="I107"/>
  <c r="H107"/>
  <c r="R34"/>
  <c r="R114" s="1"/>
  <c r="R155" s="1"/>
  <c r="T34"/>
  <c r="T89" s="1"/>
  <c r="T114" s="1"/>
  <c r="V34"/>
  <c r="S34"/>
  <c r="U34"/>
  <c r="U89" s="1"/>
  <c r="U114" s="1"/>
  <c r="U15"/>
  <c r="U73" s="1"/>
  <c r="U98" s="1"/>
  <c r="T36"/>
  <c r="T91" s="1"/>
  <c r="T116" s="1"/>
  <c r="V36"/>
  <c r="U36"/>
  <c r="U91" s="1"/>
  <c r="U116" s="1"/>
  <c r="H125"/>
  <c r="S36"/>
  <c r="R36"/>
  <c r="R116" s="1"/>
  <c r="R157" s="1"/>
  <c r="G125"/>
  <c r="J125"/>
  <c r="W36" s="1"/>
  <c r="G123"/>
  <c r="J123"/>
  <c r="W34" s="1"/>
  <c r="H123"/>
  <c r="S37"/>
  <c r="U37"/>
  <c r="R37"/>
  <c r="R117" s="1"/>
  <c r="R158" s="1"/>
  <c r="J126"/>
  <c r="W37" s="1"/>
  <c r="H126"/>
  <c r="T37"/>
  <c r="V37"/>
  <c r="G126"/>
  <c r="R35"/>
  <c r="R115" s="1"/>
  <c r="R156" s="1"/>
  <c r="H124"/>
  <c r="S35"/>
  <c r="T35"/>
  <c r="T90" s="1"/>
  <c r="T115" s="1"/>
  <c r="U35"/>
  <c r="U90" s="1"/>
  <c r="U115" s="1"/>
  <c r="V35"/>
  <c r="J124"/>
  <c r="W35" s="1"/>
  <c r="G124"/>
  <c r="S33"/>
  <c r="R33"/>
  <c r="R113" s="1"/>
  <c r="R154" s="1"/>
  <c r="H122"/>
  <c r="T33"/>
  <c r="T88" s="1"/>
  <c r="T113" s="1"/>
  <c r="U33"/>
  <c r="U88" s="1"/>
  <c r="U113" s="1"/>
  <c r="V33"/>
  <c r="J122"/>
  <c r="W33" s="1"/>
  <c r="G122"/>
  <c r="S25"/>
  <c r="S17"/>
  <c r="S21"/>
  <c r="S16"/>
  <c r="S27"/>
  <c r="S29"/>
  <c r="K151" s="1"/>
  <c r="S18"/>
  <c r="S20"/>
  <c r="S31"/>
  <c r="S26"/>
  <c r="S28"/>
  <c r="I150" s="1"/>
  <c r="S19"/>
  <c r="S30"/>
  <c r="S32"/>
  <c r="T18"/>
  <c r="T76" s="1"/>
  <c r="T101" s="1"/>
  <c r="T21"/>
  <c r="T79" s="1"/>
  <c r="T104" s="1"/>
  <c r="T25"/>
  <c r="T80" s="1"/>
  <c r="T105" s="1"/>
  <c r="T19"/>
  <c r="T77" s="1"/>
  <c r="T102" s="1"/>
  <c r="T20"/>
  <c r="T78" s="1"/>
  <c r="T103" s="1"/>
  <c r="T30"/>
  <c r="T85" s="1"/>
  <c r="T110" s="1"/>
  <c r="T31"/>
  <c r="T86" s="1"/>
  <c r="T111" s="1"/>
  <c r="T32"/>
  <c r="T87" s="1"/>
  <c r="T112" s="1"/>
  <c r="T17"/>
  <c r="T75" s="1"/>
  <c r="T100" s="1"/>
  <c r="T15"/>
  <c r="S15"/>
  <c r="S139" s="1"/>
  <c r="T16"/>
  <c r="T74" s="1"/>
  <c r="T99" s="1"/>
  <c r="T26"/>
  <c r="T81" s="1"/>
  <c r="T106" s="1"/>
  <c r="T27"/>
  <c r="T82" s="1"/>
  <c r="T107" s="1"/>
  <c r="T28"/>
  <c r="T83" s="1"/>
  <c r="T108" s="1"/>
  <c r="T29"/>
  <c r="T84" s="1"/>
  <c r="T109" s="1"/>
  <c r="V17"/>
  <c r="U17"/>
  <c r="U75" s="1"/>
  <c r="U100" s="1"/>
  <c r="R17"/>
  <c r="R100" s="1"/>
  <c r="R141" s="1"/>
  <c r="V21"/>
  <c r="U21"/>
  <c r="U79" s="1"/>
  <c r="U104" s="1"/>
  <c r="R21"/>
  <c r="R104" s="1"/>
  <c r="R145" s="1"/>
  <c r="U25"/>
  <c r="U80" s="1"/>
  <c r="U105" s="1"/>
  <c r="R25"/>
  <c r="R105" s="1"/>
  <c r="R146" s="1"/>
  <c r="V25"/>
  <c r="V19"/>
  <c r="U19"/>
  <c r="U77" s="1"/>
  <c r="U102" s="1"/>
  <c r="R19"/>
  <c r="U20"/>
  <c r="U78" s="1"/>
  <c r="U103" s="1"/>
  <c r="R20"/>
  <c r="R103" s="1"/>
  <c r="R144" s="1"/>
  <c r="V20"/>
  <c r="V30"/>
  <c r="U30"/>
  <c r="U85" s="1"/>
  <c r="U110" s="1"/>
  <c r="R30"/>
  <c r="R110" s="1"/>
  <c r="R151" s="1"/>
  <c r="U31"/>
  <c r="U86" s="1"/>
  <c r="U111" s="1"/>
  <c r="R31"/>
  <c r="R111" s="1"/>
  <c r="R152" s="1"/>
  <c r="V32"/>
  <c r="U32"/>
  <c r="U87" s="1"/>
  <c r="U112" s="1"/>
  <c r="R32"/>
  <c r="R112" s="1"/>
  <c r="R153" s="1"/>
  <c r="R18"/>
  <c r="R101" s="1"/>
  <c r="R142" s="1"/>
  <c r="V18"/>
  <c r="U18"/>
  <c r="U76" s="1"/>
  <c r="U101" s="1"/>
  <c r="V15"/>
  <c r="U16"/>
  <c r="U74" s="1"/>
  <c r="U99" s="1"/>
  <c r="R16"/>
  <c r="R99" s="1"/>
  <c r="R140" s="1"/>
  <c r="V16"/>
  <c r="V26"/>
  <c r="U26"/>
  <c r="U81" s="1"/>
  <c r="U106" s="1"/>
  <c r="R26"/>
  <c r="R106" s="1"/>
  <c r="R147" s="1"/>
  <c r="U27"/>
  <c r="U82" s="1"/>
  <c r="U107" s="1"/>
  <c r="R27"/>
  <c r="R107" s="1"/>
  <c r="R148" s="1"/>
  <c r="V27"/>
  <c r="V28"/>
  <c r="U28"/>
  <c r="U83" s="1"/>
  <c r="U108" s="1"/>
  <c r="R28"/>
  <c r="R108" s="1"/>
  <c r="R149" s="1"/>
  <c r="U29"/>
  <c r="U84" s="1"/>
  <c r="U109" s="1"/>
  <c r="R29"/>
  <c r="R109" s="1"/>
  <c r="R150" s="1"/>
  <c r="V29"/>
  <c r="J107"/>
  <c r="W15" s="1"/>
  <c r="H119"/>
  <c r="G119"/>
  <c r="J119"/>
  <c r="J120"/>
  <c r="H120"/>
  <c r="G120"/>
  <c r="H121"/>
  <c r="G121"/>
  <c r="J121"/>
  <c r="G115"/>
  <c r="J115"/>
  <c r="H115"/>
  <c r="H116"/>
  <c r="G116"/>
  <c r="J116"/>
  <c r="G117"/>
  <c r="J117"/>
  <c r="H117"/>
  <c r="H118"/>
  <c r="G118"/>
  <c r="J118"/>
  <c r="G114"/>
  <c r="J114"/>
  <c r="H114"/>
  <c r="G111"/>
  <c r="J111"/>
  <c r="W19" s="1"/>
  <c r="H111"/>
  <c r="J112"/>
  <c r="W20" s="1"/>
  <c r="G112"/>
  <c r="H112"/>
  <c r="H113"/>
  <c r="G113"/>
  <c r="J113"/>
  <c r="G107"/>
  <c r="J108"/>
  <c r="W16" s="1"/>
  <c r="G108"/>
  <c r="H108"/>
  <c r="H109"/>
  <c r="G109"/>
  <c r="J109"/>
  <c r="W17" s="1"/>
  <c r="J110"/>
  <c r="W18" s="1"/>
  <c r="H110"/>
  <c r="G110"/>
  <c r="I151" l="1"/>
  <c r="J151"/>
  <c r="J150"/>
  <c r="AF180"/>
  <c r="Z28"/>
  <c r="Z29"/>
  <c r="K150"/>
  <c r="AF178"/>
  <c r="AF169"/>
  <c r="AF172"/>
  <c r="N155"/>
  <c r="M155"/>
  <c r="O155"/>
  <c r="N157"/>
  <c r="M157"/>
  <c r="O157"/>
  <c r="O151"/>
  <c r="P151" s="1"/>
  <c r="O150"/>
  <c r="P150" s="1"/>
  <c r="N159"/>
  <c r="M159"/>
  <c r="O159"/>
  <c r="N156"/>
  <c r="M156"/>
  <c r="O156"/>
  <c r="N158"/>
  <c r="M158"/>
  <c r="O158"/>
  <c r="N154"/>
  <c r="M154"/>
  <c r="O154"/>
  <c r="N153"/>
  <c r="M153"/>
  <c r="O153"/>
  <c r="N152"/>
  <c r="M152"/>
  <c r="O152"/>
  <c r="L155"/>
  <c r="L157"/>
  <c r="L159"/>
  <c r="L156"/>
  <c r="L158"/>
  <c r="L154"/>
  <c r="L153"/>
  <c r="L152"/>
  <c r="J148"/>
  <c r="K148"/>
  <c r="I148"/>
  <c r="S151"/>
  <c r="S110"/>
  <c r="S85"/>
  <c r="S149"/>
  <c r="AC149" s="1"/>
  <c r="S108"/>
  <c r="S83"/>
  <c r="AB149" s="1"/>
  <c r="S152"/>
  <c r="S86"/>
  <c r="S111"/>
  <c r="S142"/>
  <c r="S101"/>
  <c r="S76"/>
  <c r="W76" s="1"/>
  <c r="S148"/>
  <c r="S107"/>
  <c r="S82"/>
  <c r="M149" s="1"/>
  <c r="S145"/>
  <c r="S104"/>
  <c r="S79"/>
  <c r="S146"/>
  <c r="S105"/>
  <c r="S80"/>
  <c r="N147" s="1"/>
  <c r="S154"/>
  <c r="S88"/>
  <c r="S113"/>
  <c r="S156"/>
  <c r="S90"/>
  <c r="S115"/>
  <c r="S158"/>
  <c r="S117"/>
  <c r="S155"/>
  <c r="S114"/>
  <c r="S89"/>
  <c r="Z19"/>
  <c r="R102"/>
  <c r="R143" s="1"/>
  <c r="S153"/>
  <c r="S112"/>
  <c r="S87"/>
  <c r="S143"/>
  <c r="S102"/>
  <c r="S77"/>
  <c r="M144" s="1"/>
  <c r="S147"/>
  <c r="S106"/>
  <c r="S81"/>
  <c r="U147" s="1"/>
  <c r="N115" s="1"/>
  <c r="S144"/>
  <c r="S103"/>
  <c r="S78"/>
  <c r="AB144" s="1"/>
  <c r="S150"/>
  <c r="AF150" s="1"/>
  <c r="S109"/>
  <c r="S84"/>
  <c r="AB150" s="1"/>
  <c r="S140"/>
  <c r="S99"/>
  <c r="S74"/>
  <c r="S141"/>
  <c r="S100"/>
  <c r="S75"/>
  <c r="S157"/>
  <c r="S116"/>
  <c r="S91"/>
  <c r="T149"/>
  <c r="T147"/>
  <c r="T141"/>
  <c r="T152"/>
  <c r="T144"/>
  <c r="T146"/>
  <c r="T142"/>
  <c r="T155"/>
  <c r="T150"/>
  <c r="T148"/>
  <c r="T140"/>
  <c r="T73"/>
  <c r="T98" s="1"/>
  <c r="T139"/>
  <c r="AF139" s="1"/>
  <c r="T153"/>
  <c r="T151"/>
  <c r="T143"/>
  <c r="T145"/>
  <c r="T154"/>
  <c r="T156"/>
  <c r="T158"/>
  <c r="T157"/>
  <c r="S73"/>
  <c r="S98"/>
  <c r="Z18"/>
  <c r="Z15"/>
  <c r="Z27"/>
  <c r="Z20"/>
  <c r="Z26"/>
  <c r="AF26" s="1"/>
  <c r="Z25"/>
  <c r="AF25" s="1"/>
  <c r="Z21"/>
  <c r="AF21" s="1"/>
  <c r="A120"/>
  <c r="M280" s="1"/>
  <c r="N280" s="1"/>
  <c r="Z16"/>
  <c r="Z17"/>
  <c r="A127"/>
  <c r="M287" s="1"/>
  <c r="N287" s="1"/>
  <c r="AB184"/>
  <c r="A124"/>
  <c r="AA183"/>
  <c r="A123"/>
  <c r="AB182"/>
  <c r="A122"/>
  <c r="A115"/>
  <c r="R173"/>
  <c r="A114"/>
  <c r="R176"/>
  <c r="A117"/>
  <c r="A116"/>
  <c r="A125"/>
  <c r="A126"/>
  <c r="M286" s="1"/>
  <c r="A121"/>
  <c r="A119"/>
  <c r="A118"/>
  <c r="R170"/>
  <c r="A111"/>
  <c r="A110"/>
  <c r="A113"/>
  <c r="R171"/>
  <c r="A112"/>
  <c r="X189"/>
  <c r="A128"/>
  <c r="M288" s="1"/>
  <c r="W189"/>
  <c r="W184"/>
  <c r="W183"/>
  <c r="W182"/>
  <c r="X184"/>
  <c r="X183"/>
  <c r="X182"/>
  <c r="S189"/>
  <c r="AA184"/>
  <c r="AB183"/>
  <c r="AA182"/>
  <c r="T184"/>
  <c r="T183"/>
  <c r="T182"/>
  <c r="AC184"/>
  <c r="AC183"/>
  <c r="AC182"/>
  <c r="AC174"/>
  <c r="AD174" s="1"/>
  <c r="AC181"/>
  <c r="AC189"/>
  <c r="U189"/>
  <c r="Z189"/>
  <c r="AD189"/>
  <c r="V189"/>
  <c r="R189"/>
  <c r="T189" s="1"/>
  <c r="U184"/>
  <c r="R184"/>
  <c r="V179"/>
  <c r="X179" s="1"/>
  <c r="V183"/>
  <c r="V181"/>
  <c r="X181" s="1"/>
  <c r="R181"/>
  <c r="Z184"/>
  <c r="Z183"/>
  <c r="Z182"/>
  <c r="Z181"/>
  <c r="Z179"/>
  <c r="AD184"/>
  <c r="V184"/>
  <c r="V182"/>
  <c r="U182"/>
  <c r="R182"/>
  <c r="U179"/>
  <c r="W179" s="1"/>
  <c r="R179"/>
  <c r="U183"/>
  <c r="R183"/>
  <c r="U181"/>
  <c r="W181" s="1"/>
  <c r="AC179"/>
  <c r="AC178"/>
  <c r="AC177"/>
  <c r="AC169"/>
  <c r="AD169" s="1"/>
  <c r="AC172"/>
  <c r="AD172" s="1"/>
  <c r="AC175"/>
  <c r="AC176"/>
  <c r="AC170"/>
  <c r="AD170" s="1"/>
  <c r="AC173"/>
  <c r="AD173" s="1"/>
  <c r="AC171"/>
  <c r="AD171" s="1"/>
  <c r="R169"/>
  <c r="Z169"/>
  <c r="Z173"/>
  <c r="Z171"/>
  <c r="Z177"/>
  <c r="Z176"/>
  <c r="Z174"/>
  <c r="Z172"/>
  <c r="Z178"/>
  <c r="Z170"/>
  <c r="Z175"/>
  <c r="S169"/>
  <c r="V173"/>
  <c r="X173" s="1"/>
  <c r="U177"/>
  <c r="W177" s="1"/>
  <c r="R172"/>
  <c r="V178"/>
  <c r="X178" s="1"/>
  <c r="R178"/>
  <c r="S170"/>
  <c r="U176"/>
  <c r="W176" s="1"/>
  <c r="R177"/>
  <c r="V174"/>
  <c r="X174" s="1"/>
  <c r="R174"/>
  <c r="U172"/>
  <c r="W172" s="1"/>
  <c r="S172"/>
  <c r="U175"/>
  <c r="W175" s="1"/>
  <c r="U171"/>
  <c r="W171" s="1"/>
  <c r="U173"/>
  <c r="W173" s="1"/>
  <c r="S173"/>
  <c r="V177"/>
  <c r="S174"/>
  <c r="V172"/>
  <c r="X172" s="1"/>
  <c r="U178"/>
  <c r="W178" s="1"/>
  <c r="U170"/>
  <c r="W170" s="1"/>
  <c r="R175"/>
  <c r="V171"/>
  <c r="X171" s="1"/>
  <c r="S171"/>
  <c r="U174"/>
  <c r="W174" s="1"/>
  <c r="V170"/>
  <c r="X170" s="1"/>
  <c r="V175"/>
  <c r="V176"/>
  <c r="X176" s="1"/>
  <c r="U169"/>
  <c r="W169" s="1"/>
  <c r="V169"/>
  <c r="X169" s="1"/>
  <c r="W29"/>
  <c r="AD181" s="1"/>
  <c r="W28"/>
  <c r="S179" s="1"/>
  <c r="W27"/>
  <c r="S178" s="1"/>
  <c r="W26"/>
  <c r="S177" s="1"/>
  <c r="W32"/>
  <c r="S184" s="1"/>
  <c r="W31"/>
  <c r="S183" s="1"/>
  <c r="W30"/>
  <c r="W25"/>
  <c r="S176" s="1"/>
  <c r="W21"/>
  <c r="S175" s="1"/>
  <c r="L150" l="1"/>
  <c r="N150"/>
  <c r="M151"/>
  <c r="AE150"/>
  <c r="Z150"/>
  <c r="AA29"/>
  <c r="AE29"/>
  <c r="AD29"/>
  <c r="AF29"/>
  <c r="G151" s="1"/>
  <c r="H151" s="1"/>
  <c r="AC29"/>
  <c r="X29"/>
  <c r="Y29" s="1"/>
  <c r="AB29"/>
  <c r="AF149"/>
  <c r="AE149"/>
  <c r="AD150"/>
  <c r="U150"/>
  <c r="N118" s="1"/>
  <c r="X150"/>
  <c r="AA150"/>
  <c r="X109"/>
  <c r="AB109"/>
  <c r="V150"/>
  <c r="W109"/>
  <c r="AA109"/>
  <c r="AE109"/>
  <c r="L118" s="1"/>
  <c r="W84"/>
  <c r="AA84"/>
  <c r="AE84"/>
  <c r="X84"/>
  <c r="AB84"/>
  <c r="AF84"/>
  <c r="V109"/>
  <c r="Z109"/>
  <c r="AD109"/>
  <c r="K118" s="1"/>
  <c r="Y150"/>
  <c r="Y109"/>
  <c r="AC109"/>
  <c r="AF109"/>
  <c r="M118" s="1"/>
  <c r="Y84"/>
  <c r="AC84"/>
  <c r="V84"/>
  <c r="Z84"/>
  <c r="AD84"/>
  <c r="U149"/>
  <c r="N117" s="1"/>
  <c r="X149"/>
  <c r="W108"/>
  <c r="AA108"/>
  <c r="AE108"/>
  <c r="L117" s="1"/>
  <c r="Y149"/>
  <c r="X108"/>
  <c r="AB108"/>
  <c r="AF108"/>
  <c r="M117" s="1"/>
  <c r="Y83"/>
  <c r="AC83"/>
  <c r="V83"/>
  <c r="Z83"/>
  <c r="AD83"/>
  <c r="W149"/>
  <c r="AA149"/>
  <c r="Y108"/>
  <c r="AC108"/>
  <c r="V149"/>
  <c r="V108"/>
  <c r="Z108"/>
  <c r="AD108"/>
  <c r="K117" s="1"/>
  <c r="W83"/>
  <c r="AA83"/>
  <c r="AE83"/>
  <c r="X83"/>
  <c r="AB83"/>
  <c r="AF83"/>
  <c r="L151"/>
  <c r="M150"/>
  <c r="N151"/>
  <c r="Z149"/>
  <c r="AD28"/>
  <c r="AA28"/>
  <c r="AE28"/>
  <c r="AF28"/>
  <c r="X28"/>
  <c r="Y28" s="1"/>
  <c r="AB28"/>
  <c r="AC28"/>
  <c r="AD149"/>
  <c r="AC150"/>
  <c r="W150"/>
  <c r="AF140"/>
  <c r="AF144"/>
  <c r="AF141"/>
  <c r="AF147"/>
  <c r="AF145"/>
  <c r="AF142"/>
  <c r="AF146"/>
  <c r="AF148"/>
  <c r="AD17"/>
  <c r="AD15"/>
  <c r="AF15"/>
  <c r="AD19"/>
  <c r="AB146"/>
  <c r="AB148"/>
  <c r="AB143"/>
  <c r="AB147"/>
  <c r="X16"/>
  <c r="Y16" s="1"/>
  <c r="AF16"/>
  <c r="AF143"/>
  <c r="AE140"/>
  <c r="AD146"/>
  <c r="AE142"/>
  <c r="AE143"/>
  <c r="AD143"/>
  <c r="AC143"/>
  <c r="AC146"/>
  <c r="AC144"/>
  <c r="AD147"/>
  <c r="AE139"/>
  <c r="AD144"/>
  <c r="AC147"/>
  <c r="AE148"/>
  <c r="AE141"/>
  <c r="AE147"/>
  <c r="AE145"/>
  <c r="AE144"/>
  <c r="AC148"/>
  <c r="AE146"/>
  <c r="AD148"/>
  <c r="M147"/>
  <c r="O147" s="1"/>
  <c r="P147" s="1"/>
  <c r="N144"/>
  <c r="O144" s="1"/>
  <c r="P144" s="1"/>
  <c r="N148"/>
  <c r="M148"/>
  <c r="O148" s="1"/>
  <c r="P148" s="1"/>
  <c r="N149"/>
  <c r="O149" s="1"/>
  <c r="P149" s="1"/>
  <c r="T173"/>
  <c r="AA19"/>
  <c r="Z147"/>
  <c r="L148"/>
  <c r="O287"/>
  <c r="V80"/>
  <c r="X15"/>
  <c r="Y15" s="1"/>
  <c r="X18"/>
  <c r="Y18" s="1"/>
  <c r="AD18"/>
  <c r="AA18"/>
  <c r="X19"/>
  <c r="Y19" s="1"/>
  <c r="V147"/>
  <c r="T176"/>
  <c r="AB15"/>
  <c r="AA15"/>
  <c r="AB19"/>
  <c r="Y80"/>
  <c r="W82"/>
  <c r="X82" s="1"/>
  <c r="X76"/>
  <c r="AC142" s="1"/>
  <c r="AA16"/>
  <c r="AC16" s="1"/>
  <c r="AE16" s="1"/>
  <c r="V74"/>
  <c r="Y74" s="1"/>
  <c r="W140" s="1"/>
  <c r="W78"/>
  <c r="V77"/>
  <c r="AB77" s="1"/>
  <c r="W77"/>
  <c r="AC77"/>
  <c r="X143"/>
  <c r="Y77"/>
  <c r="W143" s="1"/>
  <c r="X77"/>
  <c r="V143" s="1"/>
  <c r="W106"/>
  <c r="Y81"/>
  <c r="Z106"/>
  <c r="AB81"/>
  <c r="AB106"/>
  <c r="AD81"/>
  <c r="W80"/>
  <c r="X80" s="1"/>
  <c r="V146" s="1"/>
  <c r="W146"/>
  <c r="Z80"/>
  <c r="AA105" s="1"/>
  <c r="AB105" s="1"/>
  <c r="V82"/>
  <c r="AF82" s="1"/>
  <c r="AE82"/>
  <c r="X148"/>
  <c r="Z148" s="1"/>
  <c r="Y82"/>
  <c r="W148" s="1"/>
  <c r="W74"/>
  <c r="V75"/>
  <c r="W75"/>
  <c r="V81"/>
  <c r="X147"/>
  <c r="Y106"/>
  <c r="W147"/>
  <c r="AA106"/>
  <c r="AC81"/>
  <c r="AE81"/>
  <c r="AD106"/>
  <c r="K115" s="1"/>
  <c r="V106"/>
  <c r="AF81"/>
  <c r="X81"/>
  <c r="AF106"/>
  <c r="M115" s="1"/>
  <c r="X106"/>
  <c r="Z81"/>
  <c r="X141"/>
  <c r="X78"/>
  <c r="V144" s="1"/>
  <c r="V78"/>
  <c r="X144"/>
  <c r="Z144" s="1"/>
  <c r="X140"/>
  <c r="AC106"/>
  <c r="AE106"/>
  <c r="L115" s="1"/>
  <c r="W81"/>
  <c r="Y147"/>
  <c r="AA81"/>
  <c r="AA147"/>
  <c r="X139"/>
  <c r="V73"/>
  <c r="W73"/>
  <c r="V79"/>
  <c r="W79"/>
  <c r="X79" s="1"/>
  <c r="AC145" s="1"/>
  <c r="V76"/>
  <c r="AC76" s="1"/>
  <c r="X142"/>
  <c r="X146"/>
  <c r="Z146" s="1"/>
  <c r="X145"/>
  <c r="Z145" s="1"/>
  <c r="O280"/>
  <c r="AD16"/>
  <c r="AB16"/>
  <c r="AB18"/>
  <c r="AC18"/>
  <c r="AB17"/>
  <c r="X17"/>
  <c r="Y17" s="1"/>
  <c r="AA17"/>
  <c r="M278"/>
  <c r="N278" s="1"/>
  <c r="O278" s="1"/>
  <c r="AA25"/>
  <c r="AD25"/>
  <c r="X25"/>
  <c r="Y25" s="1"/>
  <c r="AB25"/>
  <c r="AA20"/>
  <c r="AD20"/>
  <c r="X20"/>
  <c r="Y20" s="1"/>
  <c r="AB20"/>
  <c r="AD21"/>
  <c r="X21"/>
  <c r="Y21" s="1"/>
  <c r="AB21"/>
  <c r="AA21"/>
  <c r="AC21" s="1"/>
  <c r="AD26"/>
  <c r="X26"/>
  <c r="Y26" s="1"/>
  <c r="AB26"/>
  <c r="AA26"/>
  <c r="AC26" s="1"/>
  <c r="AA27"/>
  <c r="AD27"/>
  <c r="X27"/>
  <c r="Y27" s="1"/>
  <c r="AB27"/>
  <c r="T171"/>
  <c r="T170"/>
  <c r="T177"/>
  <c r="AD175"/>
  <c r="Y174"/>
  <c r="X177"/>
  <c r="Y177" s="1"/>
  <c r="X175"/>
  <c r="Y175" s="1"/>
  <c r="N288"/>
  <c r="O288" s="1"/>
  <c r="N286"/>
  <c r="O286" s="1"/>
  <c r="M281"/>
  <c r="M285"/>
  <c r="M282"/>
  <c r="M283"/>
  <c r="M284"/>
  <c r="M289"/>
  <c r="G264"/>
  <c r="I264" s="1"/>
  <c r="T178"/>
  <c r="AD178"/>
  <c r="T179"/>
  <c r="Y189"/>
  <c r="AB189" s="1"/>
  <c r="AE189" s="1"/>
  <c r="Y179"/>
  <c r="AA179" s="1"/>
  <c r="AB179" s="1"/>
  <c r="AA189"/>
  <c r="T175"/>
  <c r="T174"/>
  <c r="T172"/>
  <c r="T169"/>
  <c r="AD183"/>
  <c r="AE183"/>
  <c r="AE184"/>
  <c r="AD182"/>
  <c r="S182"/>
  <c r="S181"/>
  <c r="Y183"/>
  <c r="Y184"/>
  <c r="AD179"/>
  <c r="Y181"/>
  <c r="Y182"/>
  <c r="AD176"/>
  <c r="AD177"/>
  <c r="Y169"/>
  <c r="Y173"/>
  <c r="AA173" s="1"/>
  <c r="Y171"/>
  <c r="AA171" s="1"/>
  <c r="Y176"/>
  <c r="AA176" s="1"/>
  <c r="Y178"/>
  <c r="AA178" s="1"/>
  <c r="Y172"/>
  <c r="Y170"/>
  <c r="AC19" l="1"/>
  <c r="AE19" s="1"/>
  <c r="AF19" s="1"/>
  <c r="AE18"/>
  <c r="AF18" s="1"/>
  <c r="AA75"/>
  <c r="AE26"/>
  <c r="AE21"/>
  <c r="AB78"/>
  <c r="AF75"/>
  <c r="Z142"/>
  <c r="AB82"/>
  <c r="AA80"/>
  <c r="AB80"/>
  <c r="Z143"/>
  <c r="AE80"/>
  <c r="Y105" s="1"/>
  <c r="AC80"/>
  <c r="AD82"/>
  <c r="Z75"/>
  <c r="AD75"/>
  <c r="AE77"/>
  <c r="Y75"/>
  <c r="W141" s="1"/>
  <c r="AA78"/>
  <c r="AE75"/>
  <c r="AD105"/>
  <c r="K114" s="1"/>
  <c r="Z78"/>
  <c r="AF80"/>
  <c r="X105" s="1"/>
  <c r="V148"/>
  <c r="AC105"/>
  <c r="Y78"/>
  <c r="W144" s="1"/>
  <c r="AF78"/>
  <c r="X75"/>
  <c r="AC75"/>
  <c r="AE78"/>
  <c r="AE105"/>
  <c r="AD80"/>
  <c r="Z105" s="1"/>
  <c r="Z82"/>
  <c r="AA107" s="1"/>
  <c r="AB107" s="1"/>
  <c r="AC82"/>
  <c r="AB75"/>
  <c r="AD78"/>
  <c r="Z77"/>
  <c r="AA102" s="1"/>
  <c r="AB102" s="1"/>
  <c r="AF77"/>
  <c r="AA77"/>
  <c r="AD77"/>
  <c r="AC78"/>
  <c r="AE103"/>
  <c r="AA82"/>
  <c r="AA74"/>
  <c r="AE74"/>
  <c r="Z73"/>
  <c r="AC74"/>
  <c r="AD76"/>
  <c r="AB79"/>
  <c r="Z79"/>
  <c r="AE79"/>
  <c r="AC79"/>
  <c r="AA73"/>
  <c r="Y76"/>
  <c r="AF76"/>
  <c r="V145"/>
  <c r="Y73"/>
  <c r="W139" s="1"/>
  <c r="X73"/>
  <c r="AB74"/>
  <c r="X74"/>
  <c r="Z74"/>
  <c r="AC73"/>
  <c r="AB73"/>
  <c r="Z76"/>
  <c r="AA101" s="1"/>
  <c r="AB101" s="1"/>
  <c r="AE76"/>
  <c r="AA76"/>
  <c r="AD142" s="1"/>
  <c r="AB76"/>
  <c r="AA79"/>
  <c r="Y79"/>
  <c r="AF79"/>
  <c r="AD79"/>
  <c r="AE73"/>
  <c r="AD73"/>
  <c r="AF73"/>
  <c r="AD74"/>
  <c r="AF74"/>
  <c r="V142"/>
  <c r="AC17"/>
  <c r="AE17" s="1"/>
  <c r="AF17" s="1"/>
  <c r="AC20"/>
  <c r="AE20" s="1"/>
  <c r="AF20" s="1"/>
  <c r="AC27"/>
  <c r="AE27" s="1"/>
  <c r="AF27" s="1"/>
  <c r="AC25"/>
  <c r="AE25" s="1"/>
  <c r="AA175"/>
  <c r="AB175" s="1"/>
  <c r="AE175" s="1"/>
  <c r="AF175" s="1"/>
  <c r="AA177"/>
  <c r="AB177" s="1"/>
  <c r="AE177" s="1"/>
  <c r="AF177" s="1"/>
  <c r="AA174"/>
  <c r="AB174" s="1"/>
  <c r="AE174" s="1"/>
  <c r="AF174" s="1"/>
  <c r="AC15"/>
  <c r="N283"/>
  <c r="O283" s="1"/>
  <c r="N282"/>
  <c r="O282" s="1"/>
  <c r="N285"/>
  <c r="O285" s="1"/>
  <c r="N289"/>
  <c r="O289" s="1"/>
  <c r="N281"/>
  <c r="O281" s="1"/>
  <c r="N284"/>
  <c r="O284" s="1"/>
  <c r="AB178"/>
  <c r="AE178" s="1"/>
  <c r="AE179"/>
  <c r="AF179" s="1"/>
  <c r="G150" s="1"/>
  <c r="H150" s="1"/>
  <c r="AA181"/>
  <c r="AB181" s="1"/>
  <c r="AE181" s="1"/>
  <c r="T181"/>
  <c r="AB176"/>
  <c r="AE176" s="1"/>
  <c r="AF176" s="1"/>
  <c r="AB173"/>
  <c r="AE173" s="1"/>
  <c r="AF173" s="1"/>
  <c r="AA172"/>
  <c r="AB172" s="1"/>
  <c r="AE172" s="1"/>
  <c r="AA170"/>
  <c r="AB170" s="1"/>
  <c r="AE170" s="1"/>
  <c r="AF170" s="1"/>
  <c r="AA169"/>
  <c r="AB169" s="1"/>
  <c r="AE169" s="1"/>
  <c r="AB171"/>
  <c r="AE171" s="1"/>
  <c r="AF171" s="1"/>
  <c r="AE182"/>
  <c r="Z140" l="1"/>
  <c r="AC140"/>
  <c r="Z141"/>
  <c r="AC141"/>
  <c r="G148"/>
  <c r="Z139"/>
  <c r="AC139"/>
  <c r="W105"/>
  <c r="AD103"/>
  <c r="K112" s="1"/>
  <c r="Z107"/>
  <c r="V107"/>
  <c r="V102"/>
  <c r="Z102"/>
  <c r="AC102"/>
  <c r="AC107"/>
  <c r="L114"/>
  <c r="U146"/>
  <c r="N114" s="1"/>
  <c r="AE102"/>
  <c r="AD100"/>
  <c r="AE100"/>
  <c r="V141"/>
  <c r="Y102"/>
  <c r="V105"/>
  <c r="AA100"/>
  <c r="AB100" s="1"/>
  <c r="AE107"/>
  <c r="W107"/>
  <c r="L112"/>
  <c r="Y107"/>
  <c r="X107"/>
  <c r="AD102"/>
  <c r="X100"/>
  <c r="AF105"/>
  <c r="W102"/>
  <c r="X102"/>
  <c r="Y146"/>
  <c r="AD107"/>
  <c r="AA103"/>
  <c r="AB103" s="1"/>
  <c r="Y148"/>
  <c r="AD101"/>
  <c r="K110" s="1"/>
  <c r="Z101"/>
  <c r="V101"/>
  <c r="AC101"/>
  <c r="AE99"/>
  <c r="L108" s="1"/>
  <c r="V140"/>
  <c r="AD99"/>
  <c r="K108" s="1"/>
  <c r="AD98"/>
  <c r="K107" s="1"/>
  <c r="AE98"/>
  <c r="L107" s="1"/>
  <c r="V139"/>
  <c r="W142"/>
  <c r="AE101"/>
  <c r="L110" s="1"/>
  <c r="W145"/>
  <c r="AD104"/>
  <c r="K113" s="1"/>
  <c r="Y101"/>
  <c r="W101"/>
  <c r="AA99"/>
  <c r="AB99" s="1"/>
  <c r="AE104"/>
  <c r="L113" s="1"/>
  <c r="AA104"/>
  <c r="AB104" s="1"/>
  <c r="X101"/>
  <c r="AA98"/>
  <c r="AB98" s="1"/>
  <c r="AD140" l="1"/>
  <c r="AD139"/>
  <c r="AD141"/>
  <c r="Z104"/>
  <c r="M146"/>
  <c r="N146"/>
  <c r="O146" s="1"/>
  <c r="P146" s="1"/>
  <c r="AD145"/>
  <c r="M143"/>
  <c r="N143"/>
  <c r="M141"/>
  <c r="N141"/>
  <c r="N145"/>
  <c r="M145"/>
  <c r="N140"/>
  <c r="M140"/>
  <c r="N142"/>
  <c r="M142"/>
  <c r="AC103"/>
  <c r="Y144"/>
  <c r="Y103"/>
  <c r="Z103"/>
  <c r="V103"/>
  <c r="W103"/>
  <c r="AA146"/>
  <c r="L147" s="1"/>
  <c r="J147"/>
  <c r="K147"/>
  <c r="M277" s="1"/>
  <c r="N277" s="1"/>
  <c r="O277" s="1"/>
  <c r="I147"/>
  <c r="Y141"/>
  <c r="AC100"/>
  <c r="V100"/>
  <c r="Z100"/>
  <c r="L109"/>
  <c r="L111"/>
  <c r="U143"/>
  <c r="N111" s="1"/>
  <c r="W100"/>
  <c r="X103"/>
  <c r="J149"/>
  <c r="K149"/>
  <c r="M279" s="1"/>
  <c r="N279" s="1"/>
  <c r="O279" s="1"/>
  <c r="I149"/>
  <c r="AA148"/>
  <c r="L149" s="1"/>
  <c r="K116"/>
  <c r="AF107"/>
  <c r="M114"/>
  <c r="K111"/>
  <c r="AF102"/>
  <c r="L116"/>
  <c r="U148"/>
  <c r="N116" s="1"/>
  <c r="K109"/>
  <c r="Y100"/>
  <c r="U141" s="1"/>
  <c r="N109" s="1"/>
  <c r="Y143"/>
  <c r="AF101"/>
  <c r="AB142" s="1"/>
  <c r="AC98"/>
  <c r="Z98"/>
  <c r="V98"/>
  <c r="Y139"/>
  <c r="Y98"/>
  <c r="X98"/>
  <c r="W98"/>
  <c r="AC99"/>
  <c r="Z99"/>
  <c r="V99"/>
  <c r="X99"/>
  <c r="Y140"/>
  <c r="AC104"/>
  <c r="X104"/>
  <c r="Y104"/>
  <c r="W104"/>
  <c r="W99"/>
  <c r="Y99"/>
  <c r="Y145"/>
  <c r="U142"/>
  <c r="N110" s="1"/>
  <c r="Y142"/>
  <c r="V104"/>
  <c r="H148"/>
  <c r="AE15"/>
  <c r="G147" l="1"/>
  <c r="H147" s="1"/>
  <c r="O143"/>
  <c r="P143" s="1"/>
  <c r="U144"/>
  <c r="N112" s="1"/>
  <c r="O142"/>
  <c r="P142" s="1"/>
  <c r="O140"/>
  <c r="P140" s="1"/>
  <c r="O145"/>
  <c r="P145" s="1"/>
  <c r="O141"/>
  <c r="P141" s="1"/>
  <c r="AF100"/>
  <c r="U140"/>
  <c r="N108" s="1"/>
  <c r="AF103"/>
  <c r="M112" s="1"/>
  <c r="J142"/>
  <c r="K142"/>
  <c r="M272" s="1"/>
  <c r="N272" s="1"/>
  <c r="O272" s="1"/>
  <c r="I142"/>
  <c r="AA141"/>
  <c r="L142" s="1"/>
  <c r="I144"/>
  <c r="J144"/>
  <c r="K144"/>
  <c r="M274" s="1"/>
  <c r="N274" s="1"/>
  <c r="O274" s="1"/>
  <c r="AA143"/>
  <c r="L144" s="1"/>
  <c r="M111"/>
  <c r="M116"/>
  <c r="K145"/>
  <c r="M275" s="1"/>
  <c r="N275" s="1"/>
  <c r="O275" s="1"/>
  <c r="J145"/>
  <c r="I145"/>
  <c r="AA144"/>
  <c r="L145" s="1"/>
  <c r="M110"/>
  <c r="AA142"/>
  <c r="L143" s="1"/>
  <c r="I143"/>
  <c r="K143"/>
  <c r="M273" s="1"/>
  <c r="N273" s="1"/>
  <c r="O273" s="1"/>
  <c r="J143"/>
  <c r="AA145"/>
  <c r="L146" s="1"/>
  <c r="I146"/>
  <c r="J146"/>
  <c r="K146"/>
  <c r="M276" s="1"/>
  <c r="N276" s="1"/>
  <c r="O276" s="1"/>
  <c r="AA140"/>
  <c r="L141" s="1"/>
  <c r="K141"/>
  <c r="M271" s="1"/>
  <c r="N271" s="1"/>
  <c r="O271" s="1"/>
  <c r="J141"/>
  <c r="I141"/>
  <c r="I140"/>
  <c r="J140"/>
  <c r="K140"/>
  <c r="M270" s="1"/>
  <c r="N270" s="1"/>
  <c r="O270" s="1"/>
  <c r="AF99"/>
  <c r="AB140" s="1"/>
  <c r="U139"/>
  <c r="N107" s="1"/>
  <c r="AF98"/>
  <c r="AB139" s="1"/>
  <c r="AF104"/>
  <c r="AB145" s="1"/>
  <c r="U145"/>
  <c r="N113" s="1"/>
  <c r="AA139"/>
  <c r="L140" s="1"/>
  <c r="M109" l="1"/>
  <c r="AB141"/>
  <c r="G143"/>
  <c r="H143" s="1"/>
  <c r="G149"/>
  <c r="H149" s="1"/>
  <c r="G144"/>
  <c r="H144" s="1"/>
  <c r="G145"/>
  <c r="H145" s="1"/>
  <c r="M107"/>
  <c r="M108"/>
  <c r="M113"/>
  <c r="G146" l="1"/>
  <c r="H146" s="1"/>
  <c r="G141"/>
  <c r="H141" s="1"/>
  <c r="G140"/>
  <c r="H140" s="1"/>
  <c r="G142"/>
  <c r="H142" s="1"/>
</calcChain>
</file>

<file path=xl/comments1.xml><?xml version="1.0" encoding="utf-8"?>
<comments xmlns="http://schemas.openxmlformats.org/spreadsheetml/2006/main">
  <authors>
    <author>Dad</author>
  </authors>
  <commentList>
    <comment ref="B2" authorId="0">
      <text>
        <r>
          <rPr>
            <sz val="9"/>
            <color indexed="81"/>
            <rFont val="Tahoma"/>
            <family val="2"/>
          </rPr>
          <t>Count the number of sections that meet the original selection criteria</t>
        </r>
      </text>
    </comment>
    <comment ref="C2" authorId="0">
      <text>
        <r>
          <rPr>
            <sz val="9"/>
            <color indexed="81"/>
            <rFont val="Tahoma"/>
            <family val="2"/>
          </rPr>
          <t xml:space="preserve">
Pick out the weights of any sections which meet the criteria
</t>
        </r>
      </text>
    </comment>
  </commentList>
</comments>
</file>

<file path=xl/comments2.xml><?xml version="1.0" encoding="utf-8"?>
<comments xmlns="http://schemas.openxmlformats.org/spreadsheetml/2006/main">
  <authors>
    <author>Steve</author>
    <author>Dad</author>
  </authors>
  <commentList>
    <comment ref="O1" authorId="0">
      <text>
        <r>
          <rPr>
            <sz val="9"/>
            <color indexed="81"/>
            <rFont val="Tahoma"/>
            <charset val="1"/>
          </rPr>
          <t xml:space="preserve">
Author: Steven Capri, P.E.</t>
        </r>
      </text>
    </comment>
    <comment ref="R7" authorId="0">
      <text>
        <r>
          <rPr>
            <b/>
            <sz val="9"/>
            <color indexed="81"/>
            <rFont val="Tahoma"/>
            <family val="2"/>
          </rPr>
          <t>Steve:</t>
        </r>
        <r>
          <rPr>
            <sz val="9"/>
            <color indexed="81"/>
            <rFont val="Tahoma"/>
            <family val="2"/>
          </rPr>
          <t xml:space="preserve">
These properties are culled from the matching members in the AISC dadtabase</t>
        </r>
      </text>
    </comment>
    <comment ref="AF12" authorId="0">
      <text>
        <r>
          <rPr>
            <b/>
            <sz val="9"/>
            <color indexed="81"/>
            <rFont val="Tahoma"/>
            <family val="2"/>
          </rPr>
          <t>NOTE</t>
        </r>
        <r>
          <rPr>
            <sz val="9"/>
            <color indexed="81"/>
            <rFont val="Tahoma"/>
            <family val="2"/>
          </rPr>
          <t xml:space="preserve">
For ASD - Mallow = Min Mn/167
For LRFD - Mallow = Min Mn  x0.9</t>
        </r>
      </text>
    </comment>
    <comment ref="H27" authorId="1">
      <text>
        <r>
          <rPr>
            <sz val="11"/>
            <color indexed="81"/>
            <rFont val="Tahoma"/>
            <family val="2"/>
          </rPr>
          <t xml:space="preserve">
Project specific lintel designation/reference</t>
        </r>
        <r>
          <rPr>
            <sz val="9"/>
            <color indexed="81"/>
            <rFont val="Tahoma"/>
            <family val="2"/>
          </rPr>
          <t xml:space="preserve">
</t>
        </r>
      </text>
    </comment>
    <comment ref="K37" authorId="0">
      <text>
        <r>
          <rPr>
            <b/>
            <sz val="11"/>
            <color indexed="81"/>
            <rFont val="Tahoma"/>
            <family val="2"/>
          </rPr>
          <t xml:space="preserve">NOTES:
</t>
        </r>
        <r>
          <rPr>
            <sz val="11"/>
            <color indexed="81"/>
            <rFont val="Tahoma"/>
            <family val="2"/>
          </rPr>
          <t xml:space="preserve">
1. For double angle configurations it is recommended that you confirm that the load is applied at the shear center
2. All angle configurations are calculated assuming that the LONG LEG IS VERTICAL</t>
        </r>
      </text>
    </comment>
    <comment ref="F39" authorId="1">
      <text>
        <r>
          <rPr>
            <sz val="11"/>
            <color indexed="81"/>
            <rFont val="Tahoma"/>
            <family val="2"/>
          </rPr>
          <t xml:space="preserve">
The upper and lower bounds on the vertical and horizontal leg sizes are user selected.
</t>
        </r>
        <r>
          <rPr>
            <b/>
            <sz val="11"/>
            <color indexed="81"/>
            <rFont val="Tahoma"/>
            <family val="2"/>
          </rPr>
          <t>NOTE:</t>
        </r>
        <r>
          <rPr>
            <sz val="11"/>
            <color indexed="81"/>
            <rFont val="Tahoma"/>
            <family val="2"/>
          </rPr>
          <t xml:space="preserve"> The vertical leg size MUST BE larger than the horizontal leg</t>
        </r>
      </text>
    </comment>
    <comment ref="F40" authorId="1">
      <text>
        <r>
          <rPr>
            <sz val="10"/>
            <color indexed="81"/>
            <rFont val="Tahoma"/>
            <family val="2"/>
          </rPr>
          <t xml:space="preserve">
Minimum allowable leg size is 2.5 inches</t>
        </r>
      </text>
    </comment>
    <comment ref="K40" authorId="1">
      <text>
        <r>
          <rPr>
            <sz val="9"/>
            <color indexed="81"/>
            <rFont val="Tahoma"/>
            <family val="2"/>
          </rPr>
          <t xml:space="preserve">
</t>
        </r>
        <r>
          <rPr>
            <sz val="11"/>
            <color indexed="81"/>
            <rFont val="Tahoma"/>
            <family val="2"/>
          </rPr>
          <t>Minimum allowable leg size is 2.5 inches</t>
        </r>
        <r>
          <rPr>
            <sz val="9"/>
            <color indexed="81"/>
            <rFont val="Tahoma"/>
            <family val="2"/>
          </rPr>
          <t xml:space="preserve">
</t>
        </r>
      </text>
    </comment>
    <comment ref="F41" authorId="1">
      <text>
        <r>
          <rPr>
            <sz val="10"/>
            <color indexed="81"/>
            <rFont val="Tahoma"/>
            <family val="2"/>
          </rPr>
          <t xml:space="preserve">
</t>
        </r>
        <r>
          <rPr>
            <sz val="11"/>
            <color indexed="81"/>
            <rFont val="Tahoma"/>
            <family val="2"/>
          </rPr>
          <t>Maximum allowable leg size is 8 inches</t>
        </r>
      </text>
    </comment>
    <comment ref="K41" authorId="0">
      <text>
        <r>
          <rPr>
            <sz val="11"/>
            <color indexed="81"/>
            <rFont val="Tahoma"/>
            <family val="2"/>
          </rPr>
          <t>Maximum allowable leg size is 8 inches</t>
        </r>
      </text>
    </comment>
    <comment ref="M43" authorId="1">
      <text>
        <r>
          <rPr>
            <sz val="10"/>
            <color indexed="81"/>
            <rFont val="Tahoma"/>
            <family val="2"/>
          </rPr>
          <t xml:space="preserve">
Maximum number of selections is 20.
The first angles which match the size selection criteria AND have the minimum required moment of inertia and section modulus are presented. They are sorted in ascending weight order.</t>
        </r>
        <r>
          <rPr>
            <sz val="9"/>
            <color indexed="81"/>
            <rFont val="Tahoma"/>
            <family val="2"/>
          </rPr>
          <t xml:space="preserve">
</t>
        </r>
      </text>
    </comment>
    <comment ref="R49" authorId="0">
      <text>
        <r>
          <rPr>
            <b/>
            <sz val="9"/>
            <color indexed="81"/>
            <rFont val="Tahoma"/>
            <family val="2"/>
          </rPr>
          <t>Steve:</t>
        </r>
        <r>
          <rPr>
            <sz val="9"/>
            <color indexed="81"/>
            <rFont val="Tahoma"/>
            <family val="2"/>
          </rPr>
          <t xml:space="preserve">
These properties are culled from the matching members in the AISC dadtabase</t>
        </r>
      </text>
    </comment>
    <comment ref="H62" authorId="0">
      <text>
        <r>
          <rPr>
            <b/>
            <sz val="9"/>
            <color indexed="81"/>
            <rFont val="Tahoma"/>
            <family val="2"/>
          </rPr>
          <t>NOTE:</t>
        </r>
        <r>
          <rPr>
            <sz val="9"/>
            <color indexed="81"/>
            <rFont val="Tahoma"/>
            <family val="2"/>
          </rPr>
          <t xml:space="preserve">
The  triangular loading scheme is generally used for masonry construction where arching action is present</t>
        </r>
      </text>
    </comment>
    <comment ref="K62" authorId="0">
      <text>
        <r>
          <rPr>
            <b/>
            <sz val="9"/>
            <color indexed="81"/>
            <rFont val="Tahoma"/>
            <family val="2"/>
          </rPr>
          <t>NOTE:</t>
        </r>
        <r>
          <rPr>
            <sz val="9"/>
            <color indexed="81"/>
            <rFont val="Tahoma"/>
            <family val="2"/>
          </rPr>
          <t xml:space="preserve">
 The detailed analysis is for those conditions where concentrated loads or variable loads act on the lintel. In this case the maximum moment and the maximum deflection must be calculated via another separate analysis. In order to calculate the deflection however, the trial moment of inertia must be selected.</t>
        </r>
      </text>
    </comment>
    <comment ref="L73" authorId="0">
      <text>
        <r>
          <rPr>
            <b/>
            <sz val="11"/>
            <color indexed="81"/>
            <rFont val="Tahoma"/>
            <family val="2"/>
          </rPr>
          <t>NOTE:</t>
        </r>
        <r>
          <rPr>
            <sz val="11"/>
            <color indexed="81"/>
            <rFont val="Tahoma"/>
            <family val="2"/>
          </rPr>
          <t xml:space="preserve">
If detailed load conditions are used either independently or in conjunction with the uniform and/or triangular load condition then a trial moment of inertia MUST be selected. However, that trial moment of inertia must be used to calculate the trial dead and live load deflections.
This trial moment if inertia is used as a basis for determining the required moment of inertia based upon the user set deflection criteria.</t>
        </r>
      </text>
    </comment>
    <comment ref="H74" authorId="0">
      <text>
        <r>
          <rPr>
            <b/>
            <sz val="11"/>
            <color indexed="81"/>
            <rFont val="Tahoma"/>
            <family val="2"/>
          </rPr>
          <t>NOTE:</t>
        </r>
        <r>
          <rPr>
            <sz val="11"/>
            <color indexed="81"/>
            <rFont val="Tahoma"/>
            <family val="2"/>
          </rPr>
          <t xml:space="preserve">
If masonry construction is being used it is possible that arching action is present. Depending upon the height from top of the window to the bottom of the next one above, arching action may be present. If arching is present then the DL is a triangular distribution and the live loads are diverted around the lintel opening and are therefore not applicable.</t>
        </r>
      </text>
    </comment>
    <comment ref="L74" authorId="0">
      <text>
        <r>
          <rPr>
            <b/>
            <sz val="11"/>
            <color indexed="81"/>
            <rFont val="Tahoma"/>
            <family val="2"/>
          </rPr>
          <t>NOTE:</t>
        </r>
        <r>
          <rPr>
            <sz val="11"/>
            <color indexed="81"/>
            <rFont val="Tahoma"/>
            <family val="2"/>
          </rPr>
          <t xml:space="preserve">
</t>
        </r>
        <r>
          <rPr>
            <b/>
            <sz val="11"/>
            <color indexed="81"/>
            <rFont val="Tahoma"/>
            <family val="2"/>
          </rPr>
          <t xml:space="preserve">1. </t>
        </r>
        <r>
          <rPr>
            <sz val="11"/>
            <color indexed="81"/>
            <rFont val="Tahoma"/>
            <family val="2"/>
          </rPr>
          <t xml:space="preserve">The maximum moment as well as the maximum deflection are calculated via another anlysis and the results are input here.
</t>
        </r>
        <r>
          <rPr>
            <b/>
            <sz val="11"/>
            <color indexed="81"/>
            <rFont val="Tahoma"/>
            <family val="2"/>
          </rPr>
          <t xml:space="preserve">2 </t>
        </r>
        <r>
          <rPr>
            <sz val="11"/>
            <color indexed="81"/>
            <rFont val="Tahoma"/>
            <family val="2"/>
          </rPr>
          <t>It is assumed that the maximum moment for any detailed load condition will produce both the maximum moment as well as the maximum deflection at the center of the span</t>
        </r>
      </text>
    </comment>
    <comment ref="I81" authorId="0">
      <text>
        <r>
          <rPr>
            <b/>
            <sz val="11"/>
            <color indexed="81"/>
            <rFont val="Tahoma"/>
            <family val="2"/>
          </rPr>
          <t>NOTE:</t>
        </r>
        <r>
          <rPr>
            <sz val="11"/>
            <color indexed="81"/>
            <rFont val="Tahoma"/>
            <family val="2"/>
          </rPr>
          <t xml:space="preserve">
This equivalent uniform load is calculated as that which will produce a maximum moment which is equivalent to that of the triangular load distribution.</t>
        </r>
      </text>
    </comment>
    <comment ref="I82" authorId="0">
      <text>
        <r>
          <rPr>
            <b/>
            <sz val="11"/>
            <color indexed="81"/>
            <rFont val="Tahoma"/>
            <family val="2"/>
          </rPr>
          <t xml:space="preserve">NOTE:
</t>
        </r>
        <r>
          <rPr>
            <sz val="11"/>
            <color indexed="81"/>
            <rFont val="Tahoma"/>
            <family val="2"/>
          </rPr>
          <t xml:space="preserve">
This equivalent uniform load is calculated as that which will produce a maximum deflection which is equivalent to that of the triangular load distribution.</t>
        </r>
      </text>
    </comment>
    <comment ref="G95" authorId="0">
      <text>
        <r>
          <rPr>
            <b/>
            <sz val="11"/>
            <color indexed="81"/>
            <rFont val="Tahoma"/>
            <family val="2"/>
          </rPr>
          <t>NOTE:</t>
        </r>
        <r>
          <rPr>
            <sz val="11"/>
            <color indexed="81"/>
            <rFont val="Tahoma"/>
            <family val="2"/>
          </rPr>
          <t xml:space="preserve">
For LRFD weq= 1.2DL+1.6LL
However, if no live load is presented then the equivalent uniform load is 1.4D</t>
        </r>
      </text>
    </comment>
    <comment ref="M96" authorId="0">
      <text>
        <r>
          <rPr>
            <b/>
            <sz val="9"/>
            <color indexed="81"/>
            <rFont val="Tahoma"/>
            <family val="2"/>
          </rPr>
          <t xml:space="preserve">
</t>
        </r>
        <r>
          <rPr>
            <b/>
            <sz val="11"/>
            <color indexed="81"/>
            <rFont val="Tahoma"/>
            <family val="2"/>
          </rPr>
          <t>NOTE:
FOR ASD</t>
        </r>
        <r>
          <rPr>
            <sz val="11"/>
            <color indexed="81"/>
            <rFont val="Tahoma"/>
            <family val="2"/>
          </rPr>
          <t xml:space="preserve"> - The initial required section modulus (for all loading conditions) is selected using Fy/1.67 as the allowable bending stress.
</t>
        </r>
        <r>
          <rPr>
            <b/>
            <sz val="11"/>
            <color indexed="81"/>
            <rFont val="Tahoma"/>
            <family val="2"/>
          </rPr>
          <t>FOR LRFD -</t>
        </r>
        <r>
          <rPr>
            <sz val="11"/>
            <color indexed="81"/>
            <rFont val="Tahoma"/>
            <family val="2"/>
          </rPr>
          <t xml:space="preserve"> The initial section modulus is taken as with 0.9*Fy as the bending stress
The "required" section modulus is a starting point for the member selection. After members are initially culled from the database they are then checked to see if they meet the AISC criteria for bending
</t>
        </r>
      </text>
    </comment>
    <comment ref="H103" authorId="0">
      <text>
        <r>
          <rPr>
            <b/>
            <sz val="11"/>
            <color indexed="81"/>
            <rFont val="Tahoma"/>
            <family val="2"/>
          </rPr>
          <t xml:space="preserve">NOTE:
</t>
        </r>
        <r>
          <rPr>
            <sz val="11"/>
            <color indexed="81"/>
            <rFont val="Tahoma"/>
            <family val="2"/>
          </rPr>
          <t xml:space="preserve">
The principle axis moments of inertia and section moduli are not calculated for single equal length leg angles nor for any double angle configurations</t>
        </r>
      </text>
    </comment>
    <comment ref="R130" authorId="0">
      <text>
        <r>
          <rPr>
            <b/>
            <sz val="9"/>
            <color indexed="81"/>
            <rFont val="Tahoma"/>
            <family val="2"/>
          </rPr>
          <t>Steve:</t>
        </r>
        <r>
          <rPr>
            <sz val="9"/>
            <color indexed="81"/>
            <rFont val="Tahoma"/>
            <family val="2"/>
          </rPr>
          <t xml:space="preserve">
These properties are culled from the matching members in the AISC dadtabase</t>
        </r>
      </text>
    </comment>
    <comment ref="I132" authorId="0">
      <text>
        <r>
          <rPr>
            <b/>
            <sz val="11"/>
            <color indexed="81"/>
            <rFont val="Tahoma"/>
            <family val="2"/>
          </rPr>
          <t>NOTE:</t>
        </r>
        <r>
          <rPr>
            <sz val="11"/>
            <color indexed="81"/>
            <rFont val="Tahoma"/>
            <family val="2"/>
          </rPr>
          <t xml:space="preserve">
All deflections are evaluated at the service loads</t>
        </r>
      </text>
    </comment>
    <comment ref="AC132" authorId="0">
      <text>
        <r>
          <rPr>
            <b/>
            <sz val="11"/>
            <color indexed="81"/>
            <rFont val="Tahoma"/>
            <family val="2"/>
          </rPr>
          <t>NOTE:</t>
        </r>
        <r>
          <rPr>
            <sz val="11"/>
            <color indexed="81"/>
            <rFont val="Tahoma"/>
            <family val="2"/>
          </rPr>
          <t xml:space="preserve">
For compact sections the limit state of local leg buckling does not apply</t>
        </r>
      </text>
    </comment>
    <comment ref="F134" authorId="0">
      <text>
        <r>
          <rPr>
            <b/>
            <sz val="11"/>
            <color indexed="81"/>
            <rFont val="Tahoma"/>
            <family val="2"/>
          </rPr>
          <t>NOTE:
For ASD</t>
        </r>
        <r>
          <rPr>
            <sz val="11"/>
            <color indexed="81"/>
            <rFont val="Tahoma"/>
            <family val="2"/>
          </rPr>
          <t xml:space="preserve"> these are using the service loads
</t>
        </r>
        <r>
          <rPr>
            <b/>
            <sz val="11"/>
            <color indexed="81"/>
            <rFont val="Tahoma"/>
            <family val="2"/>
          </rPr>
          <t xml:space="preserve"> For LRFD</t>
        </r>
        <r>
          <rPr>
            <sz val="11"/>
            <color indexed="81"/>
            <rFont val="Tahoma"/>
            <family val="2"/>
          </rPr>
          <t xml:space="preserve"> these are using the factored loads</t>
        </r>
      </text>
    </comment>
    <comment ref="H134" authorId="1">
      <text>
        <r>
          <rPr>
            <sz val="11"/>
            <color indexed="81"/>
            <rFont val="Tahoma"/>
            <family val="2"/>
          </rPr>
          <t xml:space="preserve">
</t>
        </r>
        <r>
          <rPr>
            <b/>
            <sz val="11"/>
            <color indexed="81"/>
            <rFont val="Tahoma"/>
            <family val="2"/>
          </rPr>
          <t>Unity Check - Applied Moment/Allowable Moment</t>
        </r>
        <r>
          <rPr>
            <sz val="11"/>
            <color indexed="81"/>
            <rFont val="Tahoma"/>
            <family val="2"/>
          </rPr>
          <t xml:space="preserve">
There may besome selected angles for which the unity check is greater than 1 ( in which case they should be omitted) since an initial estimate of the allowable bending stress was used in the selection process.</t>
        </r>
      </text>
    </comment>
    <comment ref="I134" authorId="0">
      <text>
        <r>
          <rPr>
            <b/>
            <sz val="11"/>
            <color indexed="81"/>
            <rFont val="Tahoma"/>
            <family val="2"/>
          </rPr>
          <t xml:space="preserve">
Vertical deflections are calculated as follows:
</t>
        </r>
        <r>
          <rPr>
            <sz val="11"/>
            <color indexed="81"/>
            <rFont val="Tahoma"/>
            <family val="2"/>
          </rPr>
          <t xml:space="preserve">
</t>
        </r>
        <r>
          <rPr>
            <b/>
            <sz val="11"/>
            <color indexed="81"/>
            <rFont val="Tahoma"/>
            <family val="2"/>
          </rPr>
          <t>1. For single angles - unequal legs</t>
        </r>
        <r>
          <rPr>
            <sz val="11"/>
            <color indexed="81"/>
            <rFont val="Tahoma"/>
            <family val="2"/>
          </rPr>
          <t xml:space="preserve"> - The applied uniform load is resolved into components acting along each of the principle axes. The combined effects of deflection along both axes are then calculated. This vertical deflection is greater than that which would be calculated for a uniform load acting about the (strong) geometric axis alone. The "magnification" factor - is also shown here for the total load condition. This is simply the ratio of the deflection calculated using the principle axes moments of inertia to that calculated using the geometric axis moment of inertia.
</t>
        </r>
        <r>
          <rPr>
            <b/>
            <sz val="11"/>
            <color indexed="81"/>
            <rFont val="Tahoma"/>
            <family val="2"/>
          </rPr>
          <t>2. For single angles - equal legs -</t>
        </r>
        <r>
          <rPr>
            <sz val="11"/>
            <color indexed="81"/>
            <rFont val="Tahoma"/>
            <family val="2"/>
          </rPr>
          <t xml:space="preserve"> As per AISC Commentary, the vertical deflection due to the  uniform load bending moment about the (strong) geometric axis is multiplied by 1.56
</t>
        </r>
        <r>
          <rPr>
            <b/>
            <sz val="11"/>
            <color indexed="81"/>
            <rFont val="Tahoma"/>
            <family val="2"/>
          </rPr>
          <t>3. For double angles</t>
        </r>
        <r>
          <rPr>
            <sz val="11"/>
            <color indexed="81"/>
            <rFont val="Tahoma"/>
            <family val="2"/>
          </rPr>
          <t xml:space="preserve"> - the vertical deflections are calculated using the uniform load deflection about the geometric strong axis </t>
        </r>
        <r>
          <rPr>
            <sz val="9"/>
            <color indexed="81"/>
            <rFont val="Tahoma"/>
            <family val="2"/>
          </rPr>
          <t xml:space="preserve">
</t>
        </r>
      </text>
    </comment>
    <comment ref="M134" authorId="0">
      <text>
        <r>
          <rPr>
            <b/>
            <sz val="11"/>
            <color indexed="81"/>
            <rFont val="Tahoma"/>
            <family val="2"/>
          </rPr>
          <t xml:space="preserve">Horizontal deflections are calculated as follows:
</t>
        </r>
        <r>
          <rPr>
            <sz val="11"/>
            <color indexed="81"/>
            <rFont val="Tahoma"/>
            <family val="2"/>
          </rPr>
          <t xml:space="preserve">
</t>
        </r>
        <r>
          <rPr>
            <b/>
            <sz val="11"/>
            <color indexed="81"/>
            <rFont val="Tahoma"/>
            <family val="2"/>
          </rPr>
          <t>1. For single angles - unequal legs</t>
        </r>
        <r>
          <rPr>
            <sz val="11"/>
            <color indexed="81"/>
            <rFont val="Tahoma"/>
            <family val="2"/>
          </rPr>
          <t xml:space="preserve"> - The applied uniform load is resolved into components acting along each of the principle axes. The combined effects of deflection along both axes are then calculated. 
</t>
        </r>
        <r>
          <rPr>
            <b/>
            <sz val="11"/>
            <color indexed="81"/>
            <rFont val="Tahoma"/>
            <family val="2"/>
          </rPr>
          <t>2. For single angles - equal legs -</t>
        </r>
        <r>
          <rPr>
            <sz val="11"/>
            <color indexed="81"/>
            <rFont val="Tahoma"/>
            <family val="2"/>
          </rPr>
          <t xml:space="preserve"> As per AISC Commentary, the vertical deflection due to the  uniform load bending moment about the (strong) geometric axis is multiplied by 0.94
</t>
        </r>
        <r>
          <rPr>
            <b/>
            <sz val="11"/>
            <color indexed="81"/>
            <rFont val="Tahoma"/>
            <family val="2"/>
          </rPr>
          <t>3. For double angles</t>
        </r>
        <r>
          <rPr>
            <sz val="11"/>
            <color indexed="81"/>
            <rFont val="Tahoma"/>
            <family val="2"/>
          </rPr>
          <t xml:space="preserve"> - horizontal deflection = 0 since we are assuming that all vertical load is applied through the shear center.</t>
        </r>
        <r>
          <rPr>
            <sz val="9"/>
            <color indexed="81"/>
            <rFont val="Tahoma"/>
            <family val="2"/>
          </rPr>
          <t xml:space="preserve">
</t>
        </r>
        <r>
          <rPr>
            <b/>
            <sz val="11"/>
            <color indexed="81"/>
            <rFont val="Tahoma"/>
            <family val="2"/>
          </rPr>
          <t>4. Sign Convention</t>
        </r>
        <r>
          <rPr>
            <sz val="11"/>
            <color indexed="81"/>
            <rFont val="Tahoma"/>
            <family val="2"/>
          </rPr>
          <t xml:space="preserve"> - a positive deflection is toward the tip of the toe while negative is back towards the vertical leg</t>
        </r>
      </text>
    </comment>
    <comment ref="X134" authorId="0">
      <text>
        <r>
          <rPr>
            <b/>
            <sz val="11"/>
            <color indexed="81"/>
            <rFont val="Tahoma"/>
            <family val="2"/>
          </rPr>
          <t>NOTE:</t>
        </r>
        <r>
          <rPr>
            <sz val="11"/>
            <color indexed="81"/>
            <rFont val="Tahoma"/>
            <family val="2"/>
          </rPr>
          <t xml:space="preserve">
Equivalent uniform load - calculated from before</t>
        </r>
      </text>
    </comment>
    <comment ref="AA134" authorId="0">
      <text>
        <r>
          <rPr>
            <sz val="9"/>
            <color indexed="81"/>
            <rFont val="Tahoma"/>
            <family val="2"/>
          </rPr>
          <t xml:space="preserve">
</t>
        </r>
        <r>
          <rPr>
            <b/>
            <sz val="11"/>
            <color indexed="81"/>
            <rFont val="Tahoma"/>
            <family val="2"/>
          </rPr>
          <t>NOTE:</t>
        </r>
        <r>
          <rPr>
            <sz val="11"/>
            <color indexed="81"/>
            <rFont val="Tahoma"/>
            <family val="2"/>
          </rPr>
          <t xml:space="preserve">
Ratio of vertical deflection calculated via biaxial bending analysis versus that computed based upon simple single (strong axis) geometric bending</t>
        </r>
      </text>
    </comment>
    <comment ref="AC134" authorId="0">
      <text>
        <r>
          <rPr>
            <b/>
            <sz val="11"/>
            <color indexed="81"/>
            <rFont val="Tahoma"/>
            <family val="2"/>
          </rPr>
          <t>NOTE:</t>
        </r>
        <r>
          <rPr>
            <sz val="11"/>
            <color indexed="81"/>
            <rFont val="Tahoma"/>
            <family val="2"/>
          </rPr>
          <t xml:space="preserve">
Elastic section modulus to the toe in compression relative to the axis of bending</t>
        </r>
      </text>
    </comment>
    <comment ref="AD134" authorId="0">
      <text>
        <r>
          <rPr>
            <b/>
            <sz val="11"/>
            <color indexed="81"/>
            <rFont val="Tahoma"/>
            <family val="2"/>
          </rPr>
          <t>NOTE:</t>
        </r>
        <r>
          <rPr>
            <sz val="11"/>
            <color indexed="81"/>
            <rFont val="Tahoma"/>
            <family val="2"/>
          </rPr>
          <t xml:space="preserve">
Outside width of leg in compression. If we were to evaluate this about the geometric axis then the width b - for an angle with the LLV and load acting down-wouldl be the thickness of the angle. We will use the projected width (along the x axis) when the moment is taken about the principle x" axis.</t>
        </r>
      </text>
    </comment>
    <comment ref="P136" authorId="0">
      <text>
        <r>
          <rPr>
            <b/>
            <sz val="11"/>
            <color indexed="81"/>
            <rFont val="Tahoma"/>
            <family val="2"/>
          </rPr>
          <t xml:space="preserve">NOTE:
</t>
        </r>
        <r>
          <rPr>
            <sz val="11"/>
            <color indexed="81"/>
            <rFont val="Tahoma"/>
            <family val="2"/>
          </rPr>
          <t xml:space="preserve">
These lintels are assumed to be laterally unrestrained. For such a condition any horizontal deflection is accompanied by a need for horizontal restraint at the ends of the lintel. These restraint loads are not applicable to any condition where the lintel is laterally supported by any sort of framing or other means of support which would prevent it from deflecting horizontally. In reality if a wall is present atop the lintel then the wall itself will prevent some of the deflection and absorb some of the restraint loading due to the inherent stiffness of the wall.
For the conservative case where all forms of restraint are ignored the ends of the lintel are assumed to be simply supported and the restraint load for the total load condition is subsequently calculated based upon the uniform load that would be required to produce the stated maximum horizontal deflection at midspan. 
The restraint load is at EACH end of the lintel.</t>
        </r>
      </text>
    </comment>
    <comment ref="AD167" authorId="1">
      <text>
        <r>
          <rPr>
            <sz val="9"/>
            <color indexed="81"/>
            <rFont val="Tahoma"/>
            <family val="2"/>
          </rPr>
          <t xml:space="preserve">
If section is compact this Limit State does not apply</t>
        </r>
      </text>
    </comment>
    <comment ref="W209" authorId="1">
      <text>
        <r>
          <rPr>
            <sz val="9"/>
            <color indexed="81"/>
            <rFont val="Tahoma"/>
            <family val="2"/>
          </rPr>
          <t xml:space="preserve">
Table is taken from Blodgett</t>
        </r>
      </text>
    </comment>
    <comment ref="G264" authorId="1">
      <text>
        <r>
          <rPr>
            <sz val="9"/>
            <color indexed="81"/>
            <rFont val="Tahoma"/>
            <family val="2"/>
          </rPr>
          <t xml:space="preserve">
The calculation for the end reaction is the same for all single angles - regardless of size. Consequently, the calculation is done for the first single angle which was selected as a design choice.
</t>
        </r>
      </text>
    </comment>
  </commentList>
</comments>
</file>

<file path=xl/sharedStrings.xml><?xml version="1.0" encoding="utf-8"?>
<sst xmlns="http://schemas.openxmlformats.org/spreadsheetml/2006/main" count="1115" uniqueCount="982">
  <si>
    <t>ksi</t>
  </si>
  <si>
    <r>
      <t>V</t>
    </r>
    <r>
      <rPr>
        <vertAlign val="subscript"/>
        <sz val="11"/>
        <color theme="1"/>
        <rFont val="Calibri"/>
        <family val="2"/>
        <scheme val="minor"/>
      </rPr>
      <t>max</t>
    </r>
    <r>
      <rPr>
        <sz val="11"/>
        <color theme="1"/>
        <rFont val="Calibri"/>
        <family val="2"/>
        <scheme val="minor"/>
      </rPr>
      <t>=</t>
    </r>
  </si>
  <si>
    <r>
      <t xml:space="preserve">Steven Capri, P.E.                                                               </t>
    </r>
    <r>
      <rPr>
        <sz val="11"/>
        <rFont val="Arial"/>
        <family val="2"/>
      </rPr>
      <t xml:space="preserve">  </t>
    </r>
    <r>
      <rPr>
        <sz val="10"/>
        <rFont val="Arial"/>
        <family val="2"/>
      </rPr>
      <t xml:space="preserve"> </t>
    </r>
    <r>
      <rPr>
        <sz val="9"/>
        <rFont val="Arial"/>
        <family val="2"/>
      </rPr>
      <t>Consulting Engineer                                                                58 School St. - Suite 101                                                                   Glen Cove, N.Y. 11542</t>
    </r>
  </si>
  <si>
    <t>Project</t>
  </si>
  <si>
    <t>Lintel Designation</t>
  </si>
  <si>
    <r>
      <t>M</t>
    </r>
    <r>
      <rPr>
        <vertAlign val="subscript"/>
        <sz val="11"/>
        <color theme="1"/>
        <rFont val="Calibri"/>
        <family val="2"/>
        <scheme val="minor"/>
      </rPr>
      <t>allow</t>
    </r>
    <r>
      <rPr>
        <sz val="11"/>
        <color theme="1"/>
        <rFont val="Calibri"/>
        <family val="2"/>
        <scheme val="minor"/>
      </rPr>
      <t>=</t>
    </r>
  </si>
  <si>
    <t>lb/ft.</t>
  </si>
  <si>
    <t>Steel</t>
  </si>
  <si>
    <t>Date:</t>
  </si>
  <si>
    <t>in.</t>
  </si>
  <si>
    <t>Page</t>
  </si>
  <si>
    <t>b</t>
  </si>
  <si>
    <t>Designation/Location</t>
  </si>
  <si>
    <t>DL</t>
  </si>
  <si>
    <t>LL</t>
  </si>
  <si>
    <t>TL</t>
  </si>
  <si>
    <t>L/180</t>
  </si>
  <si>
    <t>L/240</t>
  </si>
  <si>
    <t>L/360</t>
  </si>
  <si>
    <t>L/480</t>
  </si>
  <si>
    <t>L/720</t>
  </si>
  <si>
    <t>ft.</t>
  </si>
  <si>
    <t>General</t>
  </si>
  <si>
    <t>L8X8X1-1/8</t>
  </si>
  <si>
    <t>L203X203X28.6</t>
  </si>
  <si>
    <t>L8X8X1</t>
  </si>
  <si>
    <t>L203X203X25.4</t>
  </si>
  <si>
    <t>L8X8X7/8</t>
  </si>
  <si>
    <t>L203X203X22.2</t>
  </si>
  <si>
    <t>L8X8X3/4</t>
  </si>
  <si>
    <t>L203X203X19</t>
  </si>
  <si>
    <t>L8X8X5/8</t>
  </si>
  <si>
    <t>L203X203X15.9</t>
  </si>
  <si>
    <t>L8X8X9/16</t>
  </si>
  <si>
    <t>L203X203X14.3</t>
  </si>
  <si>
    <t>L8X8X1/2</t>
  </si>
  <si>
    <t>L203X203X12.7</t>
  </si>
  <si>
    <t>L8X6X1</t>
  </si>
  <si>
    <t>L203X152X25.4</t>
  </si>
  <si>
    <t>L8X6X7/8</t>
  </si>
  <si>
    <t>L203X152X22.2</t>
  </si>
  <si>
    <t>L8X6X3/4</t>
  </si>
  <si>
    <t>L203X152X19</t>
  </si>
  <si>
    <t>L8X6X5/8</t>
  </si>
  <si>
    <t>L203X152X15.9</t>
  </si>
  <si>
    <t>L8X6X9/16</t>
  </si>
  <si>
    <t>L203X152X14.3</t>
  </si>
  <si>
    <t>L8X6X1/2</t>
  </si>
  <si>
    <t>L203X152X12.7</t>
  </si>
  <si>
    <t>L8X6X7/16</t>
  </si>
  <si>
    <t>L203X152X11.1</t>
  </si>
  <si>
    <t>L8X4X1</t>
  </si>
  <si>
    <t>L203X102X25.4</t>
  </si>
  <si>
    <t>L8X4X7/8</t>
  </si>
  <si>
    <t>L203X102X22.2</t>
  </si>
  <si>
    <t>L8X4X3/4</t>
  </si>
  <si>
    <t>L203X102X19</t>
  </si>
  <si>
    <t>L8X4X5/8</t>
  </si>
  <si>
    <t>L203X102X15.9</t>
  </si>
  <si>
    <t>L8X4X9/16</t>
  </si>
  <si>
    <t>L203X102X14.3</t>
  </si>
  <si>
    <t>L8X4X1/2</t>
  </si>
  <si>
    <t>L203X102X12.7</t>
  </si>
  <si>
    <t>L8X4X7/16</t>
  </si>
  <si>
    <t>L203X102X11.1</t>
  </si>
  <si>
    <t>L7X4X3/4</t>
  </si>
  <si>
    <t>L178X102X19</t>
  </si>
  <si>
    <t>L7X4X5/8</t>
  </si>
  <si>
    <t>L178X102X15.9</t>
  </si>
  <si>
    <t>L7X4X1/2</t>
  </si>
  <si>
    <t>L178X102X12.7</t>
  </si>
  <si>
    <t>L7X4X7/16</t>
  </si>
  <si>
    <t>L178X102X11.1</t>
  </si>
  <si>
    <t>L7X4X3/8</t>
  </si>
  <si>
    <t>L178X102X9.5</t>
  </si>
  <si>
    <t>L6X6X1</t>
  </si>
  <si>
    <t>L152X152X25.4</t>
  </si>
  <si>
    <t>L6X6X7/8</t>
  </si>
  <si>
    <t>L152X152X22.2</t>
  </si>
  <si>
    <t>L6X6X3/4</t>
  </si>
  <si>
    <t>L152X152X19</t>
  </si>
  <si>
    <t>L6X6X5/8</t>
  </si>
  <si>
    <t>L152X152X15.9</t>
  </si>
  <si>
    <t>L6X6X9/16</t>
  </si>
  <si>
    <t>L152X152X14.3</t>
  </si>
  <si>
    <t>L6X6X1/2</t>
  </si>
  <si>
    <t>L152X152X12.7</t>
  </si>
  <si>
    <t>L6X6X7/16</t>
  </si>
  <si>
    <t>L152X152X11.1</t>
  </si>
  <si>
    <t>L6X6X3/8</t>
  </si>
  <si>
    <t>L152X152X9.5</t>
  </si>
  <si>
    <t>L6X6X5/16</t>
  </si>
  <si>
    <t>L152X152X7.9</t>
  </si>
  <si>
    <t>L6X4X7/8</t>
  </si>
  <si>
    <t>L152X102X22.2</t>
  </si>
  <si>
    <t>L6X4X3/4</t>
  </si>
  <si>
    <t>L152X102X19</t>
  </si>
  <si>
    <t>L6X4X5/8</t>
  </si>
  <si>
    <t>L152X102X15.9</t>
  </si>
  <si>
    <t>L6X4X9/16</t>
  </si>
  <si>
    <t>L152X102X14.3</t>
  </si>
  <si>
    <t>L6X4X1/2</t>
  </si>
  <si>
    <t>L152X102X12.7</t>
  </si>
  <si>
    <t>L6X4X7/16</t>
  </si>
  <si>
    <t>L152X102X11.1</t>
  </si>
  <si>
    <t>L6X4X3/8</t>
  </si>
  <si>
    <t>L152X102X9.5</t>
  </si>
  <si>
    <t>L6X4X5/16</t>
  </si>
  <si>
    <t>L152X102X7.9</t>
  </si>
  <si>
    <t>L6X3-1/2X1/2</t>
  </si>
  <si>
    <t>L152X89X12.7</t>
  </si>
  <si>
    <t>L6X3-1/2X3/8</t>
  </si>
  <si>
    <t>L152X89X9.5</t>
  </si>
  <si>
    <t>L6X3-1/2X5/16</t>
  </si>
  <si>
    <t>L152X89X7.9</t>
  </si>
  <si>
    <t>L5X5X7/8</t>
  </si>
  <si>
    <t>L127X127X22.2</t>
  </si>
  <si>
    <t>L5X5X3/4</t>
  </si>
  <si>
    <t>L127X127X19</t>
  </si>
  <si>
    <t>L5X5X5/8</t>
  </si>
  <si>
    <t>L127X127X15.9</t>
  </si>
  <si>
    <t>L5X5X1/2</t>
  </si>
  <si>
    <t>L127X127X12.7</t>
  </si>
  <si>
    <t>L5X5X7/16</t>
  </si>
  <si>
    <t>L127X127X11.1</t>
  </si>
  <si>
    <t>L5X5X3/8</t>
  </si>
  <si>
    <t>L127X127X9.5</t>
  </si>
  <si>
    <t>L5X5X5/16</t>
  </si>
  <si>
    <t>L127X127X7.9</t>
  </si>
  <si>
    <t>L5X3-1/2X3/4</t>
  </si>
  <si>
    <t>L127X89X19</t>
  </si>
  <si>
    <t>L5X3-1/2X5/8</t>
  </si>
  <si>
    <t>L127X89X15.9</t>
  </si>
  <si>
    <t>L5X3-1/2X1/2</t>
  </si>
  <si>
    <t>L127X89X12.7</t>
  </si>
  <si>
    <t>L5X3-1/2X3/8</t>
  </si>
  <si>
    <t>L127X89X9.5</t>
  </si>
  <si>
    <t>L5X3-1/2X5/16</t>
  </si>
  <si>
    <t>L127X89X7.9</t>
  </si>
  <si>
    <t>L5X3-1/2X1/4</t>
  </si>
  <si>
    <t>L127X89X6.4</t>
  </si>
  <si>
    <t>L5X3X1/2</t>
  </si>
  <si>
    <t>L127X76X12.7</t>
  </si>
  <si>
    <t>L5X3X7/16</t>
  </si>
  <si>
    <t>L127X76X11.1</t>
  </si>
  <si>
    <t>L5X3X3/8</t>
  </si>
  <si>
    <t>L127X76X9.5</t>
  </si>
  <si>
    <t>L5X3X5/16</t>
  </si>
  <si>
    <t>L127X76X7.9</t>
  </si>
  <si>
    <t>L5X3X1/4</t>
  </si>
  <si>
    <t>L127X76X6.4</t>
  </si>
  <si>
    <t>L4X4X3/4</t>
  </si>
  <si>
    <t>L102X102X19</t>
  </si>
  <si>
    <t>L4X4X5/8</t>
  </si>
  <si>
    <t>L102X102X15.9</t>
  </si>
  <si>
    <t>L4X4X1/2</t>
  </si>
  <si>
    <t>L102X102X12.7</t>
  </si>
  <si>
    <t>L4X4X7/16</t>
  </si>
  <si>
    <t>L102X102X11.1</t>
  </si>
  <si>
    <t>L4X4X3/8</t>
  </si>
  <si>
    <t>L102X102X9.5</t>
  </si>
  <si>
    <t>L4X4X5/16</t>
  </si>
  <si>
    <t>L102X102X7.9</t>
  </si>
  <si>
    <t>L4X4X1/4</t>
  </si>
  <si>
    <t>L102X102X6.4</t>
  </si>
  <si>
    <t>L4X3-1/2X1/2</t>
  </si>
  <si>
    <t>L102X89X12.7</t>
  </si>
  <si>
    <t>L4X3-1/2X3/8</t>
  </si>
  <si>
    <t>L102X89X9.5</t>
  </si>
  <si>
    <t>L4X3-1/2X5/16</t>
  </si>
  <si>
    <t>L102X89X7.9</t>
  </si>
  <si>
    <t>L4X3-1/2X1/4</t>
  </si>
  <si>
    <t>L102X89X6.4</t>
  </si>
  <si>
    <t>L4X3X5/8</t>
  </si>
  <si>
    <t>L102X76X15.9</t>
  </si>
  <si>
    <t>L4X3X1/2</t>
  </si>
  <si>
    <t>L102X76X12.7</t>
  </si>
  <si>
    <t>L4X3X3/8</t>
  </si>
  <si>
    <t>L102X76X9.5</t>
  </si>
  <si>
    <t>L4X3X5/16</t>
  </si>
  <si>
    <t>L102X76X7.9</t>
  </si>
  <si>
    <t>L4X3X1/4</t>
  </si>
  <si>
    <t>L102X76X6.4</t>
  </si>
  <si>
    <t>L3-1/2X3-1/2X1/2</t>
  </si>
  <si>
    <t>L89X89X12.7</t>
  </si>
  <si>
    <t>L3-1/2X3-1/2X7/16</t>
  </si>
  <si>
    <t>L89X89X11.1</t>
  </si>
  <si>
    <t>L3-1/2X3-1/2X3/8</t>
  </si>
  <si>
    <t>L89X89X9.5</t>
  </si>
  <si>
    <t>L3-1/2X3-1/2X5/16</t>
  </si>
  <si>
    <t>L89X89X7.9</t>
  </si>
  <si>
    <t>L3-1/2X3-1/2X1/4</t>
  </si>
  <si>
    <t>L89X89X6.4</t>
  </si>
  <si>
    <t>L3-1/2X3X1/2</t>
  </si>
  <si>
    <t>L89X76X12.7</t>
  </si>
  <si>
    <t>L3-1/2X3X7/16</t>
  </si>
  <si>
    <t>L89X76X11.1</t>
  </si>
  <si>
    <t>L3-1/2X3X3/8</t>
  </si>
  <si>
    <t>L89X76X9.5</t>
  </si>
  <si>
    <t>L3-1/2X3X5/16</t>
  </si>
  <si>
    <t>L89X76X7.9</t>
  </si>
  <si>
    <t>L3-1/2X3X1/4</t>
  </si>
  <si>
    <t>L89X76X6.4</t>
  </si>
  <si>
    <t>L3-1/2X2-1/2X1/2</t>
  </si>
  <si>
    <t>L89X64X12.7</t>
  </si>
  <si>
    <t>L3-1/2X2-1/2X3/8</t>
  </si>
  <si>
    <t>L89X64X9.5</t>
  </si>
  <si>
    <t>L3-1/2X2-1/2X5/16</t>
  </si>
  <si>
    <t>L89X64X7.9</t>
  </si>
  <si>
    <t>L3-1/2X2-1/2X1/4</t>
  </si>
  <si>
    <t>L89X64X6.4</t>
  </si>
  <si>
    <t>L3X3X1/2</t>
  </si>
  <si>
    <t>L76X76X12.7</t>
  </si>
  <si>
    <t>L3X3X7/16</t>
  </si>
  <si>
    <t>L76X76X11.1</t>
  </si>
  <si>
    <t>L3X3X3/8</t>
  </si>
  <si>
    <t>L76X76X9.5</t>
  </si>
  <si>
    <t>L3X3X5/16</t>
  </si>
  <si>
    <t>L76X76X7.9</t>
  </si>
  <si>
    <t>L3X3X1/4</t>
  </si>
  <si>
    <t>L76X76X6.4</t>
  </si>
  <si>
    <t>L3X3X3/16</t>
  </si>
  <si>
    <t>L76X76X4.8</t>
  </si>
  <si>
    <t>L3X2-1/2X1/2</t>
  </si>
  <si>
    <t>L76X64X12.7</t>
  </si>
  <si>
    <t>L3X2-1/2X7/16</t>
  </si>
  <si>
    <t>L76X64X11.1</t>
  </si>
  <si>
    <t>L3X2-1/2X3/8</t>
  </si>
  <si>
    <t>L76X64X9.5</t>
  </si>
  <si>
    <t>L3X2-1/2X5/16</t>
  </si>
  <si>
    <t>L76X64X7.9</t>
  </si>
  <si>
    <t>L3X2-1/2X1/4</t>
  </si>
  <si>
    <t>L76X64X6.4</t>
  </si>
  <si>
    <t>L3X2-1/2X3/16</t>
  </si>
  <si>
    <t>L76X64X4.8</t>
  </si>
  <si>
    <t>L3X2X1/2</t>
  </si>
  <si>
    <t>L76X51X12.7</t>
  </si>
  <si>
    <t>L3X2X3/8</t>
  </si>
  <si>
    <t>L76X51X9.5</t>
  </si>
  <si>
    <t>L3X2X5/16</t>
  </si>
  <si>
    <t>L76X51X7.9</t>
  </si>
  <si>
    <t>L3X2X1/4</t>
  </si>
  <si>
    <t>L76X51X6.4</t>
  </si>
  <si>
    <t>L3X2X3/16</t>
  </si>
  <si>
    <t>L76X51X4.8</t>
  </si>
  <si>
    <t>L2-1/2X2-1/2X1/2</t>
  </si>
  <si>
    <t>L64X64X12.7</t>
  </si>
  <si>
    <t>L2-1/2X2-1/2X3/8</t>
  </si>
  <si>
    <t>L64X64X9.5</t>
  </si>
  <si>
    <t>L2-1/2X2-1/2X5/16</t>
  </si>
  <si>
    <t>L64X64X7.9</t>
  </si>
  <si>
    <t>L2-1/2X2-1/2X1/4</t>
  </si>
  <si>
    <t>L64X64X6.4</t>
  </si>
  <si>
    <t>L2-1/2X2-1/2X3/16</t>
  </si>
  <si>
    <t>L64X64X4.8</t>
  </si>
  <si>
    <t>L2-1/2X2X3/8</t>
  </si>
  <si>
    <t>L64X51X9.5</t>
  </si>
  <si>
    <t>L2-1/2X2X5/16</t>
  </si>
  <si>
    <t>L64X51X7.9</t>
  </si>
  <si>
    <t>L2-1/2X2X1/4</t>
  </si>
  <si>
    <t>L64X51X6.4</t>
  </si>
  <si>
    <t>L2-1/2X2X3/16</t>
  </si>
  <si>
    <t>L64X51X4.8</t>
  </si>
  <si>
    <t>L2-1/2X1-1/2X1/4</t>
  </si>
  <si>
    <t>L64X38X6.4</t>
  </si>
  <si>
    <t>L2-1/2X1-1/2X3/16</t>
  </si>
  <si>
    <t>L64X38X4.8</t>
  </si>
  <si>
    <t>L2X2X3/8</t>
  </si>
  <si>
    <t>L51X51X9.5</t>
  </si>
  <si>
    <t>L2X2X5/16</t>
  </si>
  <si>
    <t>L51X51X7.9</t>
  </si>
  <si>
    <t>L2X2X1/4</t>
  </si>
  <si>
    <t>L51X51X6.4</t>
  </si>
  <si>
    <t>L2X2X3/16</t>
  </si>
  <si>
    <t>L51X51X4.8</t>
  </si>
  <si>
    <t>L2X2X1/8</t>
  </si>
  <si>
    <t>L51X51X3.2</t>
  </si>
  <si>
    <t>AISC_MANUAL_LABEL</t>
  </si>
  <si>
    <t>IX</t>
  </si>
  <si>
    <t>ZX</t>
  </si>
  <si>
    <t>SX</t>
  </si>
  <si>
    <t>IY</t>
  </si>
  <si>
    <t>ZY</t>
  </si>
  <si>
    <t>SY</t>
  </si>
  <si>
    <t>Vert</t>
  </si>
  <si>
    <t>Horiz</t>
  </si>
  <si>
    <t>2L8X8X1-1/8</t>
  </si>
  <si>
    <t>2L203X203X28.6</t>
  </si>
  <si>
    <t>2L8X8X1</t>
  </si>
  <si>
    <t>2L203X203X25.4</t>
  </si>
  <si>
    <t>2L8X8X7/8</t>
  </si>
  <si>
    <t>2L203X203X22.2</t>
  </si>
  <si>
    <t>2L8X8X3/4</t>
  </si>
  <si>
    <t>2L203X203X19</t>
  </si>
  <si>
    <t>2L8X8X5/8</t>
  </si>
  <si>
    <t>2L203X203X15.9</t>
  </si>
  <si>
    <t>2L8X8X9/16</t>
  </si>
  <si>
    <t>2L203X203X14.3</t>
  </si>
  <si>
    <t>2L8X8X1/2</t>
  </si>
  <si>
    <t>2L203X203X12.7</t>
  </si>
  <si>
    <t>2L6X6X1</t>
  </si>
  <si>
    <t>2L152X152X25.4</t>
  </si>
  <si>
    <t>2L6X6X7/8</t>
  </si>
  <si>
    <t>2L152X152X22.2</t>
  </si>
  <si>
    <t>2L6X6X3/4</t>
  </si>
  <si>
    <t>2L152X152X19</t>
  </si>
  <si>
    <t>2L6X6X5/8</t>
  </si>
  <si>
    <t>2L152X152X15.9</t>
  </si>
  <si>
    <t>2L6X6X9/16</t>
  </si>
  <si>
    <t>2L152X152X14.3</t>
  </si>
  <si>
    <t>2L6X6X1/2</t>
  </si>
  <si>
    <t>2L152X152X12.7</t>
  </si>
  <si>
    <t>2L6X6X7/16</t>
  </si>
  <si>
    <t>2L152X152X11.1</t>
  </si>
  <si>
    <t>2L6X6X3/8</t>
  </si>
  <si>
    <t>2L152X152X9.5</t>
  </si>
  <si>
    <t>2L6X6X5/16</t>
  </si>
  <si>
    <t>2L152X152X7.9</t>
  </si>
  <si>
    <t>2L5X5X7/8</t>
  </si>
  <si>
    <t>2L127X127X22.2</t>
  </si>
  <si>
    <t>2L5X5X3/4</t>
  </si>
  <si>
    <t>2L127X127X19</t>
  </si>
  <si>
    <t>2L5X5X5/8</t>
  </si>
  <si>
    <t>2L127X127X15.9</t>
  </si>
  <si>
    <t>2L5X5X1/2</t>
  </si>
  <si>
    <t>2L127X127X12.7</t>
  </si>
  <si>
    <t>2L5X5X7/16</t>
  </si>
  <si>
    <t>2L127X127X11.1</t>
  </si>
  <si>
    <t>2L5X5X3/8</t>
  </si>
  <si>
    <t>2L127X127X9.5</t>
  </si>
  <si>
    <t>2L5X5X5/16</t>
  </si>
  <si>
    <t>2L127X127X7.9</t>
  </si>
  <si>
    <t>2L4X4X3/4</t>
  </si>
  <si>
    <t>2L102X102X19</t>
  </si>
  <si>
    <t>2L4X4X5/8</t>
  </si>
  <si>
    <t>2L102X102X15.9</t>
  </si>
  <si>
    <t>2L4X4X1/2</t>
  </si>
  <si>
    <t>2L102X102X12.7</t>
  </si>
  <si>
    <t>2L4X4X7/16</t>
  </si>
  <si>
    <t>2L102X102X11.1</t>
  </si>
  <si>
    <t>2L4X4X3/8</t>
  </si>
  <si>
    <t>2L102X102X9.5</t>
  </si>
  <si>
    <t>2L4X4X5/16</t>
  </si>
  <si>
    <t>2L102X102X7.9</t>
  </si>
  <si>
    <t>2L4X4X1/4</t>
  </si>
  <si>
    <t>2L102X102X6.4</t>
  </si>
  <si>
    <t>2L3-1/2X3-1/2X1/2</t>
  </si>
  <si>
    <t>2L89X89X12.7</t>
  </si>
  <si>
    <t>2L3-1/2X3-1/2X7/16</t>
  </si>
  <si>
    <t>2L89X89X11.1</t>
  </si>
  <si>
    <t>2L3-1/2X3-1/2X3/8</t>
  </si>
  <si>
    <t>2L89X89X9.5</t>
  </si>
  <si>
    <t>2L3-1/2X3-1/2X5/16</t>
  </si>
  <si>
    <t>2L89X89X7.9</t>
  </si>
  <si>
    <t>2L3-1/2X3-1/2X1/4</t>
  </si>
  <si>
    <t>2L89X89X6.4</t>
  </si>
  <si>
    <t>2L3X3X1/2</t>
  </si>
  <si>
    <t>2L76X76X12.7</t>
  </si>
  <si>
    <t>2L3X3X7/16</t>
  </si>
  <si>
    <t>2L76X76X11.1</t>
  </si>
  <si>
    <t>2L3X3X3/8</t>
  </si>
  <si>
    <t>2L76X76X9.5</t>
  </si>
  <si>
    <t>2L3X3X5/16</t>
  </si>
  <si>
    <t>2L76X76X7.9</t>
  </si>
  <si>
    <t>2L3X3X1/4</t>
  </si>
  <si>
    <t>2L76X76X6.4</t>
  </si>
  <si>
    <t>2L3X3X3/16</t>
  </si>
  <si>
    <t>2L76X76X4.8</t>
  </si>
  <si>
    <t>2L2-1/2X2-1/2X1/2</t>
  </si>
  <si>
    <t>2L64X64X12.7</t>
  </si>
  <si>
    <t>2L2-1/2X2-1/2X3/8</t>
  </si>
  <si>
    <t>2L64X64X9.5</t>
  </si>
  <si>
    <t>2L2-1/2X2-1/2X5/16</t>
  </si>
  <si>
    <t>2L64X64X7.9</t>
  </si>
  <si>
    <t>2L2-1/2X2-1/2X1/4</t>
  </si>
  <si>
    <t>2L64X64X6.4</t>
  </si>
  <si>
    <t>2L2-1/2X2-1/2X3/16</t>
  </si>
  <si>
    <t>2L64X64X4.8</t>
  </si>
  <si>
    <t>2L2X2X3/8</t>
  </si>
  <si>
    <t>2L51X51X9.5</t>
  </si>
  <si>
    <t>2L2X2X5/16</t>
  </si>
  <si>
    <t>2L51X51X7.9</t>
  </si>
  <si>
    <t>2L2X2X1/4</t>
  </si>
  <si>
    <t>2L51X51X6.4</t>
  </si>
  <si>
    <t>2L2X2X3/16</t>
  </si>
  <si>
    <t>2L51X51X4.8</t>
  </si>
  <si>
    <t>2L2X2X1/8</t>
  </si>
  <si>
    <t>2L51X51X3.2</t>
  </si>
  <si>
    <t>2L8X6X1LLBB</t>
  </si>
  <si>
    <t>2L203X152X25.4LLBB</t>
  </si>
  <si>
    <t>2L8X6X7/8LLBB</t>
  </si>
  <si>
    <t>2L203X152X22.2LLBB</t>
  </si>
  <si>
    <t>2L8X6X3/4LLBB</t>
  </si>
  <si>
    <t>2L203X152X19LLBB</t>
  </si>
  <si>
    <t>2L8X6X5/8LLBB</t>
  </si>
  <si>
    <t>2L203X152X15.9LLBB</t>
  </si>
  <si>
    <t>2L8X6X9/16LLBB</t>
  </si>
  <si>
    <t>2L203X152X14.3LLBB</t>
  </si>
  <si>
    <t>2L8X6X1/2LLBB</t>
  </si>
  <si>
    <t>2L203X152X12.7LLBB</t>
  </si>
  <si>
    <t>2L8X6X7/16LLBB</t>
  </si>
  <si>
    <t>2L203X152X11.1LLBB</t>
  </si>
  <si>
    <t>2L8X4X1LLBB</t>
  </si>
  <si>
    <t>2L203X102X25.4LLBB</t>
  </si>
  <si>
    <t>2L8X4X7/8LLBB</t>
  </si>
  <si>
    <t>2L203X102X22.2LLBB</t>
  </si>
  <si>
    <t>2L8X4X3/4LLBB</t>
  </si>
  <si>
    <t>2L203X102X19LLBB</t>
  </si>
  <si>
    <t>2L8X4X5/8LLBB</t>
  </si>
  <si>
    <t>2L203X102X15.9LLBB</t>
  </si>
  <si>
    <t>2L8X4X9/16LLBB</t>
  </si>
  <si>
    <t>2L203X102X14.3LLBB</t>
  </si>
  <si>
    <t>2L8X4X1/2LLBB</t>
  </si>
  <si>
    <t>2L203X102X12.7LLBB</t>
  </si>
  <si>
    <t>2L8X4X7/16LLBB</t>
  </si>
  <si>
    <t>2L203X102X11.1LLBB</t>
  </si>
  <si>
    <t>2L7X4X3/4LLBB</t>
  </si>
  <si>
    <t>2L178X102X19LLBB</t>
  </si>
  <si>
    <t>2L7X4X5/8LLBB</t>
  </si>
  <si>
    <t>2L178X102X15.9LLBB</t>
  </si>
  <si>
    <t>2L7X4X1/2LLBB</t>
  </si>
  <si>
    <t>2L178X102X12.7LLBB</t>
  </si>
  <si>
    <t>2L7X4X7/16LLBB</t>
  </si>
  <si>
    <t>2L178X102X11.1LLBB</t>
  </si>
  <si>
    <t>2L7X4X3/8LLBB</t>
  </si>
  <si>
    <t>2L178X102X9.5LLBB</t>
  </si>
  <si>
    <t>2L6X4X7/8LLBB</t>
  </si>
  <si>
    <t>2L152X102X22.2LLBB</t>
  </si>
  <si>
    <t>2L6X4X3/4LLBB</t>
  </si>
  <si>
    <t>2L152X102X19LLBB</t>
  </si>
  <si>
    <t>2L6X4X5/8LLBB</t>
  </si>
  <si>
    <t>2L152X102X15.9LLBB</t>
  </si>
  <si>
    <t>2L6X4X9/16LLBB</t>
  </si>
  <si>
    <t>2L152X102X14.3LLBB</t>
  </si>
  <si>
    <t>2L6X4X1/2LLBB</t>
  </si>
  <si>
    <t>2L152X102X12.7LLBB</t>
  </si>
  <si>
    <t>2L6X4X7/16LLBB</t>
  </si>
  <si>
    <t>2L152X102X11.1LLBB</t>
  </si>
  <si>
    <t>2L6X4X3/8LLBB</t>
  </si>
  <si>
    <t>2L152X102X9.5LLBB</t>
  </si>
  <si>
    <t>2L6X4X5/16LLBB</t>
  </si>
  <si>
    <t>2L152X102X7.9LLBB</t>
  </si>
  <si>
    <t>2L6X3-1/2X1/2LLBB</t>
  </si>
  <si>
    <t>2L152X89X12.7LLBB</t>
  </si>
  <si>
    <t>2L6X3-1/2X3/8LLBB</t>
  </si>
  <si>
    <t>2L152X89X9.5LLBB</t>
  </si>
  <si>
    <t>2L6X3-1/2X5/16LLBB</t>
  </si>
  <si>
    <t>2L152X89X7.9LLBB</t>
  </si>
  <si>
    <t>2L5X3-1/2X3/4LLBB</t>
  </si>
  <si>
    <t>2L127X89X19LLBB</t>
  </si>
  <si>
    <t>2L5X3-1/2X5/8LLBB</t>
  </si>
  <si>
    <t>2L127X89X15.9LLBB</t>
  </si>
  <si>
    <t>2L5X3-1/2X1/2LLBB</t>
  </si>
  <si>
    <t>2L127X89X12.7LLBB</t>
  </si>
  <si>
    <t>2L5X3-1/2X3/8LLBB</t>
  </si>
  <si>
    <t>2L127X89X9.5LLBB</t>
  </si>
  <si>
    <t>2L5X3-1/2X5/16LLBB</t>
  </si>
  <si>
    <t>2L127X89X7.9LLBB</t>
  </si>
  <si>
    <t>2L5X3-1/2X1/4LLBB</t>
  </si>
  <si>
    <t>2L127X89X6.4LLBB</t>
  </si>
  <si>
    <t>2L5X3X1/2LLBB</t>
  </si>
  <si>
    <t>2L127X76X12.7LLBB</t>
  </si>
  <si>
    <t>2L5X3X7/16LLBB</t>
  </si>
  <si>
    <t>2L127X76X11.1LLBB</t>
  </si>
  <si>
    <t>2L5X3X3/8LLBB</t>
  </si>
  <si>
    <t>2L127X76X9.5LLBB</t>
  </si>
  <si>
    <t>2L5X3X5/16LLBB</t>
  </si>
  <si>
    <t>2L127X76X7.9LLBB</t>
  </si>
  <si>
    <t>2L5X3X1/4LLBB</t>
  </si>
  <si>
    <t>2L127X76X6.4LLBB</t>
  </si>
  <si>
    <t>2L4X3-1/2X1/2LLBB</t>
  </si>
  <si>
    <t>2L102X89X12.7LLBB</t>
  </si>
  <si>
    <t>2L4X3-1/2X3/8LLBB</t>
  </si>
  <si>
    <t>2L102X89X9.5LLBB</t>
  </si>
  <si>
    <t>2L4X3-1/2X5/16LLBB</t>
  </si>
  <si>
    <t>2L102X89X7.9LLBB</t>
  </si>
  <si>
    <t>2L4X3-1/2X1/4LLBB</t>
  </si>
  <si>
    <t>2L102X89X6.4LLBB</t>
  </si>
  <si>
    <t>2L4X3X5/8LLBB</t>
  </si>
  <si>
    <t>2L102X76X15.9LLBB</t>
  </si>
  <si>
    <t>2L4X3X1/2LLBB</t>
  </si>
  <si>
    <t>2L102X76X12.7LLBB</t>
  </si>
  <si>
    <t>2L4X3X3/8LLBB</t>
  </si>
  <si>
    <t>2L102X76X9.5LLBB</t>
  </si>
  <si>
    <t>2L4X3X5/16LLBB</t>
  </si>
  <si>
    <t>2L102X76X7.9LLBB</t>
  </si>
  <si>
    <t>2L4X3X1/4LLBB</t>
  </si>
  <si>
    <t>2L102X76X6.4LLBB</t>
  </si>
  <si>
    <t>2L3-1/2X3X1/2LLBB</t>
  </si>
  <si>
    <t>2L89X76X12.7LLBB</t>
  </si>
  <si>
    <t>2L3-1/2X3X7/16LLBB</t>
  </si>
  <si>
    <t>2L89X76X11.1LLBB</t>
  </si>
  <si>
    <t>2L3-1/2X3X3/8LLBB</t>
  </si>
  <si>
    <t>2L89X76X9.5LLBB</t>
  </si>
  <si>
    <t>2L3-1/2X3X5/16LLBB</t>
  </si>
  <si>
    <t>2L89X76X7.9LLBB</t>
  </si>
  <si>
    <t>2L3-1/2X3X1/4LLBB</t>
  </si>
  <si>
    <t>2L89X76X6.4LLBB</t>
  </si>
  <si>
    <t>2L3-1/2X2-1/2X1/2LLBB</t>
  </si>
  <si>
    <t>2L89X64X12.7LLBB</t>
  </si>
  <si>
    <t>2L3-1/2X2-1/2X3/8LLBB</t>
  </si>
  <si>
    <t>2L89X64X9.5LLBB</t>
  </si>
  <si>
    <t>2L3-1/2X2-1/2X5/16LLBB</t>
  </si>
  <si>
    <t>2L89X64X7.9LLBB</t>
  </si>
  <si>
    <t>2L3-1/2X2-1/2X1/4LLBB</t>
  </si>
  <si>
    <t>2L89X64X6.4LLBB</t>
  </si>
  <si>
    <t>2L3X2-1/2X1/2LLBB</t>
  </si>
  <si>
    <t>2L76X64X12.7LLBB</t>
  </si>
  <si>
    <t>2L3X2-1/2X7/16LLBB</t>
  </si>
  <si>
    <t>2L76X64X11.1LLBB</t>
  </si>
  <si>
    <t>2L3X2-1/2X3/8LLBB</t>
  </si>
  <si>
    <t>2L76X64X9.5LLBB</t>
  </si>
  <si>
    <t>2L3X2-1/2X5/16LLBB</t>
  </si>
  <si>
    <t>2L76X64X7.9LLBB</t>
  </si>
  <si>
    <t>2L3X2-1/2X1/4LLBB</t>
  </si>
  <si>
    <t>2L76X64X6.4LLBB</t>
  </si>
  <si>
    <t>2L3X2-1/2X3/16LLBB</t>
  </si>
  <si>
    <t>2L76X64X4.8LLBB</t>
  </si>
  <si>
    <t>2L3X2X1/2LLBB</t>
  </si>
  <si>
    <t>2L76X51X12.7LLBB</t>
  </si>
  <si>
    <t>2L3X2X3/8LLBB</t>
  </si>
  <si>
    <t>2L76X51X9.5LLBB</t>
  </si>
  <si>
    <t>2L3X2X5/16LLBB</t>
  </si>
  <si>
    <t>2L76X51X7.9LLBB</t>
  </si>
  <si>
    <t>2L3X2X1/4LLBB</t>
  </si>
  <si>
    <t>2L76X51X6.4LLBB</t>
  </si>
  <si>
    <t>2L3X2X3/16LLBB</t>
  </si>
  <si>
    <t>2L76X51X4.8LLBB</t>
  </si>
  <si>
    <t>2L2-1/2X2X3/8LLBB</t>
  </si>
  <si>
    <t>2L64X51X9.5LLBB</t>
  </si>
  <si>
    <t>2L2-1/2X2X5/16LLBB</t>
  </si>
  <si>
    <t>2L64X51X7.9LLBB</t>
  </si>
  <si>
    <t>2L2-1/2X2X1/4LLBB</t>
  </si>
  <si>
    <t>2L64X51X6.4LLBB</t>
  </si>
  <si>
    <t>2L2-1/2X2X3/16LLBB</t>
  </si>
  <si>
    <t>2L64X51X4.8LLBB</t>
  </si>
  <si>
    <t>2L8X6X1SLBB</t>
  </si>
  <si>
    <t>2L203X152X25.4SLBB</t>
  </si>
  <si>
    <t>2L8X6X7/8SLBB</t>
  </si>
  <si>
    <t>2L203X152X22.2SLBB</t>
  </si>
  <si>
    <t>2L8X6X3/4SLBB</t>
  </si>
  <si>
    <t>2L203X152X19SLBB</t>
  </si>
  <si>
    <t>2L8X6X5/8SLBB</t>
  </si>
  <si>
    <t>2L203X152X15.9SLBB</t>
  </si>
  <si>
    <t>2L8X6X9/16SLBB</t>
  </si>
  <si>
    <t>2L203X152X14.3SLBB</t>
  </si>
  <si>
    <t>2L8X6X1/2SLBB</t>
  </si>
  <si>
    <t>2L203X152X12.7SLBB</t>
  </si>
  <si>
    <t>2L8X6X7/16SLBB</t>
  </si>
  <si>
    <t>2L203X152X11.1SLBB</t>
  </si>
  <si>
    <t>2L8X4X1SLBB</t>
  </si>
  <si>
    <t>2L203X102X25.4SLBB</t>
  </si>
  <si>
    <t>2L8X4X7/8SLBB</t>
  </si>
  <si>
    <t>2L203X102X22.2SLBB</t>
  </si>
  <si>
    <t>2L8X4X3/4SLBB</t>
  </si>
  <si>
    <t>2L203X102X19SLBB</t>
  </si>
  <si>
    <t>2L8X4X5/8SLBB</t>
  </si>
  <si>
    <t>2L203X102X15.9SLBB</t>
  </si>
  <si>
    <t>2L8X4X9/16SLBB</t>
  </si>
  <si>
    <t>2L203X102X14.3SLBB</t>
  </si>
  <si>
    <t>2L8X4X1/2SLBB</t>
  </si>
  <si>
    <t>2L203X102X12.7SLBB</t>
  </si>
  <si>
    <t>2L8X4X7/16SLBB</t>
  </si>
  <si>
    <t>2L203X102X11.1SLBB</t>
  </si>
  <si>
    <t>2L7X4X3/4SLBB</t>
  </si>
  <si>
    <t>2L178X102X19SLBB</t>
  </si>
  <si>
    <t>2L7X4X5/8SLBB</t>
  </si>
  <si>
    <t>2L178X102X15.9SLBB</t>
  </si>
  <si>
    <t>2L7X4X1/2SLBB</t>
  </si>
  <si>
    <t>2L178X102X12.7SLBB</t>
  </si>
  <si>
    <t>2L7X4X7/16SLBB</t>
  </si>
  <si>
    <t>2L178X102X11.1SLBB</t>
  </si>
  <si>
    <t>2L7X4X3/8SLBB</t>
  </si>
  <si>
    <t>2L178X102X9.5SLBB</t>
  </si>
  <si>
    <t>2L6X4X7/8SLBB</t>
  </si>
  <si>
    <t>2L152X102X22.2SLBB</t>
  </si>
  <si>
    <t>2L6X4X3/4SLBB</t>
  </si>
  <si>
    <t>2L152X102X19SLBB</t>
  </si>
  <si>
    <t>2L6X4X5/8SLBB</t>
  </si>
  <si>
    <t>2L152X102X15.9SLBB</t>
  </si>
  <si>
    <t>2L6X4X9/16SLBB</t>
  </si>
  <si>
    <t>2L152X102X14.3SLBB</t>
  </si>
  <si>
    <t>2L6X4X1/2SLBB</t>
  </si>
  <si>
    <t>2L152X102X12.7SLBB</t>
  </si>
  <si>
    <t>2L6X4X7/16SLBB</t>
  </si>
  <si>
    <t>2L152X102X11.1SLBB</t>
  </si>
  <si>
    <t>2L6X4X3/8SLBB</t>
  </si>
  <si>
    <t>2L152X102X9.5SLBB</t>
  </si>
  <si>
    <t>2L6X4X5/16SLBB</t>
  </si>
  <si>
    <t>2L152X102X7.9SLBB</t>
  </si>
  <si>
    <t>2L6X3-1/2X1/2SLBB</t>
  </si>
  <si>
    <t>2L152X89X12.7SLBB</t>
  </si>
  <si>
    <t>2L6X3-1/2X3/8SLBB</t>
  </si>
  <si>
    <t>2L152X89X9.5SLBB</t>
  </si>
  <si>
    <t>2L6X3-1/2X5/16SLBB</t>
  </si>
  <si>
    <t>2L152X89X7.9SLBB</t>
  </si>
  <si>
    <t>2L5X3-1/2X3/4SLBB</t>
  </si>
  <si>
    <t>2L127X89X19SLBB</t>
  </si>
  <si>
    <t>2L5X3-1/2X5/8SLBB</t>
  </si>
  <si>
    <t>2L127X89X15.9SLBB</t>
  </si>
  <si>
    <t>2L5X3-1/2X1/2SLBB</t>
  </si>
  <si>
    <t>2L127X89X12.7SLBB</t>
  </si>
  <si>
    <t>2L5X3-1/2X3/8SLBB</t>
  </si>
  <si>
    <t>2L127X89X9.5SLBB</t>
  </si>
  <si>
    <t>2L5X3-1/2X5/16SLBB</t>
  </si>
  <si>
    <t>2L127X89X7.9SLBB</t>
  </si>
  <si>
    <t>2L5X3-1/2X1/4SLBB</t>
  </si>
  <si>
    <t>2L127X89X6.4SLBB</t>
  </si>
  <si>
    <t>2L5X3X1/2SLBB</t>
  </si>
  <si>
    <t>2L127X76X12.7SLBB</t>
  </si>
  <si>
    <t>2L5X3X7/16SLBB</t>
  </si>
  <si>
    <t>2L127X76X11.1SLBB</t>
  </si>
  <si>
    <t>2L5X3X3/8SLBB</t>
  </si>
  <si>
    <t>2L127X76X9.5SLBB</t>
  </si>
  <si>
    <t>2L5X3X5/16SLBB</t>
  </si>
  <si>
    <t>2L127X76X7.9SLBB</t>
  </si>
  <si>
    <t>2L5X3X1/4SLBB</t>
  </si>
  <si>
    <t>2L127X76X6.4SLBB</t>
  </si>
  <si>
    <t>2L4X3-1/2X1/2SLBB</t>
  </si>
  <si>
    <t>2L102X89X12.7SLBB</t>
  </si>
  <si>
    <t>2L4X3-1/2X3/8SLBB</t>
  </si>
  <si>
    <t>2L102X89X9.5SLBB</t>
  </si>
  <si>
    <t>2L4X3-1/2X5/16SLBB</t>
  </si>
  <si>
    <t>2L102X89X7.9SLBB</t>
  </si>
  <si>
    <t>2L4X3-1/2X1/4SLBB</t>
  </si>
  <si>
    <t>2L102X89X6.4SLBB</t>
  </si>
  <si>
    <t>2L4X3X5/8SLBB</t>
  </si>
  <si>
    <t>2L102X76X15.9SLBB</t>
  </si>
  <si>
    <t>2L4X3X1/2SLBB</t>
  </si>
  <si>
    <t>2L102X76X12.7SLBB</t>
  </si>
  <si>
    <t>2L4X3X3/8SLBB</t>
  </si>
  <si>
    <t>2L102X76X9.5SLBB</t>
  </si>
  <si>
    <t>2L4X3X5/16SLBB</t>
  </si>
  <si>
    <t>2L102X76X7.9SLBB</t>
  </si>
  <si>
    <t>2L4X3X1/4SLBB</t>
  </si>
  <si>
    <t>2L102X76X6.4SLBB</t>
  </si>
  <si>
    <t>2L3-1/2X3X1/2SLBB</t>
  </si>
  <si>
    <t>2L89X76X12.7SLBB</t>
  </si>
  <si>
    <t>2L3-1/2X3X7/16SLBB</t>
  </si>
  <si>
    <t>2L89X76X11.1SLBB</t>
  </si>
  <si>
    <t>2L3-1/2X3X3/8SLBB</t>
  </si>
  <si>
    <t>2L89X76X9.5SLBB</t>
  </si>
  <si>
    <t>2L3-1/2X3X5/16SLBB</t>
  </si>
  <si>
    <t>2L89X76X7.9SLBB</t>
  </si>
  <si>
    <t>2L3-1/2X3X1/4SLBB</t>
  </si>
  <si>
    <t>2L89X76X6.4SLBB</t>
  </si>
  <si>
    <t>2L3-1/2X2-1/2X1/2SLBB</t>
  </si>
  <si>
    <t>2L89X64X12.7SLBB</t>
  </si>
  <si>
    <t>2L3-1/2X2-1/2X3/8SLBB</t>
  </si>
  <si>
    <t>2L89X64X9.5SLBB</t>
  </si>
  <si>
    <t>2L3-1/2X2-1/2X5/16SLBB</t>
  </si>
  <si>
    <t>2L89X64X7.9SLBB</t>
  </si>
  <si>
    <t>2L3-1/2X2-1/2X1/4SLBB</t>
  </si>
  <si>
    <t>2L89X64X6.4SLBB</t>
  </si>
  <si>
    <t>2L3X2-1/2X1/2SLBB</t>
  </si>
  <si>
    <t>2L76X64X12.7SLBB</t>
  </si>
  <si>
    <t>2L3X2-1/2X7/16SLBB</t>
  </si>
  <si>
    <t>2L76X64X11.1SLBB</t>
  </si>
  <si>
    <t>2L3X2-1/2X3/8SLBB</t>
  </si>
  <si>
    <t>2L76X64X9.5SLBB</t>
  </si>
  <si>
    <t>2L3X2-1/2X5/16SLBB</t>
  </si>
  <si>
    <t>2L76X64X7.9SLBB</t>
  </si>
  <si>
    <t>2L3X2-1/2X1/4SLBB</t>
  </si>
  <si>
    <t>2L76X64X6.4SLBB</t>
  </si>
  <si>
    <t>2L3X2-1/2X3/16SLBB</t>
  </si>
  <si>
    <t>2L76X64X4.8SLBB</t>
  </si>
  <si>
    <t>2L3X2X1/2SLBB</t>
  </si>
  <si>
    <t>2L76X51X12.7SLBB</t>
  </si>
  <si>
    <t>2L3X2X3/8SLBB</t>
  </si>
  <si>
    <t>2L76X51X9.5SLBB</t>
  </si>
  <si>
    <t>2L3X2X5/16SLBB</t>
  </si>
  <si>
    <t>2L76X51X7.9SLBB</t>
  </si>
  <si>
    <t>2L3X2X1/4SLBB</t>
  </si>
  <si>
    <t>2L76X51X6.4SLBB</t>
  </si>
  <si>
    <t>2L3X2X3/16SLBB</t>
  </si>
  <si>
    <t>2L76X51X4.8SLBB</t>
  </si>
  <si>
    <t>2L2-1/2X2X3/8SLBB</t>
  </si>
  <si>
    <t>2L64X51X9.5SLBB</t>
  </si>
  <si>
    <t>2L2-1/2X2X5/16SLBB</t>
  </si>
  <si>
    <t>2L64X51X7.9SLBB</t>
  </si>
  <si>
    <t>2L2-1/2X2X1/4SLBB</t>
  </si>
  <si>
    <t>2L64X51X6.4SLBB</t>
  </si>
  <si>
    <t>2L2-1/2X2X3/16SLBB</t>
  </si>
  <si>
    <t>2L64X51X4.8SLBB</t>
  </si>
  <si>
    <t>Single</t>
  </si>
  <si>
    <t>Double</t>
  </si>
  <si>
    <t>Either</t>
  </si>
  <si>
    <t>Type assignment</t>
  </si>
  <si>
    <t>Weight</t>
  </si>
  <si>
    <t>Angle - Design Parameter Preferences</t>
  </si>
  <si>
    <t xml:space="preserve">Criteria Match? </t>
  </si>
  <si>
    <t>Metric Designation</t>
  </si>
  <si>
    <t>U.S. Standard Designation</t>
  </si>
  <si>
    <t>Type Designation</t>
  </si>
  <si>
    <t>xdl=</t>
  </si>
  <si>
    <t>xll=</t>
  </si>
  <si>
    <t>xtl=</t>
  </si>
  <si>
    <t>DLratio=</t>
  </si>
  <si>
    <t>LLratio=</t>
  </si>
  <si>
    <t>Final Rank</t>
  </si>
  <si>
    <t>Match #</t>
  </si>
  <si>
    <t>Weight (lb/ft.)</t>
  </si>
  <si>
    <t>Angle Size</t>
  </si>
  <si>
    <r>
      <t>V</t>
    </r>
    <r>
      <rPr>
        <vertAlign val="subscript"/>
        <sz val="11"/>
        <color theme="1"/>
        <rFont val="Calibri"/>
        <family val="2"/>
        <scheme val="minor"/>
      </rPr>
      <t>min</t>
    </r>
    <r>
      <rPr>
        <sz val="11"/>
        <color theme="1"/>
        <rFont val="Calibri"/>
        <family val="2"/>
        <scheme val="minor"/>
      </rPr>
      <t>=</t>
    </r>
  </si>
  <si>
    <r>
      <t>H</t>
    </r>
    <r>
      <rPr>
        <vertAlign val="subscript"/>
        <sz val="11"/>
        <color theme="1"/>
        <rFont val="Calibri"/>
        <family val="2"/>
        <scheme val="minor"/>
      </rPr>
      <t>min</t>
    </r>
    <r>
      <rPr>
        <sz val="11"/>
        <color theme="1"/>
        <rFont val="Calibri"/>
        <family val="2"/>
        <scheme val="minor"/>
      </rPr>
      <t>=</t>
    </r>
  </si>
  <si>
    <r>
      <t>H</t>
    </r>
    <r>
      <rPr>
        <vertAlign val="subscript"/>
        <sz val="11"/>
        <color theme="1"/>
        <rFont val="Calibri"/>
        <family val="2"/>
        <scheme val="minor"/>
      </rPr>
      <t>max</t>
    </r>
    <r>
      <rPr>
        <sz val="11"/>
        <color theme="1"/>
        <rFont val="Calibri"/>
        <family val="2"/>
        <scheme val="minor"/>
      </rPr>
      <t>=</t>
    </r>
  </si>
  <si>
    <t>=</t>
  </si>
  <si>
    <t>TLratio=</t>
  </si>
  <si>
    <t>Trial Results</t>
  </si>
  <si>
    <t>Double Angles</t>
  </si>
  <si>
    <t>AISC MANUAL LABEL</t>
  </si>
  <si>
    <t>Vertical Leg Size</t>
  </si>
  <si>
    <t>Horizontal Leg Size</t>
  </si>
  <si>
    <r>
      <t>in</t>
    </r>
    <r>
      <rPr>
        <vertAlign val="superscript"/>
        <sz val="11"/>
        <color theme="1"/>
        <rFont val="Calibri"/>
        <family val="2"/>
        <scheme val="minor"/>
      </rPr>
      <t>4</t>
    </r>
  </si>
  <si>
    <t>t=</t>
  </si>
  <si>
    <t>L=</t>
  </si>
  <si>
    <t>Check span to depth ratio</t>
  </si>
  <si>
    <t>L/b</t>
  </si>
  <si>
    <r>
      <t>F</t>
    </r>
    <r>
      <rPr>
        <vertAlign val="subscript"/>
        <sz val="11"/>
        <color theme="1"/>
        <rFont val="Calibri"/>
        <family val="2"/>
        <scheme val="minor"/>
      </rPr>
      <t>y</t>
    </r>
    <r>
      <rPr>
        <sz val="11"/>
        <color theme="1"/>
        <rFont val="Calibri"/>
        <family val="2"/>
        <scheme val="minor"/>
      </rPr>
      <t>=</t>
    </r>
  </si>
  <si>
    <t>where b = vertical leg</t>
  </si>
  <si>
    <r>
      <t>F</t>
    </r>
    <r>
      <rPr>
        <vertAlign val="subscript"/>
        <sz val="11"/>
        <color theme="1"/>
        <rFont val="Calibri"/>
        <family val="2"/>
        <scheme val="minor"/>
      </rPr>
      <t xml:space="preserve">y </t>
    </r>
    <r>
      <rPr>
        <sz val="11"/>
        <color theme="1"/>
        <rFont val="Calibri"/>
        <family val="2"/>
        <scheme val="minor"/>
      </rPr>
      <t>x S</t>
    </r>
    <r>
      <rPr>
        <vertAlign val="subscript"/>
        <sz val="11"/>
        <color theme="1"/>
        <rFont val="Calibri"/>
        <family val="2"/>
        <scheme val="minor"/>
      </rPr>
      <t>xx</t>
    </r>
  </si>
  <si>
    <r>
      <t>If L/b &lt; Limit then the nominal moment M</t>
    </r>
    <r>
      <rPr>
        <vertAlign val="subscript"/>
        <sz val="11"/>
        <color theme="1"/>
        <rFont val="Calibri"/>
        <family val="2"/>
        <scheme val="minor"/>
      </rPr>
      <t>n</t>
    </r>
    <r>
      <rPr>
        <sz val="11"/>
        <color theme="1"/>
        <rFont val="Calibri"/>
        <family val="2"/>
        <scheme val="minor"/>
      </rPr>
      <t xml:space="preserve"> shall be taken as M</t>
    </r>
    <r>
      <rPr>
        <vertAlign val="subscript"/>
        <sz val="11"/>
        <color theme="1"/>
        <rFont val="Calibri"/>
        <family val="2"/>
        <scheme val="minor"/>
      </rPr>
      <t>y</t>
    </r>
  </si>
  <si>
    <t>With max compression on toe</t>
  </si>
  <si>
    <t>Limit State 3</t>
  </si>
  <si>
    <t>Limiting b/t for a compact section</t>
  </si>
  <si>
    <t>l</t>
  </si>
  <si>
    <t>Compact?</t>
  </si>
  <si>
    <t>Thickness</t>
  </si>
  <si>
    <t>For non-compact sections</t>
  </si>
  <si>
    <r>
      <t>M</t>
    </r>
    <r>
      <rPr>
        <vertAlign val="subscript"/>
        <sz val="11"/>
        <color theme="1"/>
        <rFont val="Calibri"/>
        <family val="2"/>
        <scheme val="minor"/>
      </rPr>
      <t>n</t>
    </r>
  </si>
  <si>
    <r>
      <t>C</t>
    </r>
    <r>
      <rPr>
        <vertAlign val="subscript"/>
        <sz val="11"/>
        <color theme="1"/>
        <rFont val="Calibri"/>
        <family val="2"/>
        <scheme val="minor"/>
      </rPr>
      <t>b</t>
    </r>
    <r>
      <rPr>
        <sz val="11"/>
        <color theme="1"/>
        <rFont val="Calibri"/>
        <family val="2"/>
        <scheme val="minor"/>
      </rPr>
      <t xml:space="preserve"> is conservatively taken as 1.0</t>
    </r>
  </si>
  <si>
    <t>For Double Angles</t>
  </si>
  <si>
    <r>
      <t>M</t>
    </r>
    <r>
      <rPr>
        <vertAlign val="subscript"/>
        <sz val="11"/>
        <color theme="1"/>
        <rFont val="Calibri"/>
        <family val="2"/>
        <scheme val="minor"/>
      </rPr>
      <t>e</t>
    </r>
  </si>
  <si>
    <t>Method</t>
  </si>
  <si>
    <t>Design in accordance with AISC 13th Ed Section F10</t>
  </si>
  <si>
    <t>Limit</t>
  </si>
  <si>
    <t>Mn</t>
  </si>
  <si>
    <t>Single or Double</t>
  </si>
  <si>
    <t>Properties</t>
  </si>
  <si>
    <t>Vert leg        b (in.)</t>
  </si>
  <si>
    <t>L/b Limit</t>
  </si>
  <si>
    <r>
      <t>Final M</t>
    </r>
    <r>
      <rPr>
        <vertAlign val="subscript"/>
        <sz val="12"/>
        <color theme="1"/>
        <rFont val="Calibri"/>
        <family val="2"/>
        <scheme val="minor"/>
      </rPr>
      <t>allow</t>
    </r>
  </si>
  <si>
    <t>J</t>
  </si>
  <si>
    <t>b/d</t>
  </si>
  <si>
    <t xml:space="preserve">Horiz. Leg </t>
  </si>
  <si>
    <t>b2/d2</t>
  </si>
  <si>
    <t>b1/d1</t>
  </si>
  <si>
    <r>
      <t xml:space="preserve">D </t>
    </r>
    <r>
      <rPr>
        <sz val="11"/>
        <color theme="1"/>
        <rFont val="Cambria"/>
        <family val="1"/>
        <scheme val="major"/>
      </rPr>
      <t>R</t>
    </r>
  </si>
  <si>
    <t>Db</t>
  </si>
  <si>
    <t>B</t>
  </si>
  <si>
    <t>Fcr</t>
  </si>
  <si>
    <t>AISC Section F9 - Double Angles</t>
  </si>
  <si>
    <r>
      <t>M</t>
    </r>
    <r>
      <rPr>
        <vertAlign val="subscript"/>
        <sz val="12"/>
        <color theme="1"/>
        <rFont val="Calibri"/>
        <family val="2"/>
        <scheme val="minor"/>
      </rPr>
      <t>n2</t>
    </r>
  </si>
  <si>
    <r>
      <t>M</t>
    </r>
    <r>
      <rPr>
        <vertAlign val="subscript"/>
        <sz val="12"/>
        <color theme="1"/>
        <rFont val="Calibri"/>
        <family val="2"/>
        <scheme val="minor"/>
      </rPr>
      <t>n3</t>
    </r>
  </si>
  <si>
    <t>Design in accordance with AISC 13th Ed Section F9</t>
  </si>
  <si>
    <r>
      <t>S</t>
    </r>
    <r>
      <rPr>
        <vertAlign val="subscript"/>
        <sz val="9"/>
        <color theme="1"/>
        <rFont val="Calibri"/>
        <family val="2"/>
        <scheme val="minor"/>
      </rPr>
      <t>xx</t>
    </r>
  </si>
  <si>
    <r>
      <t>M</t>
    </r>
    <r>
      <rPr>
        <vertAlign val="subscript"/>
        <sz val="9"/>
        <color theme="1"/>
        <rFont val="Calibri"/>
        <family val="2"/>
        <scheme val="minor"/>
      </rPr>
      <t>y</t>
    </r>
    <r>
      <rPr>
        <sz val="9"/>
        <color theme="1"/>
        <rFont val="Calibri"/>
        <family val="2"/>
        <scheme val="minor"/>
      </rPr>
      <t xml:space="preserve">                (k-in)</t>
    </r>
  </si>
  <si>
    <r>
      <t>M</t>
    </r>
    <r>
      <rPr>
        <vertAlign val="subscript"/>
        <sz val="9"/>
        <color theme="1"/>
        <rFont val="Calibri"/>
        <family val="2"/>
        <scheme val="minor"/>
      </rPr>
      <t xml:space="preserve">n = </t>
    </r>
    <r>
      <rPr>
        <sz val="9"/>
        <color theme="1"/>
        <rFont val="Calibri"/>
        <family val="2"/>
        <scheme val="minor"/>
      </rPr>
      <t>1.5*M</t>
    </r>
    <r>
      <rPr>
        <vertAlign val="subscript"/>
        <sz val="9"/>
        <color theme="1"/>
        <rFont val="Calibri"/>
        <family val="2"/>
        <scheme val="minor"/>
      </rPr>
      <t>y</t>
    </r>
  </si>
  <si>
    <r>
      <t>M</t>
    </r>
    <r>
      <rPr>
        <vertAlign val="subscript"/>
        <sz val="9"/>
        <color theme="1"/>
        <rFont val="Calibri"/>
        <family val="2"/>
        <scheme val="minor"/>
      </rPr>
      <t>n</t>
    </r>
  </si>
  <si>
    <r>
      <t>Min M</t>
    </r>
    <r>
      <rPr>
        <vertAlign val="subscript"/>
        <sz val="9"/>
        <color theme="1"/>
        <rFont val="Calibri"/>
        <family val="2"/>
        <scheme val="minor"/>
      </rPr>
      <t xml:space="preserve">n      </t>
    </r>
    <r>
      <rPr>
        <sz val="9"/>
        <color theme="1"/>
        <rFont val="Calibri"/>
        <family val="2"/>
        <scheme val="minor"/>
      </rPr>
      <t>(k-in)</t>
    </r>
  </si>
  <si>
    <t>Single or Dbl</t>
  </si>
  <si>
    <t xml:space="preserve">Steel Angle Lintel Design </t>
  </si>
  <si>
    <t>Unbraced length</t>
  </si>
  <si>
    <r>
      <t>for M</t>
    </r>
    <r>
      <rPr>
        <vertAlign val="subscript"/>
        <sz val="11"/>
        <color theme="1"/>
        <rFont val="Calibri"/>
        <family val="2"/>
        <scheme val="minor"/>
      </rPr>
      <t>n</t>
    </r>
    <r>
      <rPr>
        <sz val="11"/>
        <color theme="1"/>
        <rFont val="Calibri"/>
        <family val="2"/>
        <scheme val="minor"/>
      </rPr>
      <t xml:space="preserve"> to be taken as M</t>
    </r>
    <r>
      <rPr>
        <vertAlign val="subscript"/>
        <sz val="11"/>
        <color theme="1"/>
        <rFont val="Calibri"/>
        <family val="2"/>
        <scheme val="minor"/>
      </rPr>
      <t>y</t>
    </r>
  </si>
  <si>
    <r>
      <t>M</t>
    </r>
    <r>
      <rPr>
        <vertAlign val="subscript"/>
        <sz val="11"/>
        <color theme="1"/>
        <rFont val="Calibri"/>
        <family val="2"/>
        <scheme val="minor"/>
      </rPr>
      <t>p</t>
    </r>
    <r>
      <rPr>
        <sz val="11"/>
        <color theme="1"/>
        <rFont val="Calibri"/>
        <family val="2"/>
        <scheme val="minor"/>
      </rPr>
      <t xml:space="preserve"> =F</t>
    </r>
    <r>
      <rPr>
        <vertAlign val="subscript"/>
        <sz val="11"/>
        <color theme="1"/>
        <rFont val="Calibri"/>
        <family val="2"/>
        <scheme val="minor"/>
      </rPr>
      <t>y</t>
    </r>
    <r>
      <rPr>
        <sz val="11"/>
        <color theme="1"/>
        <rFont val="Calibri"/>
        <family val="2"/>
        <scheme val="minor"/>
      </rPr>
      <t>Z</t>
    </r>
    <r>
      <rPr>
        <vertAlign val="subscript"/>
        <sz val="11"/>
        <color theme="1"/>
        <rFont val="Calibri"/>
        <family val="2"/>
        <scheme val="minor"/>
      </rPr>
      <t>x</t>
    </r>
    <r>
      <rPr>
        <sz val="11"/>
        <color theme="1"/>
        <rFont val="Calibri"/>
        <family val="2"/>
        <scheme val="minor"/>
      </rPr>
      <t xml:space="preserve"> &lt;= 1.6M</t>
    </r>
    <r>
      <rPr>
        <vertAlign val="subscript"/>
        <sz val="11"/>
        <color theme="1"/>
        <rFont val="Calibri"/>
        <family val="2"/>
        <scheme val="minor"/>
      </rPr>
      <t>y</t>
    </r>
    <r>
      <rPr>
        <sz val="11"/>
        <color theme="1"/>
        <rFont val="Calibri"/>
        <family val="2"/>
        <scheme val="minor"/>
      </rPr>
      <t xml:space="preserve"> for stems in tension or &lt;=M</t>
    </r>
    <r>
      <rPr>
        <vertAlign val="subscript"/>
        <sz val="11"/>
        <color theme="1"/>
        <rFont val="Calibri"/>
        <family val="2"/>
        <scheme val="minor"/>
      </rPr>
      <t>y</t>
    </r>
    <r>
      <rPr>
        <sz val="11"/>
        <color theme="1"/>
        <rFont val="Calibri"/>
        <family val="2"/>
        <scheme val="minor"/>
      </rPr>
      <t xml:space="preserve"> for stems in compression</t>
    </r>
  </si>
  <si>
    <r>
      <t>L</t>
    </r>
    <r>
      <rPr>
        <vertAlign val="subscript"/>
        <sz val="11"/>
        <color theme="1"/>
        <rFont val="Calibri"/>
        <family val="2"/>
        <scheme val="minor"/>
      </rPr>
      <t>b</t>
    </r>
    <r>
      <rPr>
        <sz val="11"/>
        <color theme="1"/>
        <rFont val="Calibri"/>
        <family val="2"/>
        <scheme val="minor"/>
      </rPr>
      <t>=</t>
    </r>
  </si>
  <si>
    <t>E=</t>
  </si>
  <si>
    <t>where</t>
  </si>
  <si>
    <r>
      <t>M</t>
    </r>
    <r>
      <rPr>
        <vertAlign val="subscript"/>
        <sz val="11"/>
        <color theme="1"/>
        <rFont val="Calibri"/>
        <family val="2"/>
        <scheme val="minor"/>
      </rPr>
      <t>n</t>
    </r>
    <r>
      <rPr>
        <sz val="11"/>
        <color theme="1"/>
        <rFont val="Calibri"/>
        <family val="2"/>
        <scheme val="minor"/>
      </rPr>
      <t>= F</t>
    </r>
    <r>
      <rPr>
        <vertAlign val="subscript"/>
        <sz val="11"/>
        <color theme="1"/>
        <rFont val="Calibri"/>
        <family val="2"/>
        <scheme val="minor"/>
      </rPr>
      <t>cr</t>
    </r>
    <r>
      <rPr>
        <sz val="11"/>
        <color theme="1"/>
        <rFont val="Calibri"/>
        <family val="2"/>
        <scheme val="minor"/>
      </rPr>
      <t xml:space="preserve"> * S</t>
    </r>
    <r>
      <rPr>
        <vertAlign val="subscript"/>
        <sz val="11"/>
        <color theme="1"/>
        <rFont val="Calibri"/>
        <family val="2"/>
        <scheme val="minor"/>
      </rPr>
      <t>xc</t>
    </r>
  </si>
  <si>
    <t>Fcr=</t>
  </si>
  <si>
    <t>Limit State 1 - Yielding</t>
  </si>
  <si>
    <t>Limit State 2 - Lateral Torsional Buckling</t>
  </si>
  <si>
    <t>Limit State 3 - Leg Local Buckling</t>
  </si>
  <si>
    <t>If section is compact then the limit state of leg local buckling does not apply</t>
  </si>
  <si>
    <r>
      <t xml:space="preserve">Interpolate </t>
    </r>
    <r>
      <rPr>
        <sz val="10"/>
        <color theme="1"/>
        <rFont val="GreekC"/>
      </rPr>
      <t>b</t>
    </r>
    <r>
      <rPr>
        <sz val="10"/>
        <color theme="1"/>
        <rFont val="Calibri"/>
        <family val="2"/>
      </rPr>
      <t xml:space="preserve"> values for J</t>
    </r>
  </si>
  <si>
    <r>
      <t>Min        M</t>
    </r>
    <r>
      <rPr>
        <vertAlign val="subscript"/>
        <sz val="10"/>
        <color theme="1"/>
        <rFont val="Calibri"/>
        <family val="2"/>
        <scheme val="minor"/>
      </rPr>
      <t>n</t>
    </r>
  </si>
  <si>
    <r>
      <rPr>
        <sz val="12"/>
        <color theme="1"/>
        <rFont val="GreekC"/>
      </rPr>
      <t>b</t>
    </r>
    <r>
      <rPr>
        <sz val="12"/>
        <color theme="1"/>
        <rFont val="Calibri"/>
        <family val="2"/>
      </rPr>
      <t xml:space="preserve"> for Rectangular Shapes</t>
    </r>
  </si>
  <si>
    <t>Span</t>
  </si>
  <si>
    <r>
      <t>w</t>
    </r>
    <r>
      <rPr>
        <vertAlign val="subscript"/>
        <sz val="11"/>
        <color theme="1"/>
        <rFont val="Calibri"/>
        <family val="2"/>
        <scheme val="minor"/>
      </rPr>
      <t>DL</t>
    </r>
    <r>
      <rPr>
        <sz val="11"/>
        <color theme="1"/>
        <rFont val="Calibri"/>
        <family val="2"/>
        <scheme val="minor"/>
      </rPr>
      <t>=</t>
    </r>
  </si>
  <si>
    <r>
      <t>w</t>
    </r>
    <r>
      <rPr>
        <vertAlign val="subscript"/>
        <sz val="11"/>
        <color theme="1"/>
        <rFont val="Calibri"/>
        <family val="2"/>
        <scheme val="minor"/>
      </rPr>
      <t>LL</t>
    </r>
    <r>
      <rPr>
        <sz val="11"/>
        <color theme="1"/>
        <rFont val="Calibri"/>
        <family val="2"/>
        <scheme val="minor"/>
      </rPr>
      <t>=</t>
    </r>
  </si>
  <si>
    <r>
      <rPr>
        <sz val="10"/>
        <color theme="1"/>
        <rFont val="Calibri"/>
        <family val="2"/>
      </rPr>
      <t xml:space="preserve">V </t>
    </r>
    <r>
      <rPr>
        <sz val="10"/>
        <color theme="1"/>
        <rFont val="GreekC"/>
      </rPr>
      <t>b</t>
    </r>
    <r>
      <rPr>
        <sz val="10"/>
        <color theme="1"/>
        <rFont val="Calibri"/>
        <family val="2"/>
        <scheme val="minor"/>
      </rPr>
      <t>1</t>
    </r>
  </si>
  <si>
    <r>
      <rPr>
        <sz val="10"/>
        <color theme="1"/>
        <rFont val="Calibri"/>
        <family val="2"/>
      </rPr>
      <t xml:space="preserve">H </t>
    </r>
    <r>
      <rPr>
        <sz val="10"/>
        <color theme="1"/>
        <rFont val="GreekC"/>
      </rPr>
      <t>b</t>
    </r>
    <r>
      <rPr>
        <sz val="10"/>
        <color theme="1"/>
        <rFont val="Calibri"/>
        <family val="2"/>
      </rPr>
      <t>2</t>
    </r>
  </si>
  <si>
    <r>
      <t>Z</t>
    </r>
    <r>
      <rPr>
        <vertAlign val="subscript"/>
        <sz val="10"/>
        <color theme="1"/>
        <rFont val="Calibri"/>
        <family val="2"/>
        <scheme val="minor"/>
      </rPr>
      <t xml:space="preserve">x </t>
    </r>
    <r>
      <rPr>
        <sz val="10"/>
        <color theme="1"/>
        <rFont val="Calibri"/>
        <family val="2"/>
        <scheme val="minor"/>
      </rPr>
      <t xml:space="preserve">      (in</t>
    </r>
    <r>
      <rPr>
        <vertAlign val="subscript"/>
        <sz val="10"/>
        <color theme="1"/>
        <rFont val="Calibri"/>
        <family val="2"/>
        <scheme val="minor"/>
      </rPr>
      <t>3</t>
    </r>
    <r>
      <rPr>
        <sz val="10"/>
        <color theme="1"/>
        <rFont val="Calibri"/>
        <family val="2"/>
        <scheme val="minor"/>
      </rPr>
      <t>)</t>
    </r>
  </si>
  <si>
    <r>
      <t>I</t>
    </r>
    <r>
      <rPr>
        <vertAlign val="subscript"/>
        <sz val="12"/>
        <color theme="1"/>
        <rFont val="Calibri"/>
        <family val="2"/>
        <scheme val="minor"/>
      </rPr>
      <t>y</t>
    </r>
  </si>
  <si>
    <t>My</t>
  </si>
  <si>
    <r>
      <t>M</t>
    </r>
    <r>
      <rPr>
        <vertAlign val="subscript"/>
        <sz val="10"/>
        <color theme="1"/>
        <rFont val="Calibri"/>
        <family val="2"/>
        <scheme val="minor"/>
      </rPr>
      <t>n1</t>
    </r>
    <r>
      <rPr>
        <sz val="10"/>
        <color theme="1"/>
        <rFont val="Calibri"/>
        <family val="2"/>
        <scheme val="minor"/>
      </rPr>
      <t xml:space="preserve"> </t>
    </r>
  </si>
  <si>
    <t>Limit State 1          Yeilding</t>
  </si>
  <si>
    <t>Limit State 3    Leg  Buckling</t>
  </si>
  <si>
    <t>Limit State 1  Yeilding</t>
  </si>
  <si>
    <r>
      <t>Allow M</t>
    </r>
    <r>
      <rPr>
        <vertAlign val="subscript"/>
        <sz val="10"/>
        <color theme="1"/>
        <rFont val="Calibri"/>
        <family val="2"/>
        <scheme val="minor"/>
      </rPr>
      <t xml:space="preserve">a            </t>
    </r>
    <r>
      <rPr>
        <sz val="10"/>
        <color theme="1"/>
        <rFont val="Calibri"/>
        <family val="2"/>
        <scheme val="minor"/>
      </rPr>
      <t>(k-in)</t>
    </r>
  </si>
  <si>
    <t>Limit State 2 Lateral  Torsional Buckling</t>
  </si>
  <si>
    <r>
      <t>M</t>
    </r>
    <r>
      <rPr>
        <vertAlign val="subscript"/>
        <sz val="8"/>
        <color theme="1"/>
        <rFont val="Calibri"/>
        <family val="2"/>
        <scheme val="minor"/>
      </rPr>
      <t>e</t>
    </r>
    <r>
      <rPr>
        <sz val="8"/>
        <color theme="1"/>
        <rFont val="Calibri"/>
        <family val="2"/>
        <scheme val="minor"/>
      </rPr>
      <t xml:space="preserve"> - Max toe compress.</t>
    </r>
  </si>
  <si>
    <t>Slender?</t>
  </si>
  <si>
    <t>Slender</t>
  </si>
  <si>
    <r>
      <t>where M</t>
    </r>
    <r>
      <rPr>
        <vertAlign val="subscript"/>
        <sz val="11"/>
        <color theme="1"/>
        <rFont val="Calibri"/>
        <family val="2"/>
        <scheme val="minor"/>
      </rPr>
      <t>y</t>
    </r>
    <r>
      <rPr>
        <sz val="11"/>
        <color theme="1"/>
        <rFont val="Calibri"/>
        <family val="2"/>
        <scheme val="minor"/>
      </rPr>
      <t xml:space="preserve"> is 0.8 x the yield moment calculated using the geometric section modulus</t>
    </r>
  </si>
  <si>
    <r>
      <t>If the span/depth ratio exceeds the limits for which M</t>
    </r>
    <r>
      <rPr>
        <vertAlign val="subscript"/>
        <sz val="11"/>
        <color theme="1"/>
        <rFont val="Calibri"/>
        <family val="2"/>
        <scheme val="minor"/>
      </rPr>
      <t>n</t>
    </r>
    <r>
      <rPr>
        <sz val="11"/>
        <color theme="1"/>
        <rFont val="Calibri"/>
        <family val="2"/>
        <scheme val="minor"/>
      </rPr>
      <t>=My then M</t>
    </r>
    <r>
      <rPr>
        <vertAlign val="subscript"/>
        <sz val="11"/>
        <color theme="1"/>
        <rFont val="Calibri"/>
        <family val="2"/>
        <scheme val="minor"/>
      </rPr>
      <t>n</t>
    </r>
    <r>
      <rPr>
        <sz val="11"/>
        <color theme="1"/>
        <rFont val="Calibri"/>
        <family val="2"/>
        <scheme val="minor"/>
      </rPr>
      <t xml:space="preserve"> is as follows</t>
    </r>
  </si>
  <si>
    <r>
      <t>1.5 x M</t>
    </r>
    <r>
      <rPr>
        <vertAlign val="subscript"/>
        <sz val="11"/>
        <color theme="1"/>
        <rFont val="Calibri"/>
        <family val="2"/>
        <scheme val="minor"/>
      </rPr>
      <t>y</t>
    </r>
  </si>
  <si>
    <r>
      <t>M</t>
    </r>
    <r>
      <rPr>
        <vertAlign val="subscript"/>
        <sz val="11"/>
        <color theme="1"/>
        <rFont val="Calibri"/>
        <family val="2"/>
        <scheme val="minor"/>
      </rPr>
      <t>y</t>
    </r>
    <r>
      <rPr>
        <sz val="11"/>
        <color theme="1"/>
        <rFont val="Calibri"/>
        <family val="2"/>
        <scheme val="minor"/>
      </rPr>
      <t>=</t>
    </r>
  </si>
  <si>
    <r>
      <t>M</t>
    </r>
    <r>
      <rPr>
        <vertAlign val="subscript"/>
        <sz val="11"/>
        <color theme="1"/>
        <rFont val="Calibri"/>
        <family val="2"/>
        <scheme val="minor"/>
      </rPr>
      <t>n</t>
    </r>
    <r>
      <rPr>
        <sz val="11"/>
        <color theme="1"/>
        <rFont val="Calibri"/>
        <family val="2"/>
        <scheme val="minor"/>
      </rPr>
      <t>=</t>
    </r>
  </si>
  <si>
    <r>
      <t>M</t>
    </r>
    <r>
      <rPr>
        <vertAlign val="subscript"/>
        <sz val="11"/>
        <color theme="1"/>
        <rFont val="Calibri"/>
        <family val="2"/>
        <scheme val="minor"/>
      </rPr>
      <t>n</t>
    </r>
    <r>
      <rPr>
        <sz val="11"/>
        <color theme="1"/>
        <rFont val="Calibri"/>
        <family val="2"/>
        <scheme val="minor"/>
      </rPr>
      <t>=M</t>
    </r>
    <r>
      <rPr>
        <vertAlign val="subscript"/>
        <sz val="11"/>
        <color theme="1"/>
        <rFont val="Calibri"/>
        <family val="2"/>
        <scheme val="minor"/>
      </rPr>
      <t>cr</t>
    </r>
  </si>
  <si>
    <r>
      <t>M</t>
    </r>
    <r>
      <rPr>
        <vertAlign val="subscript"/>
        <sz val="11"/>
        <color theme="1"/>
        <rFont val="Calibri"/>
        <family val="2"/>
        <scheme val="minor"/>
      </rPr>
      <t>n</t>
    </r>
    <r>
      <rPr>
        <sz val="11"/>
        <color theme="1"/>
        <rFont val="Calibri"/>
        <family val="2"/>
        <scheme val="minor"/>
      </rPr>
      <t>= M</t>
    </r>
    <r>
      <rPr>
        <vertAlign val="subscript"/>
        <sz val="11"/>
        <color theme="1"/>
        <rFont val="Calibri"/>
        <family val="2"/>
        <scheme val="minor"/>
      </rPr>
      <t>p</t>
    </r>
    <r>
      <rPr>
        <sz val="11"/>
        <color theme="1"/>
        <rFont val="Calibri"/>
        <family val="2"/>
        <scheme val="minor"/>
      </rPr>
      <t xml:space="preserve"> where</t>
    </r>
  </si>
  <si>
    <t>All angles are oriented with long leg vertical. Principal axis bending is not an option.</t>
  </si>
  <si>
    <t>For compact sections the limit state of flange local buckling does not apply</t>
  </si>
  <si>
    <t>If the section is found to be non-compact then the critical stress is given by:</t>
  </si>
  <si>
    <t>weq=</t>
  </si>
  <si>
    <r>
      <rPr>
        <sz val="11"/>
        <color theme="1"/>
        <rFont val="GreekC"/>
      </rPr>
      <t>Δ</t>
    </r>
    <r>
      <rPr>
        <vertAlign val="subscript"/>
        <sz val="11"/>
        <color theme="1"/>
        <rFont val="Calibri"/>
        <family val="2"/>
      </rPr>
      <t>h,max=</t>
    </r>
  </si>
  <si>
    <t xml:space="preserve">The equivalent uniform load </t>
  </si>
  <si>
    <t>for the pinned condition and</t>
  </si>
  <si>
    <t>It should be noted that although an angle may be fixed vertically it may not necessarily be fixed about the axis for which the deflection is being considered.</t>
  </si>
  <si>
    <t>The restraint is calculated for either the fixed or pinned end condition and is based upon a uniform load that will produce a deflection which corresponds to the lateral deflection. If you are using the "Detailed Method" above this section of the calculation is not applicable.</t>
  </si>
  <si>
    <t>The horizontal deflection is calculated as 60% of the vertical deflection</t>
  </si>
  <si>
    <r>
      <t>for the fixed end condition. I</t>
    </r>
    <r>
      <rPr>
        <vertAlign val="subscript"/>
        <sz val="11"/>
        <color theme="1"/>
        <rFont val="Calibri"/>
        <family val="2"/>
        <scheme val="minor"/>
      </rPr>
      <t>yy</t>
    </r>
    <r>
      <rPr>
        <sz val="11"/>
        <color theme="1"/>
        <rFont val="Calibri"/>
        <family val="2"/>
        <scheme val="minor"/>
      </rPr>
      <t xml:space="preserve"> is the moment of inertia about the weak geometric axis.</t>
    </r>
  </si>
  <si>
    <t>Coupled Horizontal Deflections and End Restraint Reactions</t>
  </si>
  <si>
    <r>
      <t>w</t>
    </r>
    <r>
      <rPr>
        <vertAlign val="subscript"/>
        <sz val="11"/>
        <color theme="1"/>
        <rFont val="Calibri"/>
        <family val="2"/>
        <scheme val="minor"/>
      </rPr>
      <t>eq</t>
    </r>
  </si>
  <si>
    <t>Angle</t>
  </si>
  <si>
    <t>Reaction</t>
  </si>
  <si>
    <t>Ix</t>
  </si>
  <si>
    <t>Iy</t>
  </si>
  <si>
    <t>Ixy</t>
  </si>
  <si>
    <t>theta</t>
  </si>
  <si>
    <t>For the design of single angles there is a component of deflection in the horizontal as well as the vertical direction due to the asymmetry of the section. For an equal leg angle the horizontal component is approximately 60% of the vertical component and requires an end restraint reaction which is either a point load reaction for simply (pin) supported angles or an end moment for the fixed end condition. The calculation is done for the total load(TL)  condition only.</t>
  </si>
  <si>
    <r>
      <t>N</t>
    </r>
    <r>
      <rPr>
        <vertAlign val="subscript"/>
        <sz val="11"/>
        <color theme="1"/>
        <rFont val="Calibri"/>
        <family val="2"/>
        <scheme val="minor"/>
      </rPr>
      <t>ay</t>
    </r>
    <r>
      <rPr>
        <sz val="11"/>
        <color theme="1"/>
        <rFont val="Calibri"/>
        <family val="2"/>
        <scheme val="minor"/>
      </rPr>
      <t>=</t>
    </r>
  </si>
  <si>
    <r>
      <t>N</t>
    </r>
    <r>
      <rPr>
        <vertAlign val="subscript"/>
        <sz val="11"/>
        <color theme="1"/>
        <rFont val="Calibri"/>
        <family val="2"/>
        <scheme val="minor"/>
      </rPr>
      <t>ax</t>
    </r>
    <r>
      <rPr>
        <sz val="11"/>
        <color theme="1"/>
        <rFont val="Calibri"/>
        <family val="2"/>
        <scheme val="minor"/>
      </rPr>
      <t>=</t>
    </r>
  </si>
  <si>
    <t>θ=</t>
  </si>
  <si>
    <r>
      <t>L</t>
    </r>
    <r>
      <rPr>
        <vertAlign val="subscript"/>
        <sz val="11"/>
        <color theme="1"/>
        <rFont val="Calibri"/>
        <family val="2"/>
        <scheme val="minor"/>
      </rPr>
      <t>v</t>
    </r>
    <r>
      <rPr>
        <sz val="11"/>
        <color theme="1"/>
        <rFont val="Calibri"/>
        <family val="2"/>
        <scheme val="minor"/>
      </rPr>
      <t>=</t>
    </r>
  </si>
  <si>
    <r>
      <t>L</t>
    </r>
    <r>
      <rPr>
        <vertAlign val="subscript"/>
        <sz val="11"/>
        <color theme="1"/>
        <rFont val="Calibri"/>
        <family val="2"/>
        <scheme val="minor"/>
      </rPr>
      <t>h</t>
    </r>
    <r>
      <rPr>
        <sz val="11"/>
        <color theme="1"/>
        <rFont val="Calibri"/>
        <family val="2"/>
        <scheme val="minor"/>
      </rPr>
      <t>=</t>
    </r>
  </si>
  <si>
    <t>r1=</t>
  </si>
  <si>
    <t>r2=</t>
  </si>
  <si>
    <t>r3=</t>
  </si>
  <si>
    <t>θ1=</t>
  </si>
  <si>
    <t>θ2=</t>
  </si>
  <si>
    <t>θ3=</t>
  </si>
  <si>
    <t>Cyt=</t>
  </si>
  <si>
    <t>Cyb=</t>
  </si>
  <si>
    <t>Cxl=</t>
  </si>
  <si>
    <t>Ixy=</t>
  </si>
  <si>
    <t>Ix=</t>
  </si>
  <si>
    <t>Iy=</t>
  </si>
  <si>
    <t>2θ=</t>
  </si>
  <si>
    <t>tanθ=</t>
  </si>
  <si>
    <t>Cxr1=</t>
  </si>
  <si>
    <t>Cxr2=</t>
  </si>
  <si>
    <t>x</t>
  </si>
  <si>
    <t>x'</t>
  </si>
  <si>
    <t>y'</t>
  </si>
  <si>
    <t>Cxr</t>
  </si>
  <si>
    <t>Cxl</t>
  </si>
  <si>
    <t>k/ft</t>
  </si>
  <si>
    <t>k-in.</t>
  </si>
  <si>
    <t>Ix'=</t>
  </si>
  <si>
    <t>Iy'=</t>
  </si>
  <si>
    <t>Sx'=</t>
  </si>
  <si>
    <t>Sy'=</t>
  </si>
  <si>
    <t>θ</t>
  </si>
  <si>
    <t>θ3</t>
  </si>
  <si>
    <t>θ1</t>
  </si>
  <si>
    <t>θ2</t>
  </si>
  <si>
    <t>NA</t>
  </si>
  <si>
    <t>Cyt</t>
  </si>
  <si>
    <t>Cyb</t>
  </si>
  <si>
    <t>y</t>
  </si>
  <si>
    <t>Sx=</t>
  </si>
  <si>
    <t>Sy=</t>
  </si>
  <si>
    <t>Section Moduli</t>
  </si>
  <si>
    <t>All angles - whether single or double angle combinations -  are assumed to be loaded through the shear center</t>
  </si>
  <si>
    <t>Maximum Number of Desired Lintel Choice Selections</t>
  </si>
  <si>
    <t>Dead Loads</t>
  </si>
  <si>
    <t>Live Loads</t>
  </si>
  <si>
    <t>Stress</t>
  </si>
  <si>
    <t>Deflection</t>
  </si>
  <si>
    <t>ws=</t>
  </si>
  <si>
    <t>wd=</t>
  </si>
  <si>
    <t>Δdl=</t>
  </si>
  <si>
    <r>
      <rPr>
        <sz val="14"/>
        <color theme="1"/>
        <rFont val="Calibri"/>
        <family val="2"/>
        <scheme val="minor"/>
      </rPr>
      <t>I</t>
    </r>
    <r>
      <rPr>
        <sz val="11"/>
        <color theme="1"/>
        <rFont val="Calibri"/>
        <family val="2"/>
        <scheme val="minor"/>
      </rPr>
      <t>trial=</t>
    </r>
  </si>
  <si>
    <t>Mmax=</t>
  </si>
  <si>
    <t>Loads</t>
  </si>
  <si>
    <t>wst=</t>
  </si>
  <si>
    <t>wdt=</t>
  </si>
  <si>
    <t>Pmax</t>
  </si>
  <si>
    <t>Uniform Loading</t>
  </si>
  <si>
    <t>Triangular Loading</t>
  </si>
  <si>
    <t>Detailed Loading</t>
  </si>
  <si>
    <t>k/ft.</t>
  </si>
  <si>
    <t>Δll=</t>
  </si>
  <si>
    <t>Mdl=</t>
  </si>
  <si>
    <t>Mll=</t>
  </si>
  <si>
    <t>Total Dead Loads</t>
  </si>
  <si>
    <t>Total Live Loads</t>
  </si>
  <si>
    <t>Total Loads - DL + LL</t>
  </si>
  <si>
    <t>wtl=</t>
  </si>
  <si>
    <t>For stress considerations</t>
  </si>
  <si>
    <t>For deflection considerations</t>
  </si>
  <si>
    <t>wttl=</t>
  </si>
  <si>
    <t>Version 2.0</t>
  </si>
  <si>
    <t>Sreq=</t>
  </si>
  <si>
    <t>Ireq=</t>
  </si>
  <si>
    <r>
      <t>in.</t>
    </r>
    <r>
      <rPr>
        <vertAlign val="superscript"/>
        <sz val="11"/>
        <color theme="1"/>
        <rFont val="Calibri"/>
        <family val="2"/>
        <scheme val="minor"/>
      </rPr>
      <t>4</t>
    </r>
  </si>
  <si>
    <r>
      <t>k-in = M</t>
    </r>
    <r>
      <rPr>
        <vertAlign val="subscript"/>
        <sz val="11"/>
        <color theme="1"/>
        <rFont val="Calibri"/>
        <family val="2"/>
        <scheme val="minor"/>
      </rPr>
      <t>u</t>
    </r>
  </si>
  <si>
    <r>
      <t>in.</t>
    </r>
    <r>
      <rPr>
        <vertAlign val="superscript"/>
        <sz val="11"/>
        <color theme="1"/>
        <rFont val="Calibri"/>
        <family val="2"/>
        <scheme val="minor"/>
      </rPr>
      <t>4</t>
    </r>
    <r>
      <rPr>
        <sz val="11"/>
        <color theme="1"/>
        <rFont val="Calibri"/>
        <family val="2"/>
        <scheme val="minor"/>
      </rPr>
      <t xml:space="preserve"> - minimum</t>
    </r>
  </si>
  <si>
    <r>
      <t>in.</t>
    </r>
    <r>
      <rPr>
        <vertAlign val="superscript"/>
        <sz val="11"/>
        <color theme="1"/>
        <rFont val="Calibri"/>
        <family val="2"/>
        <scheme val="minor"/>
      </rPr>
      <t xml:space="preserve">3 </t>
    </r>
    <r>
      <rPr>
        <sz val="11"/>
        <color theme="1"/>
        <rFont val="Calibri"/>
        <family val="2"/>
        <scheme val="minor"/>
      </rPr>
      <t>- minimum</t>
    </r>
  </si>
  <si>
    <t>Type Selection - Single or double angle configuration?</t>
  </si>
  <si>
    <r>
      <t>I</t>
    </r>
    <r>
      <rPr>
        <vertAlign val="subscript"/>
        <sz val="11"/>
        <color theme="1"/>
        <rFont val="Calibri"/>
        <family val="2"/>
        <scheme val="minor"/>
      </rPr>
      <t>xx</t>
    </r>
    <r>
      <rPr>
        <sz val="11"/>
        <color theme="1"/>
        <rFont val="Calibri"/>
        <family val="2"/>
        <scheme val="minor"/>
      </rPr>
      <t xml:space="preserve">      (in.</t>
    </r>
    <r>
      <rPr>
        <vertAlign val="superscript"/>
        <sz val="11"/>
        <color theme="1"/>
        <rFont val="Calibri"/>
        <family val="2"/>
        <scheme val="minor"/>
      </rPr>
      <t>4</t>
    </r>
    <r>
      <rPr>
        <sz val="11"/>
        <color theme="1"/>
        <rFont val="Calibri"/>
        <family val="2"/>
        <scheme val="minor"/>
      </rPr>
      <t>)</t>
    </r>
  </si>
  <si>
    <r>
      <t>I</t>
    </r>
    <r>
      <rPr>
        <vertAlign val="subscript"/>
        <sz val="11"/>
        <color theme="1"/>
        <rFont val="Calibri"/>
        <family val="2"/>
        <scheme val="minor"/>
      </rPr>
      <t xml:space="preserve">yy      </t>
    </r>
    <r>
      <rPr>
        <sz val="11"/>
        <color theme="1"/>
        <rFont val="Calibri"/>
        <family val="2"/>
        <scheme val="minor"/>
      </rPr>
      <t>(in.</t>
    </r>
    <r>
      <rPr>
        <vertAlign val="superscript"/>
        <sz val="11"/>
        <color theme="1"/>
        <rFont val="Calibri"/>
        <family val="2"/>
        <scheme val="minor"/>
      </rPr>
      <t>4</t>
    </r>
    <r>
      <rPr>
        <sz val="11"/>
        <color theme="1"/>
        <rFont val="Calibri"/>
        <family val="2"/>
        <scheme val="minor"/>
      </rPr>
      <t>)</t>
    </r>
  </si>
  <si>
    <r>
      <t>S</t>
    </r>
    <r>
      <rPr>
        <vertAlign val="subscript"/>
        <sz val="11"/>
        <color theme="1"/>
        <rFont val="Calibri"/>
        <family val="2"/>
        <scheme val="minor"/>
      </rPr>
      <t xml:space="preserve">xx    </t>
    </r>
    <r>
      <rPr>
        <sz val="11"/>
        <color theme="1"/>
        <rFont val="Calibri"/>
        <family val="2"/>
        <scheme val="minor"/>
      </rPr>
      <t>(in.</t>
    </r>
    <r>
      <rPr>
        <vertAlign val="superscript"/>
        <sz val="11"/>
        <color theme="1"/>
        <rFont val="Calibri"/>
        <family val="2"/>
        <scheme val="minor"/>
      </rPr>
      <t>3</t>
    </r>
    <r>
      <rPr>
        <sz val="11"/>
        <color theme="1"/>
        <rFont val="Calibri"/>
        <family val="2"/>
        <scheme val="minor"/>
      </rPr>
      <t>)</t>
    </r>
  </si>
  <si>
    <t>This worksheet utilizes the lintel design loads in conjunction with user defined deflection criteria and size limits on the lintel. A single angle or double angle lintel (or both types) may be selected along with limits on the upper and lower bounds of both the horizontal and vertical leg sizes. Based upon the loads - in conjunction with deflection and size selection criteria  up to 20 selections are automatically made from the AISC database of steel angles. The selections are then presented and sorted in ascending weight order along with the corresponding deflections, allowable bending stresses, and a unity check on the ratio of actual to allowable bending moment..</t>
  </si>
  <si>
    <t>Lintel Design Selection Summary</t>
  </si>
  <si>
    <t>All lintels are simply supported at ends</t>
  </si>
  <si>
    <t>Vertical  Deflections (in.)</t>
  </si>
  <si>
    <r>
      <rPr>
        <b/>
        <sz val="12"/>
        <color theme="1"/>
        <rFont val="Calibri"/>
        <family val="2"/>
        <scheme val="minor"/>
      </rPr>
      <t xml:space="preserve">NOTE: </t>
    </r>
    <r>
      <rPr>
        <sz val="12"/>
        <color theme="1"/>
        <rFont val="Calibri"/>
        <family val="2"/>
        <scheme val="minor"/>
      </rPr>
      <t>all cells highlighed in green require user input All others are calculated values.</t>
    </r>
  </si>
  <si>
    <t>AISC Section F10  - Single Equal Leg  Angles</t>
  </si>
  <si>
    <t>AISC Section F10  - Single Unequal Leg  Angles</t>
  </si>
  <si>
    <t>Determine Section Properties about the Principle Axis</t>
  </si>
  <si>
    <t>Thick.    t                          ( in.)</t>
  </si>
  <si>
    <t>weq (k/in)</t>
  </si>
  <si>
    <t>Simple Vert Defl</t>
  </si>
  <si>
    <t>Simple/Biaxial Vert Defl</t>
  </si>
  <si>
    <t>Angles are laterally unrestained</t>
  </si>
  <si>
    <t>All lintels are assumed to be without lateral torsional restraint</t>
  </si>
  <si>
    <t>Section Properties</t>
  </si>
  <si>
    <t>Rank</t>
  </si>
  <si>
    <t>All angles MUST BE ORIENTED WITH THE LONG LEG VERTICAL</t>
  </si>
  <si>
    <t>For Single Angles - Unequal Leg</t>
  </si>
  <si>
    <t>For Single Angles - Equal Leg</t>
  </si>
  <si>
    <t>Mp=1..5*My</t>
  </si>
  <si>
    <t>Yield moment is evaluated about both principle axes x' and y'</t>
  </si>
  <si>
    <t xml:space="preserve">Biaxial bending is evaluated about both principle axes. </t>
  </si>
  <si>
    <t xml:space="preserve">The moment is resolved into components along both axes. </t>
  </si>
  <si>
    <t>Ma=Mn/1.67</t>
  </si>
  <si>
    <t>Limit State 1 - Yeilding</t>
  </si>
  <si>
    <r>
      <t>Ix' (in.</t>
    </r>
    <r>
      <rPr>
        <vertAlign val="superscript"/>
        <sz val="11"/>
        <color theme="1"/>
        <rFont val="Calibri"/>
        <family val="2"/>
        <scheme val="minor"/>
      </rPr>
      <t>4</t>
    </r>
    <r>
      <rPr>
        <sz val="11"/>
        <color theme="1"/>
        <rFont val="Calibri"/>
        <family val="2"/>
        <scheme val="minor"/>
      </rPr>
      <t>)</t>
    </r>
  </si>
  <si>
    <r>
      <t>Iy' (in.</t>
    </r>
    <r>
      <rPr>
        <vertAlign val="superscript"/>
        <sz val="11"/>
        <color theme="1"/>
        <rFont val="Calibri"/>
        <family val="2"/>
        <scheme val="minor"/>
      </rPr>
      <t>4</t>
    </r>
    <r>
      <rPr>
        <sz val="11"/>
        <color theme="1"/>
        <rFont val="Calibri"/>
        <family val="2"/>
        <scheme val="minor"/>
      </rPr>
      <t>)</t>
    </r>
  </si>
  <si>
    <r>
      <t>Sx'   (in.</t>
    </r>
    <r>
      <rPr>
        <vertAlign val="superscript"/>
        <sz val="11"/>
        <color theme="1"/>
        <rFont val="Calibri"/>
        <family val="2"/>
        <scheme val="minor"/>
      </rPr>
      <t>3</t>
    </r>
    <r>
      <rPr>
        <sz val="11"/>
        <color theme="1"/>
        <rFont val="Calibri"/>
        <family val="2"/>
        <scheme val="minor"/>
      </rPr>
      <t>)</t>
    </r>
  </si>
  <si>
    <r>
      <t>Sy'     (in.</t>
    </r>
    <r>
      <rPr>
        <vertAlign val="superscript"/>
        <sz val="11"/>
        <color theme="1"/>
        <rFont val="Calibri"/>
        <family val="2"/>
        <scheme val="minor"/>
      </rPr>
      <t>3</t>
    </r>
    <r>
      <rPr>
        <sz val="11"/>
        <color theme="1"/>
        <rFont val="Calibri"/>
        <family val="2"/>
        <scheme val="minor"/>
      </rPr>
      <t>)</t>
    </r>
  </si>
  <si>
    <t>Horizontal Deflections  Deflections (in.)</t>
  </si>
  <si>
    <t>Moment Check</t>
  </si>
  <si>
    <t>Deflection Check</t>
  </si>
  <si>
    <t>Geometric Axes</t>
  </si>
  <si>
    <t>Principle Axes</t>
  </si>
  <si>
    <t>Limit State 1</t>
  </si>
  <si>
    <t>Sc</t>
  </si>
  <si>
    <t>b/t</t>
  </si>
  <si>
    <t>E/Fy</t>
  </si>
  <si>
    <r>
      <t xml:space="preserve">Limit State 2                           </t>
    </r>
    <r>
      <rPr>
        <sz val="11"/>
        <color theme="1"/>
        <rFont val="Calibri"/>
        <family val="2"/>
        <scheme val="minor"/>
      </rPr>
      <t>Leg Local Buckling</t>
    </r>
  </si>
  <si>
    <t>NA = Not applicable</t>
  </si>
  <si>
    <t>Leg Sizes</t>
  </si>
  <si>
    <t>Vertical Defl.</t>
  </si>
  <si>
    <t>Single or Dbl Angle</t>
  </si>
  <si>
    <t>Input</t>
  </si>
  <si>
    <t>In each case an equivalent uniform load is calculated in order to simplify the calculations. There are two different equivalent unifrom loads. One is for purposes of calculating the maximum deflections while the other is for calulating the maximum moment and stresses in the lintel.</t>
  </si>
  <si>
    <t>Lintel Design Selection Summary - cont'd</t>
  </si>
  <si>
    <t>Applied Service Loads</t>
  </si>
  <si>
    <t>LRFD</t>
  </si>
  <si>
    <t>ASD</t>
  </si>
  <si>
    <t xml:space="preserve">The service loading matrix below is used to determine the total combined loads on the lintel. Any single type of load or combination of loads may be used. </t>
  </si>
  <si>
    <r>
      <t>M</t>
    </r>
    <r>
      <rPr>
        <vertAlign val="subscript"/>
        <sz val="9"/>
        <color theme="1"/>
        <rFont val="Calibri"/>
        <family val="2"/>
        <scheme val="minor"/>
      </rPr>
      <t>allow</t>
    </r>
    <r>
      <rPr>
        <sz val="9"/>
        <color theme="1"/>
        <rFont val="Calibri"/>
        <family val="2"/>
        <scheme val="minor"/>
      </rPr>
      <t xml:space="preserve">        (k-in)</t>
    </r>
  </si>
  <si>
    <t>Mallow</t>
  </si>
  <si>
    <r>
      <t>M</t>
    </r>
    <r>
      <rPr>
        <vertAlign val="subscript"/>
        <sz val="10"/>
        <color theme="1"/>
        <rFont val="Calibri"/>
        <family val="2"/>
        <scheme val="minor"/>
      </rPr>
      <t>allow</t>
    </r>
    <r>
      <rPr>
        <sz val="10"/>
        <color theme="1"/>
        <rFont val="Calibri"/>
        <family val="2"/>
        <scheme val="minor"/>
      </rPr>
      <t/>
    </r>
  </si>
  <si>
    <r>
      <t>P</t>
    </r>
    <r>
      <rPr>
        <vertAlign val="subscript"/>
        <sz val="11"/>
        <color theme="1"/>
        <rFont val="Calibri"/>
        <family val="2"/>
        <scheme val="minor"/>
      </rPr>
      <t>max</t>
    </r>
    <r>
      <rPr>
        <sz val="11"/>
        <color theme="1"/>
        <rFont val="Calibri"/>
        <family val="2"/>
        <scheme val="minor"/>
      </rPr>
      <t>DL=</t>
    </r>
  </si>
  <si>
    <r>
      <t>P</t>
    </r>
    <r>
      <rPr>
        <vertAlign val="subscript"/>
        <sz val="11"/>
        <color theme="1"/>
        <rFont val="Calibri"/>
        <family val="2"/>
        <scheme val="minor"/>
      </rPr>
      <t>max</t>
    </r>
    <r>
      <rPr>
        <sz val="11"/>
        <color theme="1"/>
        <rFont val="Calibri"/>
        <family val="2"/>
        <scheme val="minor"/>
      </rPr>
      <t>LL=</t>
    </r>
  </si>
  <si>
    <t>Method of Analysis</t>
  </si>
  <si>
    <t>Allowable Vertical Deflections</t>
  </si>
  <si>
    <t>Analysis Qualifications &amp; Assumptions</t>
  </si>
  <si>
    <t>Section Properties - cont'd</t>
  </si>
  <si>
    <t>The torsional constant J is not listed for angles in the AISC database. It is calculated for each angle using the tabulated values below.</t>
  </si>
  <si>
    <t>Steel  angle lintels can be designed using either the ASD or LRFD method of design in accordance with AISC 13th Edition</t>
  </si>
  <si>
    <t>Nax</t>
  </si>
  <si>
    <t>Nay</t>
  </si>
  <si>
    <t>R2</t>
  </si>
  <si>
    <t>R1</t>
  </si>
  <si>
    <t>R3</t>
  </si>
  <si>
    <t>Single or Double Angle</t>
  </si>
  <si>
    <r>
      <t>Total applied moment                                             M</t>
    </r>
    <r>
      <rPr>
        <vertAlign val="subscript"/>
        <sz val="10"/>
        <color theme="1"/>
        <rFont val="Calibri"/>
        <family val="2"/>
        <scheme val="minor"/>
      </rPr>
      <t>t</t>
    </r>
    <r>
      <rPr>
        <sz val="10"/>
        <color theme="1"/>
        <rFont val="Calibri"/>
        <family val="2"/>
        <scheme val="minor"/>
      </rPr>
      <t xml:space="preserve"> (k-in)</t>
    </r>
  </si>
  <si>
    <t>Magnification Factor</t>
  </si>
  <si>
    <t>Horiz. Restraint Load (kips)</t>
  </si>
  <si>
    <t>Unity Ma/Mt</t>
  </si>
  <si>
    <t>Steel Angle Lintel Design Description</t>
  </si>
  <si>
    <t>This worksheet is used for the design of laterally unsupported steel angle lintels subject to vertical loads. The lintel design loads are specified by the user along with dead load and live load deflection criteria. A single angle or double angle lintel configuration (or both types) may be selected along with user defined limits on the upper and lower bounds of both the horizontal and vertical leg sizes.</t>
  </si>
  <si>
    <t xml:space="preserve"> Based upon the selected criteria up to 20 selections are automatically made from the AISC database of steel angles. The selections are then presented and sorted in ascending weight order along with the corresponding deflections, allowable bending stresses, and a unity check on the ratio of actual to allowable bending moment. The design can be done with either the ASD or LRFD method of design in accordance with AISC 13th Edition.</t>
  </si>
  <si>
    <t>This sheet provides a solution to the more complicated issue of the (two principle axis) bending of unequal leg angles and provides a calculation for vertical deflections of such angles which will typically exceed the deflections which are calculated using the geometric moment of inertia.</t>
  </si>
  <si>
    <t>Gamble Residence</t>
  </si>
  <si>
    <t>L2</t>
  </si>
  <si>
    <t>L2 - Entry Roof Support</t>
  </si>
</sst>
</file>

<file path=xl/styles.xml><?xml version="1.0" encoding="utf-8"?>
<styleSheet xmlns="http://schemas.openxmlformats.org/spreadsheetml/2006/main">
  <numFmts count="2">
    <numFmt numFmtId="164" formatCode="0.000"/>
    <numFmt numFmtId="165" formatCode="0.0"/>
  </numFmts>
  <fonts count="42">
    <font>
      <sz val="11"/>
      <color theme="1"/>
      <name val="Calibri"/>
      <family val="2"/>
      <scheme val="minor"/>
    </font>
    <font>
      <b/>
      <sz val="11"/>
      <color theme="1"/>
      <name val="Calibri"/>
      <family val="2"/>
      <scheme val="minor"/>
    </font>
    <font>
      <b/>
      <sz val="12"/>
      <color theme="1"/>
      <name val="Calibri"/>
      <family val="2"/>
      <scheme val="minor"/>
    </font>
    <font>
      <vertAlign val="superscript"/>
      <sz val="11"/>
      <color theme="1"/>
      <name val="Calibri"/>
      <family val="2"/>
      <scheme val="minor"/>
    </font>
    <font>
      <vertAlign val="subscript"/>
      <sz val="11"/>
      <color theme="1"/>
      <name val="Calibri"/>
      <family val="2"/>
      <scheme val="minor"/>
    </font>
    <font>
      <sz val="14"/>
      <color theme="1"/>
      <name val="Calibri"/>
      <family val="2"/>
      <scheme val="minor"/>
    </font>
    <font>
      <b/>
      <sz val="11"/>
      <name val="Arial"/>
      <family val="2"/>
    </font>
    <font>
      <sz val="11"/>
      <name val="Arial"/>
      <family val="2"/>
    </font>
    <font>
      <sz val="10"/>
      <name val="Arial"/>
      <family val="2"/>
    </font>
    <font>
      <sz val="9"/>
      <name val="Arial"/>
      <family val="2"/>
    </font>
    <font>
      <sz val="12"/>
      <color theme="1"/>
      <name val="Calibri"/>
      <family val="2"/>
      <scheme val="minor"/>
    </font>
    <font>
      <sz val="10"/>
      <color theme="1"/>
      <name val="Calibri"/>
      <family val="2"/>
      <scheme val="minor"/>
    </font>
    <font>
      <sz val="9"/>
      <color indexed="81"/>
      <name val="Tahoma"/>
      <family val="2"/>
    </font>
    <font>
      <b/>
      <sz val="9"/>
      <color indexed="81"/>
      <name val="Tahoma"/>
      <family val="2"/>
    </font>
    <font>
      <sz val="10"/>
      <color indexed="81"/>
      <name val="Tahoma"/>
      <family val="2"/>
    </font>
    <font>
      <sz val="9"/>
      <color theme="1"/>
      <name val="Calibri"/>
      <family val="2"/>
      <scheme val="minor"/>
    </font>
    <font>
      <sz val="18"/>
      <color theme="1"/>
      <name val="Calibri"/>
      <family val="2"/>
      <scheme val="minor"/>
    </font>
    <font>
      <b/>
      <sz val="10"/>
      <name val="Arial"/>
      <family val="2"/>
    </font>
    <font>
      <sz val="11"/>
      <color rgb="FFFF0000"/>
      <name val="Calibri"/>
      <family val="2"/>
      <scheme val="minor"/>
    </font>
    <font>
      <sz val="11"/>
      <color theme="1"/>
      <name val="Calibri"/>
      <family val="2"/>
    </font>
    <font>
      <vertAlign val="subscript"/>
      <sz val="11"/>
      <color theme="1"/>
      <name val="Calibri"/>
      <family val="2"/>
    </font>
    <font>
      <sz val="16"/>
      <name val="Calibri"/>
      <family val="2"/>
      <scheme val="minor"/>
    </font>
    <font>
      <sz val="11"/>
      <name val="Calibri"/>
      <family val="2"/>
      <scheme val="minor"/>
    </font>
    <font>
      <b/>
      <sz val="14"/>
      <color theme="1"/>
      <name val="Calibri"/>
      <family val="2"/>
      <scheme val="minor"/>
    </font>
    <font>
      <sz val="11"/>
      <color theme="1"/>
      <name val="GreekC"/>
    </font>
    <font>
      <b/>
      <sz val="12"/>
      <color rgb="FF00B0F0"/>
      <name val="Calibri"/>
      <family val="2"/>
      <scheme val="minor"/>
    </font>
    <font>
      <vertAlign val="subscript"/>
      <sz val="12"/>
      <color theme="1"/>
      <name val="Calibri"/>
      <family val="2"/>
      <scheme val="minor"/>
    </font>
    <font>
      <sz val="11"/>
      <color theme="1"/>
      <name val="Cambria"/>
      <family val="1"/>
      <scheme val="major"/>
    </font>
    <font>
      <sz val="12"/>
      <color theme="1"/>
      <name val="GreekC"/>
    </font>
    <font>
      <sz val="12"/>
      <color theme="1"/>
      <name val="Calibri"/>
      <family val="2"/>
    </font>
    <font>
      <vertAlign val="subscript"/>
      <sz val="9"/>
      <color theme="1"/>
      <name val="Calibri"/>
      <family val="2"/>
      <scheme val="minor"/>
    </font>
    <font>
      <sz val="10"/>
      <color theme="1"/>
      <name val="GreekC"/>
    </font>
    <font>
      <sz val="10"/>
      <color theme="1"/>
      <name val="Calibri"/>
      <family val="2"/>
    </font>
    <font>
      <vertAlign val="subscript"/>
      <sz val="10"/>
      <color theme="1"/>
      <name val="Calibri"/>
      <family val="2"/>
      <scheme val="minor"/>
    </font>
    <font>
      <sz val="8"/>
      <color theme="1"/>
      <name val="Calibri"/>
      <family val="2"/>
      <scheme val="minor"/>
    </font>
    <font>
      <vertAlign val="subscript"/>
      <sz val="8"/>
      <color theme="1"/>
      <name val="Calibri"/>
      <family val="2"/>
      <scheme val="minor"/>
    </font>
    <font>
      <b/>
      <sz val="11"/>
      <color indexed="81"/>
      <name val="Tahoma"/>
      <family val="2"/>
    </font>
    <font>
      <sz val="11"/>
      <color indexed="81"/>
      <name val="Tahoma"/>
      <family val="2"/>
    </font>
    <font>
      <b/>
      <sz val="11"/>
      <name val="Calibri"/>
      <family val="2"/>
      <scheme val="minor"/>
    </font>
    <font>
      <b/>
      <sz val="12"/>
      <name val="Calibri"/>
      <family val="2"/>
      <scheme val="minor"/>
    </font>
    <font>
      <sz val="9"/>
      <color indexed="81"/>
      <name val="Tahoma"/>
      <charset val="1"/>
    </font>
    <font>
      <sz val="11"/>
      <color rgb="FF000000"/>
      <name val="Calibri"/>
      <family val="2"/>
      <scheme val="minor"/>
    </font>
  </fonts>
  <fills count="6">
    <fill>
      <patternFill patternType="none"/>
    </fill>
    <fill>
      <patternFill patternType="gray125"/>
    </fill>
    <fill>
      <patternFill patternType="solid">
        <fgColor rgb="FFFFFFCC"/>
        <bgColor indexed="64"/>
      </patternFill>
    </fill>
    <fill>
      <patternFill patternType="solid">
        <fgColor rgb="FFFFFF99"/>
        <bgColor indexed="64"/>
      </patternFill>
    </fill>
    <fill>
      <patternFill patternType="solid">
        <fgColor indexed="43"/>
        <bgColor indexed="64"/>
      </patternFill>
    </fill>
    <fill>
      <patternFill patternType="solid">
        <fgColor rgb="FFCCFFCC"/>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1">
    <xf numFmtId="0" fontId="0" fillId="0" borderId="0"/>
  </cellStyleXfs>
  <cellXfs count="453">
    <xf numFmtId="0" fontId="0" fillId="0" borderId="0" xfId="0"/>
    <xf numFmtId="0" fontId="0" fillId="0" borderId="0" xfId="0" applyAlignment="1">
      <alignment horizontal="right"/>
    </xf>
    <xf numFmtId="0" fontId="0" fillId="0" borderId="0" xfId="0" applyFill="1"/>
    <xf numFmtId="0" fontId="0" fillId="0" borderId="0" xfId="0" quotePrefix="1" applyFill="1" applyBorder="1" applyAlignment="1"/>
    <xf numFmtId="0" fontId="0" fillId="0" borderId="0" xfId="0" quotePrefix="1" applyFill="1" applyBorder="1" applyAlignment="1">
      <alignment horizontal="center"/>
    </xf>
    <xf numFmtId="0" fontId="0" fillId="0" borderId="0" xfId="0" applyFill="1" applyBorder="1" applyAlignment="1">
      <alignment horizontal="center"/>
    </xf>
    <xf numFmtId="0" fontId="0" fillId="0" borderId="4" xfId="0" applyFill="1" applyBorder="1" applyAlignment="1">
      <alignment horizontal="center"/>
    </xf>
    <xf numFmtId="0" fontId="0" fillId="0" borderId="0" xfId="0" applyAlignment="1">
      <alignment horizontal="center"/>
    </xf>
    <xf numFmtId="0" fontId="0" fillId="0" borderId="0" xfId="0" applyFill="1" applyAlignment="1"/>
    <xf numFmtId="0" fontId="0" fillId="0" borderId="0" xfId="0" applyAlignment="1"/>
    <xf numFmtId="0" fontId="0" fillId="0" borderId="0" xfId="0" applyFill="1" applyBorder="1" applyAlignment="1"/>
    <xf numFmtId="0" fontId="18" fillId="0" borderId="0" xfId="0" applyFont="1" applyFill="1" applyBorder="1" applyAlignment="1"/>
    <xf numFmtId="0" fontId="0" fillId="0" borderId="11" xfId="0" applyFill="1" applyBorder="1"/>
    <xf numFmtId="0" fontId="0" fillId="0" borderId="11" xfId="0" applyNumberFormat="1" applyFill="1" applyBorder="1" applyAlignment="1">
      <alignment horizontal="center"/>
    </xf>
    <xf numFmtId="0" fontId="0" fillId="0" borderId="14" xfId="0" applyFill="1" applyBorder="1"/>
    <xf numFmtId="0" fontId="0" fillId="0" borderId="14" xfId="0" applyNumberFormat="1" applyFill="1" applyBorder="1" applyAlignment="1">
      <alignment horizontal="center"/>
    </xf>
    <xf numFmtId="0" fontId="0" fillId="5" borderId="0" xfId="0" applyFill="1" applyBorder="1" applyAlignment="1">
      <alignment horizontal="center"/>
    </xf>
    <xf numFmtId="165" fontId="0" fillId="0" borderId="0" xfId="0" applyNumberFormat="1" applyFill="1" applyAlignment="1">
      <alignment horizontal="center"/>
    </xf>
    <xf numFmtId="2" fontId="0" fillId="0" borderId="0" xfId="0" applyNumberFormat="1" applyAlignment="1">
      <alignment horizontal="center"/>
    </xf>
    <xf numFmtId="2" fontId="0" fillId="0" borderId="0" xfId="0" applyNumberFormat="1" applyFill="1" applyAlignment="1">
      <alignment horizontal="center"/>
    </xf>
    <xf numFmtId="0" fontId="0" fillId="0" borderId="15" xfId="0" applyNumberFormat="1" applyFill="1" applyBorder="1" applyAlignment="1">
      <alignment horizontal="center"/>
    </xf>
    <xf numFmtId="2" fontId="0" fillId="0" borderId="4" xfId="0" applyNumberFormat="1" applyFill="1" applyBorder="1" applyAlignment="1">
      <alignment horizontal="center"/>
    </xf>
    <xf numFmtId="0" fontId="0" fillId="0" borderId="3" xfId="0" applyNumberFormat="1" applyFill="1" applyBorder="1" applyAlignment="1">
      <alignment horizontal="center"/>
    </xf>
    <xf numFmtId="0" fontId="0" fillId="0" borderId="3" xfId="0" applyFill="1" applyBorder="1" applyAlignment="1">
      <alignment horizontal="center"/>
    </xf>
    <xf numFmtId="2" fontId="0" fillId="0" borderId="14" xfId="0" applyNumberFormat="1" applyFill="1" applyBorder="1" applyAlignment="1">
      <alignment horizontal="center"/>
    </xf>
    <xf numFmtId="0" fontId="21" fillId="5" borderId="2" xfId="0" applyFont="1" applyFill="1" applyBorder="1" applyAlignment="1">
      <alignment horizontal="center" vertical="center"/>
    </xf>
    <xf numFmtId="0" fontId="21" fillId="5" borderId="3" xfId="0" applyFont="1" applyFill="1" applyBorder="1" applyAlignment="1">
      <alignment horizontal="center" vertical="center"/>
    </xf>
    <xf numFmtId="0" fontId="21" fillId="5" borderId="2" xfId="0" applyFont="1" applyFill="1" applyBorder="1" applyAlignment="1">
      <alignment horizontal="center" vertical="center"/>
    </xf>
    <xf numFmtId="0" fontId="21" fillId="5" borderId="3" xfId="0" applyFont="1" applyFill="1" applyBorder="1" applyAlignment="1">
      <alignment horizontal="center" vertical="center"/>
    </xf>
    <xf numFmtId="0" fontId="0" fillId="5" borderId="1" xfId="0" applyFill="1" applyBorder="1" applyAlignment="1">
      <alignment horizontal="center"/>
    </xf>
    <xf numFmtId="0" fontId="0" fillId="0" borderId="15" xfId="0" applyBorder="1" applyAlignment="1"/>
    <xf numFmtId="2" fontId="0" fillId="0" borderId="15" xfId="0" applyNumberFormat="1" applyBorder="1" applyAlignment="1"/>
    <xf numFmtId="0" fontId="0" fillId="0" borderId="3" xfId="0" applyBorder="1" applyAlignment="1"/>
    <xf numFmtId="0" fontId="1" fillId="3" borderId="3" xfId="0" applyNumberFormat="1" applyFont="1" applyFill="1" applyBorder="1" applyAlignment="1">
      <alignment horizontal="center" vertical="center"/>
    </xf>
    <xf numFmtId="0" fontId="0" fillId="0" borderId="0" xfId="0" applyFill="1" applyBorder="1" applyAlignment="1">
      <alignment vertical="center"/>
    </xf>
    <xf numFmtId="0" fontId="21" fillId="5" borderId="2" xfId="0" applyFont="1" applyFill="1" applyBorder="1" applyAlignment="1">
      <alignment horizontal="center" vertical="center"/>
    </xf>
    <xf numFmtId="0" fontId="21" fillId="5" borderId="3" xfId="0" applyFont="1" applyFill="1" applyBorder="1" applyAlignment="1">
      <alignment horizontal="center" vertical="center"/>
    </xf>
    <xf numFmtId="0" fontId="17" fillId="0" borderId="3" xfId="0" applyNumberFormat="1" applyFont="1" applyFill="1" applyBorder="1" applyAlignment="1">
      <alignment horizontal="center" vertical="center"/>
    </xf>
    <xf numFmtId="0" fontId="17" fillId="3" borderId="15" xfId="0" applyNumberFormat="1" applyFont="1" applyFill="1" applyBorder="1" applyAlignment="1">
      <alignment horizontal="center" vertical="center"/>
    </xf>
    <xf numFmtId="0" fontId="17" fillId="3" borderId="15" xfId="0" applyNumberFormat="1" applyFont="1" applyFill="1" applyBorder="1" applyAlignment="1">
      <alignment horizontal="center" vertical="center" wrapText="1"/>
    </xf>
    <xf numFmtId="2" fontId="17" fillId="3" borderId="15" xfId="0" applyNumberFormat="1" applyFont="1" applyFill="1" applyBorder="1" applyAlignment="1">
      <alignment horizontal="center" vertical="center"/>
    </xf>
    <xf numFmtId="0" fontId="17" fillId="3" borderId="3" xfId="0" applyNumberFormat="1" applyFont="1" applyFill="1" applyBorder="1" applyAlignment="1">
      <alignment horizontal="center" vertical="center"/>
    </xf>
    <xf numFmtId="0" fontId="0" fillId="0" borderId="11" xfId="0" applyFill="1" applyBorder="1" applyAlignment="1">
      <alignment horizontal="center"/>
    </xf>
    <xf numFmtId="0" fontId="10" fillId="0" borderId="11" xfId="0" applyFont="1" applyBorder="1" applyAlignment="1">
      <alignment horizontal="center"/>
    </xf>
    <xf numFmtId="0" fontId="0" fillId="0" borderId="14" xfId="0" applyFill="1" applyBorder="1" applyAlignment="1">
      <alignment horizontal="center"/>
    </xf>
    <xf numFmtId="0" fontId="0" fillId="0" borderId="15" xfId="0" applyFill="1" applyBorder="1" applyAlignment="1">
      <alignment horizontal="center"/>
    </xf>
    <xf numFmtId="0" fontId="0" fillId="5" borderId="7" xfId="0" applyFill="1" applyBorder="1" applyAlignment="1">
      <alignment horizontal="center"/>
    </xf>
    <xf numFmtId="0" fontId="0" fillId="5" borderId="1" xfId="0" applyFill="1" applyBorder="1" applyAlignment="1" applyProtection="1">
      <alignment horizontal="center" vertical="center"/>
      <protection locked="0"/>
    </xf>
    <xf numFmtId="0" fontId="0" fillId="3" borderId="11" xfId="0" applyFill="1" applyBorder="1" applyAlignment="1">
      <alignment horizontal="center"/>
    </xf>
    <xf numFmtId="0" fontId="0" fillId="3" borderId="14" xfId="0" applyFill="1" applyBorder="1" applyAlignment="1">
      <alignment horizontal="center"/>
    </xf>
    <xf numFmtId="0" fontId="18" fillId="3" borderId="11" xfId="0" applyFont="1" applyFill="1" applyBorder="1" applyAlignment="1">
      <alignment horizontal="center"/>
    </xf>
    <xf numFmtId="0" fontId="18" fillId="3" borderId="14" xfId="0" applyFont="1" applyFill="1" applyBorder="1" applyAlignment="1">
      <alignment horizontal="center"/>
    </xf>
    <xf numFmtId="0" fontId="0" fillId="3" borderId="15" xfId="0" applyFill="1" applyBorder="1" applyAlignment="1">
      <alignment horizontal="center" vertical="center"/>
    </xf>
    <xf numFmtId="0" fontId="0" fillId="3" borderId="3" xfId="0" applyFill="1" applyBorder="1" applyAlignment="1">
      <alignment horizontal="center" vertical="center"/>
    </xf>
    <xf numFmtId="0" fontId="17" fillId="3" borderId="1" xfId="0" applyNumberFormat="1" applyFont="1" applyFill="1" applyBorder="1" applyAlignment="1">
      <alignment horizontal="center" vertical="center"/>
    </xf>
    <xf numFmtId="0" fontId="0" fillId="2" borderId="1" xfId="0" applyFill="1" applyBorder="1" applyAlignment="1" applyProtection="1">
      <alignment horizontal="center" vertical="center"/>
    </xf>
    <xf numFmtId="2" fontId="0" fillId="3" borderId="1" xfId="0" applyNumberFormat="1" applyFill="1" applyBorder="1" applyAlignment="1" applyProtection="1">
      <alignment horizontal="center" vertical="center"/>
    </xf>
    <xf numFmtId="0" fontId="0" fillId="0" borderId="8" xfId="0" applyFont="1" applyBorder="1" applyAlignment="1" applyProtection="1">
      <alignment vertical="top"/>
    </xf>
    <xf numFmtId="0" fontId="0" fillId="0" borderId="0" xfId="0" applyProtection="1"/>
    <xf numFmtId="0" fontId="0" fillId="0" borderId="0" xfId="0" applyFont="1" applyBorder="1" applyAlignment="1" applyProtection="1">
      <alignment vertical="top"/>
    </xf>
    <xf numFmtId="0" fontId="0" fillId="0" borderId="1" xfId="0" applyFont="1" applyBorder="1" applyAlignment="1" applyProtection="1">
      <alignment vertical="center"/>
    </xf>
    <xf numFmtId="0" fontId="0" fillId="0" borderId="0" xfId="0" applyFont="1" applyBorder="1" applyAlignment="1" applyProtection="1">
      <alignment vertical="center"/>
    </xf>
    <xf numFmtId="0" fontId="0" fillId="0" borderId="0" xfId="0" applyBorder="1" applyProtection="1"/>
    <xf numFmtId="0" fontId="0" fillId="0" borderId="10" xfId="0" applyBorder="1" applyAlignment="1" applyProtection="1">
      <alignment horizontal="center"/>
    </xf>
    <xf numFmtId="0" fontId="0" fillId="0" borderId="0" xfId="0" applyBorder="1" applyAlignment="1" applyProtection="1">
      <alignment horizontal="center"/>
    </xf>
    <xf numFmtId="0" fontId="6" fillId="0" borderId="0" xfId="0" applyFont="1" applyBorder="1" applyAlignment="1" applyProtection="1">
      <alignment horizontal="center" vertical="center" wrapText="1"/>
    </xf>
    <xf numFmtId="0" fontId="0" fillId="0" borderId="0" xfId="0" applyFont="1" applyBorder="1" applyAlignment="1" applyProtection="1">
      <alignment horizontal="left" vertical="center"/>
    </xf>
    <xf numFmtId="0" fontId="0" fillId="0" borderId="11" xfId="0" applyFont="1" applyBorder="1" applyAlignment="1" applyProtection="1">
      <alignment horizontal="left" vertical="center"/>
    </xf>
    <xf numFmtId="0" fontId="0" fillId="0" borderId="9" xfId="0" applyBorder="1" applyProtection="1"/>
    <xf numFmtId="0" fontId="0" fillId="0" borderId="8" xfId="0" applyBorder="1" applyProtection="1"/>
    <xf numFmtId="0" fontId="0" fillId="0" borderId="2" xfId="0" applyBorder="1" applyProtection="1"/>
    <xf numFmtId="0" fontId="0" fillId="0" borderId="10" xfId="0" applyBorder="1" applyProtection="1"/>
    <xf numFmtId="0" fontId="0" fillId="0" borderId="16" xfId="0" applyBorder="1" applyProtection="1"/>
    <xf numFmtId="0" fontId="0" fillId="0" borderId="11" xfId="0" applyBorder="1" applyProtection="1"/>
    <xf numFmtId="0" fontId="0" fillId="0" borderId="12" xfId="0" applyBorder="1" applyProtection="1"/>
    <xf numFmtId="0" fontId="0" fillId="0" borderId="0" xfId="0" applyBorder="1" applyAlignment="1" applyProtection="1">
      <alignment horizontal="right"/>
    </xf>
    <xf numFmtId="0" fontId="0" fillId="0" borderId="0" xfId="0" applyFill="1" applyBorder="1" applyAlignment="1" applyProtection="1">
      <alignment horizontal="center"/>
    </xf>
    <xf numFmtId="0" fontId="0" fillId="0" borderId="0" xfId="0" applyAlignment="1" applyProtection="1">
      <alignment horizontal="right"/>
    </xf>
    <xf numFmtId="1" fontId="0" fillId="0" borderId="0" xfId="0" applyNumberFormat="1" applyBorder="1" applyAlignment="1" applyProtection="1">
      <alignment horizontal="center"/>
    </xf>
    <xf numFmtId="0" fontId="0" fillId="0" borderId="0" xfId="0" applyAlignment="1" applyProtection="1">
      <alignment horizontal="center"/>
    </xf>
    <xf numFmtId="0" fontId="0" fillId="0" borderId="0" xfId="0" applyAlignment="1" applyProtection="1"/>
    <xf numFmtId="0" fontId="0" fillId="0" borderId="18" xfId="0" applyBorder="1" applyAlignment="1" applyProtection="1">
      <alignment vertical="center" wrapText="1"/>
    </xf>
    <xf numFmtId="0" fontId="0" fillId="0" borderId="11" xfId="0" applyBorder="1" applyAlignment="1" applyProtection="1">
      <alignment vertical="center" wrapText="1"/>
    </xf>
    <xf numFmtId="0" fontId="0" fillId="0" borderId="11" xfId="0" applyBorder="1" applyAlignment="1" applyProtection="1">
      <alignment horizontal="left" vertical="center" wrapText="1"/>
    </xf>
    <xf numFmtId="0" fontId="0" fillId="0" borderId="0" xfId="0" applyFill="1" applyBorder="1" applyAlignment="1" applyProtection="1">
      <alignment horizontal="right"/>
    </xf>
    <xf numFmtId="0" fontId="0" fillId="3" borderId="1" xfId="0" applyFill="1" applyBorder="1" applyAlignment="1" applyProtection="1">
      <alignment horizontal="center"/>
    </xf>
    <xf numFmtId="0" fontId="0" fillId="3" borderId="0" xfId="0" applyFill="1" applyBorder="1" applyAlignment="1" applyProtection="1">
      <alignment horizontal="center"/>
    </xf>
    <xf numFmtId="0" fontId="0" fillId="0" borderId="0" xfId="0" applyAlignment="1" applyProtection="1">
      <alignment vertical="top"/>
    </xf>
    <xf numFmtId="0" fontId="11" fillId="0" borderId="1" xfId="0" applyFont="1" applyBorder="1" applyAlignment="1" applyProtection="1">
      <alignment horizontal="center" vertical="center"/>
    </xf>
    <xf numFmtId="164" fontId="11" fillId="0" borderId="1" xfId="0" applyNumberFormat="1" applyFont="1" applyBorder="1" applyAlignment="1" applyProtection="1">
      <alignment horizontal="center" vertical="center"/>
    </xf>
    <xf numFmtId="0" fontId="11" fillId="0" borderId="1" xfId="0" applyFont="1" applyBorder="1" applyAlignment="1" applyProtection="1">
      <alignment horizontal="center" vertical="center" wrapText="1"/>
    </xf>
    <xf numFmtId="165" fontId="11" fillId="0" borderId="1" xfId="0" applyNumberFormat="1" applyFont="1" applyBorder="1" applyAlignment="1" applyProtection="1">
      <alignment horizontal="center" vertical="center"/>
    </xf>
    <xf numFmtId="0" fontId="0" fillId="0" borderId="11" xfId="0" applyBorder="1" applyAlignment="1" applyProtection="1">
      <alignment horizontal="left" vertical="top" wrapText="1"/>
    </xf>
    <xf numFmtId="0" fontId="0" fillId="0" borderId="0" xfId="0" applyBorder="1" applyAlignment="1" applyProtection="1">
      <alignment horizontal="left"/>
    </xf>
    <xf numFmtId="0" fontId="10" fillId="0" borderId="0" xfId="0" applyFont="1" applyBorder="1" applyProtection="1"/>
    <xf numFmtId="0" fontId="23" fillId="0" borderId="0" xfId="0" applyFont="1" applyBorder="1" applyProtection="1"/>
    <xf numFmtId="0" fontId="2" fillId="0" borderId="0" xfId="0" applyFont="1" applyBorder="1" applyProtection="1"/>
    <xf numFmtId="0" fontId="10" fillId="0" borderId="0" xfId="0" applyFont="1" applyBorder="1" applyAlignment="1" applyProtection="1"/>
    <xf numFmtId="0" fontId="10" fillId="0" borderId="0" xfId="0" applyFont="1" applyBorder="1" applyAlignment="1" applyProtection="1">
      <alignment horizontal="center"/>
    </xf>
    <xf numFmtId="0" fontId="10" fillId="0" borderId="0" xfId="0" applyFont="1" applyFill="1" applyBorder="1" applyAlignment="1" applyProtection="1"/>
    <xf numFmtId="2" fontId="0" fillId="0" borderId="0" xfId="0" applyNumberFormat="1" applyFill="1" applyBorder="1" applyAlignment="1" applyProtection="1">
      <alignment horizontal="center"/>
    </xf>
    <xf numFmtId="0" fontId="2" fillId="0" borderId="0" xfId="0" applyFont="1" applyBorder="1" applyAlignment="1" applyProtection="1">
      <alignment vertical="center"/>
    </xf>
    <xf numFmtId="0" fontId="1" fillId="0" borderId="0" xfId="0" applyFont="1" applyBorder="1" applyAlignment="1" applyProtection="1">
      <alignment horizontal="right"/>
    </xf>
    <xf numFmtId="0" fontId="0" fillId="0" borderId="0" xfId="0" applyBorder="1" applyAlignment="1" applyProtection="1">
      <alignment vertical="center"/>
    </xf>
    <xf numFmtId="0" fontId="0" fillId="0" borderId="0" xfId="0" applyFill="1" applyBorder="1" applyProtection="1"/>
    <xf numFmtId="0" fontId="0" fillId="0" borderId="4" xfId="0" applyBorder="1" applyProtection="1"/>
    <xf numFmtId="0" fontId="0" fillId="0" borderId="4" xfId="0" applyBorder="1" applyAlignment="1" applyProtection="1">
      <alignment horizontal="center"/>
    </xf>
    <xf numFmtId="0" fontId="1" fillId="0" borderId="0" xfId="0" applyFont="1" applyBorder="1" applyProtection="1"/>
    <xf numFmtId="0" fontId="2" fillId="0" borderId="0" xfId="0" applyFont="1" applyFill="1" applyBorder="1" applyAlignment="1" applyProtection="1">
      <alignment horizontal="left"/>
    </xf>
    <xf numFmtId="0" fontId="2" fillId="0" borderId="0" xfId="0" applyFont="1" applyBorder="1" applyAlignment="1" applyProtection="1">
      <alignment horizontal="right"/>
    </xf>
    <xf numFmtId="0" fontId="0" fillId="0" borderId="0" xfId="0" applyFont="1" applyAlignment="1" applyProtection="1">
      <alignment horizontal="center"/>
    </xf>
    <xf numFmtId="0" fontId="0" fillId="0" borderId="0" xfId="0" applyFont="1" applyAlignment="1" applyProtection="1">
      <alignment horizontal="right"/>
    </xf>
    <xf numFmtId="0" fontId="0" fillId="0" borderId="3" xfId="0" applyBorder="1" applyProtection="1"/>
    <xf numFmtId="0" fontId="0" fillId="0" borderId="0" xfId="0" applyBorder="1" applyAlignment="1" applyProtection="1">
      <alignment wrapText="1"/>
    </xf>
    <xf numFmtId="0" fontId="0" fillId="0" borderId="11" xfId="0" applyBorder="1" applyAlignment="1" applyProtection="1">
      <alignment wrapText="1"/>
    </xf>
    <xf numFmtId="0" fontId="0" fillId="0" borderId="11" xfId="0" applyBorder="1" applyAlignment="1" applyProtection="1">
      <alignment horizontal="center"/>
    </xf>
    <xf numFmtId="0" fontId="0" fillId="0" borderId="14" xfId="0" applyBorder="1" applyProtection="1"/>
    <xf numFmtId="0" fontId="0" fillId="0" borderId="0" xfId="0" applyBorder="1" applyAlignment="1" applyProtection="1">
      <alignment horizontal="left" wrapText="1"/>
    </xf>
    <xf numFmtId="0" fontId="0" fillId="0" borderId="11" xfId="0" applyBorder="1" applyAlignment="1" applyProtection="1">
      <alignment horizontal="left" wrapText="1"/>
    </xf>
    <xf numFmtId="0" fontId="0" fillId="0" borderId="0" xfId="0" applyBorder="1" applyAlignment="1" applyProtection="1">
      <alignment horizontal="left" vertical="top"/>
    </xf>
    <xf numFmtId="0" fontId="0" fillId="0" borderId="21" xfId="0" applyBorder="1" applyProtection="1"/>
    <xf numFmtId="0" fontId="0" fillId="0" borderId="18" xfId="0" applyBorder="1" applyProtection="1"/>
    <xf numFmtId="0" fontId="0" fillId="0" borderId="19" xfId="0" applyBorder="1" applyProtection="1"/>
    <xf numFmtId="0" fontId="0" fillId="0" borderId="17" xfId="0" applyBorder="1" applyProtection="1"/>
    <xf numFmtId="0" fontId="0" fillId="0" borderId="20" xfId="0" applyBorder="1" applyProtection="1"/>
    <xf numFmtId="0" fontId="0" fillId="0" borderId="23" xfId="0" applyBorder="1" applyProtection="1"/>
    <xf numFmtId="0" fontId="0" fillId="0" borderId="22" xfId="0" applyBorder="1" applyProtection="1"/>
    <xf numFmtId="0" fontId="0" fillId="0" borderId="21" xfId="0" applyBorder="1" applyAlignment="1" applyProtection="1">
      <alignment horizontal="center"/>
    </xf>
    <xf numFmtId="0" fontId="0" fillId="0" borderId="15" xfId="0" applyFill="1" applyBorder="1" applyAlignment="1" applyProtection="1">
      <alignment horizontal="center"/>
    </xf>
    <xf numFmtId="0" fontId="0" fillId="0" borderId="15" xfId="0" applyFill="1" applyBorder="1" applyAlignment="1" applyProtection="1">
      <alignment horizontal="center" vertical="center"/>
    </xf>
    <xf numFmtId="164" fontId="0" fillId="0" borderId="15" xfId="0" applyNumberFormat="1" applyFill="1" applyBorder="1" applyAlignment="1" applyProtection="1">
      <alignment horizontal="center" vertical="center"/>
    </xf>
    <xf numFmtId="2" fontId="0" fillId="0" borderId="15" xfId="0" applyNumberFormat="1" applyFill="1" applyBorder="1" applyAlignment="1" applyProtection="1">
      <alignment horizontal="center" vertical="center"/>
    </xf>
    <xf numFmtId="0" fontId="10" fillId="0" borderId="16" xfId="0" applyFont="1" applyBorder="1" applyAlignment="1" applyProtection="1">
      <alignment horizontal="right"/>
    </xf>
    <xf numFmtId="0" fontId="38" fillId="0" borderId="11" xfId="0" applyFont="1" applyBorder="1" applyAlignment="1" applyProtection="1">
      <alignment horizontal="center"/>
    </xf>
    <xf numFmtId="0" fontId="2" fillId="0" borderId="21" xfId="0" applyFont="1" applyBorder="1" applyAlignment="1" applyProtection="1">
      <alignment horizontal="right"/>
    </xf>
    <xf numFmtId="0" fontId="0" fillId="0" borderId="25" xfId="0" applyBorder="1" applyAlignment="1" applyProtection="1">
      <alignment horizontal="right"/>
    </xf>
    <xf numFmtId="0" fontId="0" fillId="0" borderId="20" xfId="0" applyBorder="1" applyAlignment="1" applyProtection="1">
      <alignment horizontal="right"/>
    </xf>
    <xf numFmtId="0" fontId="10" fillId="0" borderId="21" xfId="0" applyFont="1" applyBorder="1" applyAlignment="1" applyProtection="1">
      <alignment horizontal="right"/>
    </xf>
    <xf numFmtId="0" fontId="0" fillId="0" borderId="16" xfId="0" applyBorder="1" applyAlignment="1" applyProtection="1">
      <alignment horizontal="right"/>
    </xf>
    <xf numFmtId="0" fontId="0" fillId="0" borderId="22" xfId="0" applyBorder="1" applyAlignment="1" applyProtection="1">
      <alignment horizontal="right"/>
    </xf>
    <xf numFmtId="0" fontId="0" fillId="0" borderId="24" xfId="0" applyBorder="1" applyProtection="1"/>
    <xf numFmtId="0" fontId="0" fillId="0" borderId="15" xfId="0" applyBorder="1" applyProtection="1"/>
    <xf numFmtId="0" fontId="0" fillId="0" borderId="1" xfId="0" applyFill="1" applyBorder="1" applyAlignment="1" applyProtection="1">
      <alignment horizontal="center"/>
    </xf>
    <xf numFmtId="0" fontId="0" fillId="0" borderId="1" xfId="0" applyFill="1" applyBorder="1" applyAlignment="1" applyProtection="1">
      <alignment horizontal="center" vertical="center"/>
    </xf>
    <xf numFmtId="164" fontId="0" fillId="0" borderId="1" xfId="0" applyNumberFormat="1" applyFill="1" applyBorder="1" applyAlignment="1" applyProtection="1">
      <alignment horizontal="center" vertical="center"/>
    </xf>
    <xf numFmtId="2" fontId="0" fillId="0" borderId="1" xfId="0" applyNumberFormat="1" applyFill="1" applyBorder="1" applyAlignment="1" applyProtection="1">
      <alignment horizontal="center" vertical="center"/>
    </xf>
    <xf numFmtId="0" fontId="39" fillId="0" borderId="0" xfId="0" applyFont="1" applyBorder="1" applyProtection="1"/>
    <xf numFmtId="0" fontId="0" fillId="0" borderId="15" xfId="0" applyBorder="1" applyAlignment="1" applyProtection="1">
      <alignment horizontal="center" vertical="center"/>
    </xf>
    <xf numFmtId="164" fontId="0" fillId="0" borderId="15" xfId="0" applyNumberFormat="1" applyBorder="1" applyAlignment="1" applyProtection="1">
      <alignment horizontal="center" vertical="center"/>
    </xf>
    <xf numFmtId="0" fontId="0" fillId="2" borderId="27" xfId="0" applyFill="1" applyBorder="1" applyAlignment="1" applyProtection="1">
      <alignment horizontal="center"/>
    </xf>
    <xf numFmtId="165" fontId="0" fillId="0" borderId="1" xfId="0" applyNumberFormat="1" applyBorder="1" applyAlignment="1" applyProtection="1">
      <alignment horizontal="center" vertical="center"/>
    </xf>
    <xf numFmtId="0" fontId="0" fillId="0" borderId="1" xfId="0" applyBorder="1" applyAlignment="1" applyProtection="1">
      <alignment horizontal="center" vertical="center"/>
    </xf>
    <xf numFmtId="2" fontId="0" fillId="0" borderId="1" xfId="0" applyNumberFormat="1" applyBorder="1" applyAlignment="1" applyProtection="1">
      <alignment horizontal="center" vertical="center"/>
    </xf>
    <xf numFmtId="2" fontId="0" fillId="0" borderId="28" xfId="0" applyNumberFormat="1" applyBorder="1" applyAlignment="1" applyProtection="1">
      <alignment horizontal="center" vertical="center"/>
    </xf>
    <xf numFmtId="0" fontId="0" fillId="0" borderId="6" xfId="0" applyFont="1" applyBorder="1" applyAlignment="1" applyProtection="1">
      <alignment horizontal="center" vertical="center"/>
    </xf>
    <xf numFmtId="0" fontId="0" fillId="0" borderId="5" xfId="0" applyFont="1" applyBorder="1" applyAlignment="1" applyProtection="1">
      <alignment vertical="center"/>
    </xf>
    <xf numFmtId="0" fontId="0" fillId="0" borderId="4" xfId="0" applyFont="1" applyBorder="1" applyAlignment="1" applyProtection="1">
      <alignment horizontal="center" vertical="center"/>
    </xf>
    <xf numFmtId="0" fontId="0" fillId="0" borderId="32" xfId="0" applyBorder="1" applyAlignment="1" applyProtection="1">
      <alignment horizontal="center" vertical="center"/>
    </xf>
    <xf numFmtId="164" fontId="0" fillId="0" borderId="32" xfId="0" applyNumberFormat="1" applyBorder="1" applyAlignment="1" applyProtection="1">
      <alignment horizontal="center" vertical="center"/>
    </xf>
    <xf numFmtId="2" fontId="0" fillId="0" borderId="32" xfId="0" applyNumberFormat="1" applyFill="1" applyBorder="1" applyAlignment="1" applyProtection="1">
      <alignment horizontal="center" vertical="center"/>
    </xf>
    <xf numFmtId="164" fontId="0" fillId="0" borderId="32" xfId="0" applyNumberFormat="1" applyFill="1" applyBorder="1" applyAlignment="1" applyProtection="1">
      <alignment horizontal="center" vertical="center"/>
    </xf>
    <xf numFmtId="0" fontId="0" fillId="0" borderId="10" xfId="0" applyBorder="1" applyAlignment="1" applyProtection="1">
      <alignment horizontal="center" vertical="center"/>
    </xf>
    <xf numFmtId="0" fontId="0" fillId="0" borderId="0" xfId="0" applyBorder="1" applyAlignment="1" applyProtection="1">
      <alignment horizontal="center" vertical="center"/>
    </xf>
    <xf numFmtId="164" fontId="0" fillId="0" borderId="0" xfId="0" applyNumberFormat="1" applyBorder="1" applyAlignment="1" applyProtection="1">
      <alignment horizontal="center" vertical="center"/>
    </xf>
    <xf numFmtId="2" fontId="0" fillId="0" borderId="0" xfId="0" applyNumberFormat="1" applyFill="1" applyBorder="1" applyAlignment="1" applyProtection="1">
      <alignment horizontal="center" vertical="center"/>
    </xf>
    <xf numFmtId="164" fontId="0" fillId="0" borderId="0" xfId="0" applyNumberFormat="1" applyFill="1" applyBorder="1" applyAlignment="1" applyProtection="1">
      <alignment horizontal="center" vertical="center"/>
    </xf>
    <xf numFmtId="2" fontId="0" fillId="0" borderId="34" xfId="0" applyNumberFormat="1" applyFill="1" applyBorder="1" applyAlignment="1" applyProtection="1">
      <alignment horizontal="center" vertical="center"/>
    </xf>
    <xf numFmtId="2" fontId="0" fillId="0" borderId="11" xfId="0" applyNumberFormat="1" applyFill="1" applyBorder="1" applyAlignment="1" applyProtection="1">
      <alignment horizontal="center" vertical="center"/>
    </xf>
    <xf numFmtId="0" fontId="0" fillId="2" borderId="29" xfId="0" applyFill="1" applyBorder="1" applyAlignment="1" applyProtection="1">
      <alignment horizontal="center"/>
    </xf>
    <xf numFmtId="0" fontId="0" fillId="0" borderId="36" xfId="0" applyFont="1" applyBorder="1" applyAlignment="1" applyProtection="1">
      <alignment vertical="center"/>
    </xf>
    <xf numFmtId="0" fontId="0" fillId="0" borderId="24" xfId="0" applyFont="1" applyBorder="1" applyAlignment="1" applyProtection="1">
      <alignment horizontal="center" vertical="center"/>
    </xf>
    <xf numFmtId="165" fontId="0" fillId="0" borderId="30" xfId="0" applyNumberFormat="1" applyBorder="1" applyAlignment="1" applyProtection="1">
      <alignment horizontal="center" vertical="center"/>
    </xf>
    <xf numFmtId="0" fontId="0" fillId="0" borderId="30" xfId="0" applyBorder="1" applyAlignment="1" applyProtection="1">
      <alignment horizontal="center" vertical="center"/>
    </xf>
    <xf numFmtId="2" fontId="0" fillId="0" borderId="30" xfId="0" applyNumberFormat="1" applyBorder="1" applyAlignment="1" applyProtection="1">
      <alignment horizontal="center" vertical="center"/>
    </xf>
    <xf numFmtId="2" fontId="0" fillId="0" borderId="31" xfId="0" applyNumberFormat="1" applyBorder="1" applyAlignment="1" applyProtection="1">
      <alignment horizontal="center" vertical="center"/>
    </xf>
    <xf numFmtId="0" fontId="0" fillId="0" borderId="12" xfId="0" applyBorder="1" applyAlignment="1" applyProtection="1">
      <alignment horizontal="center" vertical="center"/>
    </xf>
    <xf numFmtId="0" fontId="0" fillId="0" borderId="4" xfId="0" applyBorder="1" applyAlignment="1" applyProtection="1">
      <alignment horizontal="center" vertical="center"/>
    </xf>
    <xf numFmtId="164" fontId="0" fillId="0" borderId="4" xfId="0" applyNumberFormat="1" applyBorder="1" applyAlignment="1" applyProtection="1">
      <alignment horizontal="center" vertical="center"/>
    </xf>
    <xf numFmtId="2" fontId="0" fillId="0" borderId="4" xfId="0" applyNumberFormat="1" applyFill="1" applyBorder="1" applyAlignment="1" applyProtection="1">
      <alignment horizontal="center" vertical="center"/>
    </xf>
    <xf numFmtId="164" fontId="0" fillId="0" borderId="4" xfId="0" applyNumberFormat="1" applyFill="1" applyBorder="1" applyAlignment="1" applyProtection="1">
      <alignment horizontal="center" vertical="center"/>
    </xf>
    <xf numFmtId="2" fontId="0" fillId="0" borderId="3" xfId="0" applyNumberFormat="1" applyFill="1" applyBorder="1" applyAlignment="1" applyProtection="1">
      <alignment horizontal="center" vertical="center"/>
    </xf>
    <xf numFmtId="0" fontId="0" fillId="0" borderId="0" xfId="0" applyBorder="1" applyAlignment="1" applyProtection="1">
      <alignment vertical="top" wrapText="1"/>
    </xf>
    <xf numFmtId="0" fontId="0" fillId="0" borderId="11" xfId="0" applyBorder="1" applyAlignment="1" applyProtection="1">
      <alignment vertical="top" wrapText="1"/>
    </xf>
    <xf numFmtId="0" fontId="0" fillId="0" borderId="9" xfId="0" applyBorder="1" applyAlignment="1" applyProtection="1">
      <alignment horizontal="center" vertical="center"/>
    </xf>
    <xf numFmtId="0" fontId="0" fillId="0" borderId="8" xfId="0" applyBorder="1" applyAlignment="1" applyProtection="1">
      <alignment horizontal="center" vertical="center"/>
    </xf>
    <xf numFmtId="164" fontId="0" fillId="0" borderId="8" xfId="0" applyNumberFormat="1" applyBorder="1" applyAlignment="1" applyProtection="1">
      <alignment horizontal="center" vertical="center"/>
    </xf>
    <xf numFmtId="2" fontId="0" fillId="0" borderId="8" xfId="0" applyNumberFormat="1" applyFill="1" applyBorder="1" applyAlignment="1" applyProtection="1">
      <alignment horizontal="center" vertical="center"/>
    </xf>
    <xf numFmtId="164" fontId="0" fillId="0" borderId="8" xfId="0" applyNumberFormat="1" applyFill="1" applyBorder="1" applyAlignment="1" applyProtection="1">
      <alignment horizontal="center" vertical="center"/>
    </xf>
    <xf numFmtId="2" fontId="0" fillId="0" borderId="2" xfId="0" applyNumberFormat="1" applyFill="1" applyBorder="1" applyAlignment="1" applyProtection="1">
      <alignment horizontal="center" vertical="center"/>
    </xf>
    <xf numFmtId="0" fontId="11" fillId="0" borderId="11" xfId="0" applyFont="1" applyFill="1" applyBorder="1" applyAlignment="1" applyProtection="1">
      <alignment horizontal="center" vertical="center" textRotation="90" wrapText="1"/>
    </xf>
    <xf numFmtId="0" fontId="0" fillId="2" borderId="35" xfId="0" applyFill="1" applyBorder="1" applyAlignment="1" applyProtection="1">
      <alignment horizontal="center"/>
    </xf>
    <xf numFmtId="165" fontId="0" fillId="0" borderId="15" xfId="0" applyNumberFormat="1" applyBorder="1" applyAlignment="1" applyProtection="1">
      <alignment horizontal="center" vertical="center"/>
    </xf>
    <xf numFmtId="2" fontId="0" fillId="0" borderId="15" xfId="0" applyNumberFormat="1" applyBorder="1" applyAlignment="1" applyProtection="1">
      <alignment horizontal="center" vertical="center"/>
    </xf>
    <xf numFmtId="2" fontId="0" fillId="0" borderId="15" xfId="0" applyNumberFormat="1" applyBorder="1" applyAlignment="1" applyProtection="1">
      <alignment horizontal="center" vertical="center" wrapText="1"/>
    </xf>
    <xf numFmtId="0" fontId="0" fillId="0" borderId="28" xfId="0" applyBorder="1" applyAlignment="1" applyProtection="1">
      <alignment horizontal="center" vertical="center" wrapText="1"/>
    </xf>
    <xf numFmtId="0" fontId="0" fillId="0" borderId="11" xfId="0" applyBorder="1" applyAlignment="1" applyProtection="1">
      <alignment horizontal="center" vertical="center" wrapText="1"/>
    </xf>
    <xf numFmtId="164" fontId="0" fillId="0" borderId="1" xfId="0" applyNumberFormat="1" applyBorder="1" applyAlignment="1" applyProtection="1">
      <alignment horizontal="center" vertical="center"/>
    </xf>
    <xf numFmtId="2" fontId="0" fillId="0" borderId="1" xfId="0" applyNumberFormat="1" applyBorder="1" applyAlignment="1" applyProtection="1">
      <alignment horizontal="center"/>
    </xf>
    <xf numFmtId="165" fontId="0" fillId="0" borderId="32" xfId="0" applyNumberFormat="1" applyBorder="1" applyAlignment="1" applyProtection="1">
      <alignment horizontal="center" vertical="center"/>
    </xf>
    <xf numFmtId="2" fontId="0" fillId="0" borderId="32" xfId="0" applyNumberFormat="1" applyBorder="1" applyAlignment="1" applyProtection="1">
      <alignment horizontal="center" vertical="center"/>
    </xf>
    <xf numFmtId="2" fontId="0" fillId="0" borderId="30" xfId="0" applyNumberFormat="1" applyBorder="1" applyAlignment="1" applyProtection="1">
      <alignment horizontal="center"/>
    </xf>
    <xf numFmtId="2" fontId="0" fillId="0" borderId="32" xfId="0" applyNumberFormat="1" applyBorder="1" applyAlignment="1" applyProtection="1">
      <alignment horizontal="center" vertical="center" wrapText="1"/>
    </xf>
    <xf numFmtId="0" fontId="0" fillId="0" borderId="31" xfId="0" applyBorder="1" applyAlignment="1" applyProtection="1">
      <alignment horizontal="center" vertical="center" wrapText="1"/>
    </xf>
    <xf numFmtId="2" fontId="0" fillId="0" borderId="30" xfId="0" applyNumberFormat="1" applyFill="1" applyBorder="1" applyAlignment="1" applyProtection="1">
      <alignment horizontal="center" vertical="center"/>
    </xf>
    <xf numFmtId="164" fontId="0" fillId="0" borderId="30" xfId="0" applyNumberFormat="1" applyBorder="1" applyAlignment="1" applyProtection="1">
      <alignment horizontal="center" vertical="center"/>
    </xf>
    <xf numFmtId="2" fontId="0" fillId="0" borderId="0" xfId="0" applyNumberFormat="1" applyBorder="1" applyAlignment="1" applyProtection="1">
      <alignment horizontal="center" vertical="center"/>
    </xf>
    <xf numFmtId="165" fontId="0" fillId="0" borderId="0" xfId="0" applyNumberFormat="1" applyBorder="1" applyAlignment="1" applyProtection="1">
      <alignment horizontal="center" vertical="center"/>
    </xf>
    <xf numFmtId="0" fontId="0" fillId="0" borderId="11" xfId="0" applyBorder="1" applyAlignment="1" applyProtection="1">
      <alignment horizontal="center" vertical="center"/>
    </xf>
    <xf numFmtId="0" fontId="0" fillId="0" borderId="4" xfId="0" applyBorder="1" applyAlignment="1" applyProtection="1">
      <alignment vertical="top" wrapText="1"/>
    </xf>
    <xf numFmtId="2" fontId="0" fillId="0" borderId="4" xfId="0" applyNumberFormat="1" applyBorder="1" applyAlignment="1" applyProtection="1">
      <alignment horizontal="center" vertical="center"/>
    </xf>
    <xf numFmtId="0" fontId="0" fillId="0" borderId="3" xfId="0" applyBorder="1" applyAlignment="1" applyProtection="1">
      <alignment vertical="top" wrapText="1"/>
    </xf>
    <xf numFmtId="165" fontId="0" fillId="0" borderId="4" xfId="0" applyNumberFormat="1" applyBorder="1" applyAlignment="1" applyProtection="1">
      <alignment horizontal="center" vertical="center"/>
    </xf>
    <xf numFmtId="0" fontId="0" fillId="0" borderId="3" xfId="0" applyBorder="1" applyAlignment="1" applyProtection="1">
      <alignment horizontal="center" vertical="center"/>
    </xf>
    <xf numFmtId="1" fontId="0" fillId="0" borderId="8" xfId="0" applyNumberFormat="1" applyBorder="1" applyAlignment="1" applyProtection="1">
      <alignment horizontal="center"/>
    </xf>
    <xf numFmtId="0" fontId="0" fillId="0" borderId="11" xfId="0" applyFill="1" applyBorder="1" applyAlignment="1" applyProtection="1">
      <alignment horizontal="left" vertical="center" wrapText="1"/>
    </xf>
    <xf numFmtId="0" fontId="0" fillId="0" borderId="0" xfId="0" applyFill="1" applyBorder="1" applyAlignment="1" applyProtection="1">
      <alignment horizontal="left" vertical="top"/>
    </xf>
    <xf numFmtId="0" fontId="11" fillId="2" borderId="1" xfId="0" applyFont="1" applyFill="1" applyBorder="1" applyAlignment="1" applyProtection="1">
      <alignment horizontal="center" vertical="center"/>
    </xf>
    <xf numFmtId="0" fontId="31" fillId="2" borderId="1" xfId="0" applyFont="1" applyFill="1" applyBorder="1" applyAlignment="1" applyProtection="1">
      <alignment horizontal="center" vertical="center"/>
    </xf>
    <xf numFmtId="0" fontId="0" fillId="0" borderId="0" xfId="0" applyFill="1" applyBorder="1" applyAlignment="1" applyProtection="1">
      <alignment horizontal="left" vertical="center"/>
    </xf>
    <xf numFmtId="2" fontId="11" fillId="0" borderId="1" xfId="0" applyNumberFormat="1" applyFont="1" applyBorder="1" applyAlignment="1" applyProtection="1">
      <alignment horizontal="center" vertical="center"/>
    </xf>
    <xf numFmtId="0" fontId="25" fillId="0" borderId="0" xfId="0" applyFont="1" applyBorder="1" applyProtection="1"/>
    <xf numFmtId="0" fontId="0" fillId="0" borderId="0" xfId="0" applyFill="1" applyBorder="1" applyAlignment="1" applyProtection="1">
      <alignment horizontal="left"/>
    </xf>
    <xf numFmtId="0" fontId="0" fillId="0" borderId="0" xfId="0" quotePrefix="1" applyBorder="1" applyAlignment="1" applyProtection="1"/>
    <xf numFmtId="0" fontId="0" fillId="0" borderId="0" xfId="0" applyFill="1" applyBorder="1" applyAlignment="1" applyProtection="1"/>
    <xf numFmtId="0" fontId="24" fillId="0" borderId="0" xfId="0" applyFont="1" applyBorder="1" applyAlignment="1" applyProtection="1">
      <alignment horizontal="right" vertical="center"/>
    </xf>
    <xf numFmtId="164" fontId="11" fillId="0" borderId="30" xfId="0" applyNumberFormat="1" applyFont="1" applyBorder="1" applyAlignment="1" applyProtection="1">
      <alignment horizontal="center" vertical="center"/>
    </xf>
    <xf numFmtId="165" fontId="11" fillId="0" borderId="30" xfId="0" applyNumberFormat="1" applyFont="1" applyBorder="1" applyAlignment="1" applyProtection="1">
      <alignment horizontal="center" vertical="center"/>
    </xf>
    <xf numFmtId="0" fontId="0" fillId="0" borderId="34" xfId="0" applyBorder="1" applyProtection="1"/>
    <xf numFmtId="0" fontId="1" fillId="0" borderId="0" xfId="0" applyFont="1" applyBorder="1" applyAlignment="1" applyProtection="1">
      <alignment horizontal="left"/>
    </xf>
    <xf numFmtId="0" fontId="0" fillId="0" borderId="4" xfId="0" applyFill="1" applyBorder="1" applyProtection="1"/>
    <xf numFmtId="0" fontId="0" fillId="0" borderId="12" xfId="0" applyBorder="1" applyAlignment="1" applyProtection="1">
      <alignment horizontal="center"/>
    </xf>
    <xf numFmtId="0" fontId="25" fillId="0" borderId="0" xfId="0" applyFont="1" applyBorder="1" applyAlignment="1" applyProtection="1">
      <alignment horizontal="left"/>
    </xf>
    <xf numFmtId="0" fontId="0" fillId="0" borderId="0" xfId="0" applyFont="1" applyBorder="1" applyProtection="1"/>
    <xf numFmtId="0" fontId="1" fillId="0" borderId="0" xfId="0" quotePrefix="1" applyFont="1" applyBorder="1" applyAlignment="1" applyProtection="1"/>
    <xf numFmtId="0" fontId="0" fillId="0" borderId="0" xfId="0" applyFont="1" applyBorder="1" applyAlignment="1" applyProtection="1">
      <alignment horizontal="right"/>
    </xf>
    <xf numFmtId="0" fontId="0" fillId="0" borderId="1" xfId="0" applyBorder="1" applyAlignment="1" applyProtection="1">
      <alignment vertical="center"/>
    </xf>
    <xf numFmtId="0" fontId="19" fillId="0" borderId="0" xfId="0" applyFont="1" applyBorder="1" applyAlignment="1" applyProtection="1"/>
    <xf numFmtId="0" fontId="19" fillId="0" borderId="0" xfId="0" applyFont="1" applyBorder="1" applyAlignment="1" applyProtection="1">
      <alignment horizontal="right"/>
    </xf>
    <xf numFmtId="0" fontId="0" fillId="0" borderId="0" xfId="0" applyFill="1" applyBorder="1" applyAlignment="1" applyProtection="1">
      <alignment horizontal="center" vertical="center"/>
    </xf>
    <xf numFmtId="0" fontId="0" fillId="0" borderId="0" xfId="0" quotePrefix="1" applyAlignment="1" applyProtection="1"/>
    <xf numFmtId="0" fontId="19" fillId="0" borderId="0" xfId="0" applyFont="1" applyBorder="1" applyAlignment="1" applyProtection="1">
      <alignment horizontal="left"/>
    </xf>
    <xf numFmtId="164" fontId="0" fillId="0" borderId="0" xfId="0" applyNumberFormat="1" applyAlignment="1" applyProtection="1">
      <alignment horizontal="center"/>
    </xf>
    <xf numFmtId="0" fontId="22" fillId="0" borderId="0" xfId="0" applyFont="1" applyFill="1" applyProtection="1"/>
    <xf numFmtId="0" fontId="0" fillId="0" borderId="0" xfId="0" applyBorder="1" applyAlignment="1" applyProtection="1">
      <alignment horizontal="left" vertical="center" wrapText="1"/>
    </xf>
    <xf numFmtId="0" fontId="1" fillId="0" borderId="0" xfId="0" applyFont="1" applyBorder="1" applyAlignment="1" applyProtection="1">
      <alignment horizontal="center"/>
    </xf>
    <xf numFmtId="0" fontId="0" fillId="0" borderId="5" xfId="0" applyFont="1" applyBorder="1" applyAlignment="1" applyProtection="1">
      <alignment horizontal="left" vertical="center"/>
    </xf>
    <xf numFmtId="0" fontId="0" fillId="0" borderId="0" xfId="0" applyBorder="1" applyAlignment="1" applyProtection="1">
      <alignment horizontal="left" vertical="top" wrapText="1"/>
    </xf>
    <xf numFmtId="0" fontId="6" fillId="0" borderId="0" xfId="0" applyFont="1" applyBorder="1" applyAlignment="1" applyProtection="1">
      <alignment horizontal="left" vertical="center" wrapText="1"/>
    </xf>
    <xf numFmtId="0" fontId="0" fillId="0" borderId="0" xfId="0" applyFill="1" applyBorder="1" applyAlignment="1" applyProtection="1">
      <alignment horizontal="left" vertical="center" wrapText="1"/>
    </xf>
    <xf numFmtId="0" fontId="0" fillId="3" borderId="1" xfId="0" applyFill="1" applyBorder="1" applyAlignment="1" applyProtection="1">
      <alignment horizontal="center" vertical="center"/>
    </xf>
    <xf numFmtId="0" fontId="0" fillId="0" borderId="9" xfId="0" applyBorder="1" applyAlignment="1" applyProtection="1">
      <alignment horizontal="center"/>
    </xf>
    <xf numFmtId="2" fontId="0" fillId="2" borderId="1" xfId="0" applyNumberFormat="1" applyFill="1" applyBorder="1" applyAlignment="1" applyProtection="1">
      <alignment horizontal="center" vertical="center"/>
    </xf>
    <xf numFmtId="0" fontId="17" fillId="4" borderId="1" xfId="0" applyNumberFormat="1" applyFont="1" applyFill="1" applyBorder="1" applyAlignment="1">
      <alignment horizontal="center" vertical="center"/>
    </xf>
    <xf numFmtId="0" fontId="17" fillId="4" borderId="13" xfId="0" applyNumberFormat="1" applyFont="1" applyFill="1" applyBorder="1" applyAlignment="1">
      <alignment horizontal="center" vertical="center"/>
    </xf>
    <xf numFmtId="0" fontId="17" fillId="4" borderId="15" xfId="0" applyNumberFormat="1" applyFont="1"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21" fillId="5" borderId="1" xfId="0" applyFont="1" applyFill="1" applyBorder="1" applyAlignment="1">
      <alignment horizontal="center" vertical="center"/>
    </xf>
    <xf numFmtId="0" fontId="17" fillId="5" borderId="5" xfId="0" applyNumberFormat="1" applyFont="1" applyFill="1" applyBorder="1" applyAlignment="1">
      <alignment horizontal="center" vertical="center"/>
    </xf>
    <xf numFmtId="0" fontId="17" fillId="5" borderId="6" xfId="0" applyNumberFormat="1" applyFont="1" applyFill="1" applyBorder="1" applyAlignment="1">
      <alignment horizontal="center" vertical="center"/>
    </xf>
    <xf numFmtId="0" fontId="17" fillId="5" borderId="7" xfId="0" applyNumberFormat="1" applyFont="1" applyFill="1" applyBorder="1" applyAlignment="1">
      <alignment horizontal="center" vertical="center"/>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14" xfId="0" applyFill="1" applyBorder="1" applyAlignment="1">
      <alignment horizontal="center" vertical="center" wrapText="1"/>
    </xf>
    <xf numFmtId="0" fontId="0" fillId="3" borderId="15" xfId="0" applyFill="1" applyBorder="1" applyAlignment="1">
      <alignment horizontal="center" vertical="center" wrapText="1"/>
    </xf>
    <xf numFmtId="0" fontId="17" fillId="4" borderId="13" xfId="0" applyNumberFormat="1" applyFont="1" applyFill="1" applyBorder="1" applyAlignment="1">
      <alignment horizontal="center" vertical="center" wrapText="1"/>
    </xf>
    <xf numFmtId="0" fontId="17" fillId="4" borderId="15" xfId="0" applyNumberFormat="1" applyFont="1" applyFill="1" applyBorder="1" applyAlignment="1">
      <alignment horizontal="center" vertical="center" wrapText="1"/>
    </xf>
    <xf numFmtId="0" fontId="21" fillId="5" borderId="9" xfId="0" applyFont="1" applyFill="1" applyBorder="1" applyAlignment="1">
      <alignment horizontal="center" vertical="center"/>
    </xf>
    <xf numFmtId="0" fontId="21" fillId="5" borderId="8" xfId="0" applyFont="1" applyFill="1" applyBorder="1" applyAlignment="1">
      <alignment horizontal="center" vertical="center"/>
    </xf>
    <xf numFmtId="0" fontId="21" fillId="5" borderId="2" xfId="0" applyFont="1" applyFill="1" applyBorder="1" applyAlignment="1">
      <alignment horizontal="center" vertical="center"/>
    </xf>
    <xf numFmtId="0" fontId="21" fillId="5" borderId="12" xfId="0" applyFont="1" applyFill="1" applyBorder="1" applyAlignment="1">
      <alignment horizontal="center" vertical="center"/>
    </xf>
    <xf numFmtId="0" fontId="21" fillId="5" borderId="4" xfId="0" applyFont="1" applyFill="1" applyBorder="1" applyAlignment="1">
      <alignment horizontal="center" vertical="center"/>
    </xf>
    <xf numFmtId="0" fontId="21" fillId="5" borderId="3" xfId="0" applyFont="1" applyFill="1" applyBorder="1" applyAlignment="1">
      <alignment horizontal="center" vertical="center"/>
    </xf>
    <xf numFmtId="0" fontId="0" fillId="2" borderId="13" xfId="0" applyFont="1" applyFill="1" applyBorder="1" applyAlignment="1" applyProtection="1">
      <alignment horizontal="center" vertical="center" wrapText="1"/>
    </xf>
    <xf numFmtId="0" fontId="0" fillId="2" borderId="14" xfId="0" applyFont="1" applyFill="1" applyBorder="1" applyAlignment="1" applyProtection="1">
      <alignment horizontal="center" vertical="center" wrapText="1"/>
    </xf>
    <xf numFmtId="0" fontId="0" fillId="2" borderId="15" xfId="0" applyFont="1" applyFill="1" applyBorder="1" applyAlignment="1" applyProtection="1">
      <alignment horizontal="center" vertical="center" wrapText="1"/>
    </xf>
    <xf numFmtId="0" fontId="10" fillId="2" borderId="13" xfId="0" applyFont="1" applyFill="1" applyBorder="1" applyAlignment="1" applyProtection="1">
      <alignment horizontal="center" vertical="center"/>
    </xf>
    <xf numFmtId="0" fontId="10" fillId="2" borderId="14" xfId="0" applyFont="1" applyFill="1" applyBorder="1" applyAlignment="1" applyProtection="1">
      <alignment horizontal="center" vertical="center"/>
    </xf>
    <xf numFmtId="0" fontId="10" fillId="2" borderId="15" xfId="0" applyFont="1" applyFill="1" applyBorder="1" applyAlignment="1" applyProtection="1">
      <alignment horizontal="center" vertical="center"/>
    </xf>
    <xf numFmtId="0" fontId="15" fillId="2" borderId="47" xfId="0" applyFont="1" applyFill="1" applyBorder="1" applyAlignment="1" applyProtection="1">
      <alignment horizontal="center" vertical="center" textRotation="90" wrapText="1"/>
    </xf>
    <xf numFmtId="0" fontId="15" fillId="2" borderId="48" xfId="0" applyFont="1" applyFill="1" applyBorder="1" applyAlignment="1" applyProtection="1">
      <alignment horizontal="center" vertical="center" textRotation="90" wrapText="1"/>
    </xf>
    <xf numFmtId="0" fontId="15" fillId="2" borderId="49" xfId="0" applyFont="1" applyFill="1" applyBorder="1" applyAlignment="1" applyProtection="1">
      <alignment horizontal="center" vertical="center" textRotation="90" wrapText="1"/>
    </xf>
    <xf numFmtId="0" fontId="0" fillId="0" borderId="1" xfId="0" applyFont="1" applyBorder="1" applyAlignment="1" applyProtection="1">
      <alignment horizontal="center" vertical="top"/>
    </xf>
    <xf numFmtId="14" fontId="0" fillId="0" borderId="5" xfId="0" applyNumberFormat="1" applyFont="1" applyBorder="1" applyAlignment="1" applyProtection="1">
      <alignment horizontal="center" vertical="center"/>
    </xf>
    <xf numFmtId="14" fontId="0" fillId="0" borderId="6" xfId="0" applyNumberFormat="1" applyFont="1" applyBorder="1" applyAlignment="1" applyProtection="1">
      <alignment horizontal="center" vertical="center"/>
    </xf>
    <xf numFmtId="14" fontId="0" fillId="0" borderId="7" xfId="0" applyNumberFormat="1" applyFont="1" applyBorder="1" applyAlignment="1" applyProtection="1">
      <alignment horizontal="center" vertical="center"/>
    </xf>
    <xf numFmtId="0" fontId="0" fillId="0" borderId="1" xfId="0" applyFont="1" applyBorder="1" applyAlignment="1" applyProtection="1">
      <alignment horizontal="center" vertical="center"/>
      <protection locked="0"/>
    </xf>
    <xf numFmtId="0" fontId="10" fillId="2" borderId="44" xfId="0" applyFont="1" applyFill="1" applyBorder="1" applyAlignment="1" applyProtection="1">
      <alignment horizontal="center" vertical="center"/>
    </xf>
    <xf numFmtId="0" fontId="0" fillId="0" borderId="0" xfId="0" applyBorder="1" applyAlignment="1" applyProtection="1">
      <alignment horizontal="left" vertical="center" wrapText="1"/>
    </xf>
    <xf numFmtId="0" fontId="0" fillId="2" borderId="13" xfId="0" applyFill="1" applyBorder="1" applyAlignment="1" applyProtection="1">
      <alignment horizontal="center" vertical="center" textRotation="90" wrapText="1"/>
    </xf>
    <xf numFmtId="0" fontId="0" fillId="2" borderId="14" xfId="0" applyFill="1" applyBorder="1" applyAlignment="1" applyProtection="1">
      <alignment horizontal="center" vertical="center" textRotation="90" wrapText="1"/>
    </xf>
    <xf numFmtId="0" fontId="0" fillId="2" borderId="15" xfId="0" applyFill="1" applyBorder="1" applyAlignment="1" applyProtection="1">
      <alignment horizontal="center" vertical="center" textRotation="90" wrapText="1"/>
    </xf>
    <xf numFmtId="0" fontId="0" fillId="2" borderId="13" xfId="0" applyFill="1" applyBorder="1" applyAlignment="1" applyProtection="1">
      <alignment horizontal="center" vertical="center"/>
    </xf>
    <xf numFmtId="0" fontId="0" fillId="2" borderId="14" xfId="0" applyFill="1" applyBorder="1" applyAlignment="1" applyProtection="1">
      <alignment horizontal="center" vertical="center"/>
    </xf>
    <xf numFmtId="0" fontId="0" fillId="2" borderId="15" xfId="0" applyFill="1" applyBorder="1" applyAlignment="1" applyProtection="1">
      <alignment horizontal="center" vertical="center"/>
    </xf>
    <xf numFmtId="0" fontId="10" fillId="2" borderId="1" xfId="0" applyFont="1" applyFill="1" applyBorder="1" applyAlignment="1" applyProtection="1">
      <alignment horizontal="center" vertical="center" wrapText="1"/>
    </xf>
    <xf numFmtId="0" fontId="5" fillId="2" borderId="26"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0" fillId="2" borderId="9" xfId="0" applyFont="1" applyFill="1" applyBorder="1" applyAlignment="1" applyProtection="1">
      <alignment horizontal="center" vertical="center" wrapText="1"/>
    </xf>
    <xf numFmtId="0" fontId="0" fillId="2" borderId="8" xfId="0" applyFont="1" applyFill="1" applyBorder="1" applyAlignment="1" applyProtection="1">
      <alignment horizontal="center" vertical="center" wrapText="1"/>
    </xf>
    <xf numFmtId="0" fontId="0" fillId="2" borderId="38" xfId="0" applyFont="1" applyFill="1" applyBorder="1" applyAlignment="1" applyProtection="1">
      <alignment horizontal="center" vertical="center" wrapText="1"/>
    </xf>
    <xf numFmtId="0" fontId="0" fillId="2" borderId="12" xfId="0" applyFont="1" applyFill="1" applyBorder="1" applyAlignment="1" applyProtection="1">
      <alignment horizontal="center" vertical="center" wrapText="1"/>
    </xf>
    <xf numFmtId="0" fontId="0" fillId="2" borderId="4" xfId="0" applyFont="1" applyFill="1" applyBorder="1" applyAlignment="1" applyProtection="1">
      <alignment horizontal="center" vertical="center" wrapText="1"/>
    </xf>
    <xf numFmtId="0" fontId="0" fillId="2" borderId="39" xfId="0" applyFont="1" applyFill="1" applyBorder="1" applyAlignment="1" applyProtection="1">
      <alignment horizontal="center" vertical="center" wrapText="1"/>
    </xf>
    <xf numFmtId="0" fontId="5" fillId="2" borderId="40" xfId="0" applyFont="1" applyFill="1" applyBorder="1" applyAlignment="1" applyProtection="1">
      <alignment horizontal="center" vertical="center" wrapText="1"/>
    </xf>
    <xf numFmtId="0" fontId="5" fillId="2" borderId="18" xfId="0" applyFont="1" applyFill="1" applyBorder="1" applyAlignment="1" applyProtection="1">
      <alignment horizontal="center" vertical="center" wrapText="1"/>
    </xf>
    <xf numFmtId="0" fontId="5" fillId="2" borderId="19" xfId="0" applyFont="1" applyFill="1" applyBorder="1" applyAlignment="1" applyProtection="1">
      <alignment horizontal="center" vertical="center" wrapText="1"/>
    </xf>
    <xf numFmtId="0" fontId="5" fillId="2" borderId="12"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2" borderId="39" xfId="0" applyFont="1" applyFill="1" applyBorder="1" applyAlignment="1" applyProtection="1">
      <alignment horizontal="center" vertical="center" wrapText="1"/>
    </xf>
    <xf numFmtId="0" fontId="1" fillId="0" borderId="20" xfId="0" applyFont="1" applyBorder="1" applyAlignment="1" applyProtection="1">
      <alignment horizontal="center"/>
    </xf>
    <xf numFmtId="0" fontId="1" fillId="0" borderId="0" xfId="0" applyFont="1" applyBorder="1" applyAlignment="1" applyProtection="1">
      <alignment horizontal="center"/>
    </xf>
    <xf numFmtId="0" fontId="1" fillId="0" borderId="21" xfId="0" applyFont="1" applyBorder="1" applyAlignment="1" applyProtection="1">
      <alignment horizontal="center"/>
    </xf>
    <xf numFmtId="0" fontId="10" fillId="2" borderId="5" xfId="0" applyFont="1" applyFill="1" applyBorder="1" applyAlignment="1" applyProtection="1">
      <alignment horizontal="center" vertical="center"/>
    </xf>
    <xf numFmtId="0" fontId="10" fillId="2" borderId="6" xfId="0" applyFont="1" applyFill="1" applyBorder="1" applyAlignment="1" applyProtection="1">
      <alignment horizontal="center" vertical="center"/>
    </xf>
    <xf numFmtId="0" fontId="10" fillId="2" borderId="42" xfId="0" applyFont="1" applyFill="1" applyBorder="1" applyAlignment="1" applyProtection="1">
      <alignment horizontal="center" vertical="center"/>
    </xf>
    <xf numFmtId="0" fontId="0" fillId="2" borderId="1" xfId="0" applyFont="1" applyFill="1" applyBorder="1" applyAlignment="1" applyProtection="1">
      <alignment horizontal="center" vertical="center" wrapText="1"/>
    </xf>
    <xf numFmtId="0" fontId="39" fillId="0" borderId="20" xfId="0" applyFont="1" applyBorder="1" applyAlignment="1" applyProtection="1">
      <alignment horizontal="center"/>
    </xf>
    <xf numFmtId="0" fontId="39" fillId="0" borderId="0" xfId="0" applyFont="1" applyBorder="1" applyAlignment="1" applyProtection="1">
      <alignment horizontal="center"/>
    </xf>
    <xf numFmtId="0" fontId="39" fillId="0" borderId="21" xfId="0" applyFont="1" applyBorder="1" applyAlignment="1" applyProtection="1">
      <alignment horizontal="center"/>
    </xf>
    <xf numFmtId="0" fontId="38" fillId="0" borderId="20" xfId="0" applyFont="1" applyBorder="1" applyAlignment="1" applyProtection="1">
      <alignment horizontal="center"/>
    </xf>
    <xf numFmtId="0" fontId="38" fillId="0" borderId="0" xfId="0" applyFont="1" applyBorder="1" applyAlignment="1" applyProtection="1">
      <alignment horizontal="center"/>
    </xf>
    <xf numFmtId="0" fontId="38" fillId="0" borderId="21" xfId="0" applyFont="1" applyBorder="1" applyAlignment="1" applyProtection="1">
      <alignment horizontal="center"/>
    </xf>
    <xf numFmtId="0" fontId="0" fillId="2" borderId="28" xfId="0" applyFont="1" applyFill="1" applyBorder="1" applyAlignment="1" applyProtection="1">
      <alignment horizontal="center" vertical="center" wrapText="1"/>
    </xf>
    <xf numFmtId="0" fontId="10" fillId="2" borderId="7" xfId="0" applyFont="1" applyFill="1" applyBorder="1" applyAlignment="1" applyProtection="1">
      <alignment horizontal="center" vertical="center"/>
    </xf>
    <xf numFmtId="0" fontId="10" fillId="2" borderId="1" xfId="0" applyFont="1" applyFill="1" applyBorder="1" applyAlignment="1" applyProtection="1">
      <alignment horizontal="center" vertical="center"/>
    </xf>
    <xf numFmtId="0" fontId="0" fillId="0" borderId="5" xfId="0" applyFont="1" applyBorder="1" applyAlignment="1" applyProtection="1">
      <alignment horizontal="left" vertical="top" wrapText="1"/>
    </xf>
    <xf numFmtId="0" fontId="0" fillId="0" borderId="7" xfId="0" applyFont="1" applyBorder="1" applyAlignment="1" applyProtection="1">
      <alignment horizontal="left" vertical="top" wrapText="1"/>
    </xf>
    <xf numFmtId="0" fontId="0" fillId="0" borderId="5" xfId="0" applyFont="1" applyBorder="1" applyAlignment="1" applyProtection="1">
      <alignment horizontal="left" vertical="center"/>
    </xf>
    <xf numFmtId="0" fontId="0" fillId="0" borderId="7" xfId="0" applyFont="1" applyBorder="1" applyAlignment="1" applyProtection="1">
      <alignment horizontal="left" vertical="center"/>
    </xf>
    <xf numFmtId="0" fontId="5" fillId="2" borderId="17" xfId="0" applyFont="1" applyFill="1" applyBorder="1" applyAlignment="1" applyProtection="1">
      <alignment horizontal="center" vertical="center" wrapText="1"/>
    </xf>
    <xf numFmtId="0" fontId="5" fillId="2" borderId="22" xfId="0" applyFont="1" applyFill="1" applyBorder="1" applyAlignment="1" applyProtection="1">
      <alignment horizontal="center" vertical="center" wrapText="1"/>
    </xf>
    <xf numFmtId="0" fontId="5" fillId="2" borderId="16" xfId="0" applyFont="1" applyFill="1" applyBorder="1" applyAlignment="1" applyProtection="1">
      <alignment horizontal="center" vertical="center" wrapText="1"/>
    </xf>
    <xf numFmtId="0" fontId="5" fillId="2" borderId="23" xfId="0" applyFont="1" applyFill="1" applyBorder="1" applyAlignment="1" applyProtection="1">
      <alignment horizontal="center" vertical="center" wrapText="1"/>
    </xf>
    <xf numFmtId="0" fontId="5" fillId="2" borderId="34" xfId="0" applyFont="1" applyFill="1" applyBorder="1" applyAlignment="1" applyProtection="1">
      <alignment horizontal="center" vertical="center" wrapText="1"/>
    </xf>
    <xf numFmtId="0" fontId="5" fillId="2" borderId="20"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11" xfId="0" applyFont="1" applyFill="1" applyBorder="1" applyAlignment="1" applyProtection="1">
      <alignment horizontal="center" vertical="center" wrapText="1"/>
    </xf>
    <xf numFmtId="0" fontId="5" fillId="2" borderId="41"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11" fillId="2" borderId="13" xfId="0" applyFont="1" applyFill="1" applyBorder="1" applyAlignment="1" applyProtection="1">
      <alignment horizontal="center" vertical="center" textRotation="90" wrapText="1"/>
    </xf>
    <xf numFmtId="0" fontId="11" fillId="2" borderId="14" xfId="0" applyFont="1" applyFill="1" applyBorder="1" applyAlignment="1" applyProtection="1">
      <alignment horizontal="center" vertical="center" textRotation="90" wrapText="1"/>
    </xf>
    <xf numFmtId="0" fontId="11" fillId="2" borderId="15" xfId="0" applyFont="1" applyFill="1" applyBorder="1" applyAlignment="1" applyProtection="1">
      <alignment horizontal="center" vertical="center" textRotation="90" wrapText="1"/>
    </xf>
    <xf numFmtId="0" fontId="11" fillId="2" borderId="13" xfId="0" applyFont="1" applyFill="1" applyBorder="1" applyAlignment="1" applyProtection="1">
      <alignment horizontal="center" vertical="center" wrapText="1"/>
    </xf>
    <xf numFmtId="0" fontId="11" fillId="2" borderId="14" xfId="0" applyFont="1" applyFill="1" applyBorder="1" applyAlignment="1" applyProtection="1">
      <alignment horizontal="center" vertical="center" wrapText="1"/>
    </xf>
    <xf numFmtId="0" fontId="11" fillId="2" borderId="15" xfId="0" applyFont="1" applyFill="1" applyBorder="1" applyAlignment="1" applyProtection="1">
      <alignment horizontal="center" vertical="center" wrapText="1"/>
    </xf>
    <xf numFmtId="0" fontId="10" fillId="2" borderId="13" xfId="0" applyFont="1" applyFill="1" applyBorder="1" applyAlignment="1" applyProtection="1">
      <alignment horizontal="center" vertical="center" wrapText="1"/>
    </xf>
    <xf numFmtId="0" fontId="10" fillId="2" borderId="14" xfId="0" applyFont="1" applyFill="1" applyBorder="1" applyAlignment="1" applyProtection="1">
      <alignment horizontal="center" vertical="center" wrapText="1"/>
    </xf>
    <xf numFmtId="0" fontId="10" fillId="2" borderId="15" xfId="0" applyFont="1" applyFill="1" applyBorder="1" applyAlignment="1" applyProtection="1">
      <alignment horizontal="center" vertical="center" wrapText="1"/>
    </xf>
    <xf numFmtId="0" fontId="10" fillId="2" borderId="13" xfId="0" applyFont="1" applyFill="1" applyBorder="1" applyAlignment="1" applyProtection="1">
      <alignment horizontal="center" vertical="center" textRotation="90" wrapText="1"/>
    </xf>
    <xf numFmtId="0" fontId="10" fillId="2" borderId="14" xfId="0" applyFont="1" applyFill="1" applyBorder="1" applyAlignment="1" applyProtection="1">
      <alignment horizontal="center" vertical="center" textRotation="90" wrapText="1"/>
    </xf>
    <xf numFmtId="0" fontId="10" fillId="2" borderId="15" xfId="0" applyFont="1" applyFill="1" applyBorder="1" applyAlignment="1" applyProtection="1">
      <alignment horizontal="center" vertical="center" textRotation="90" wrapText="1"/>
    </xf>
    <xf numFmtId="0" fontId="10" fillId="2" borderId="43" xfId="0" applyFont="1" applyFill="1" applyBorder="1" applyAlignment="1" applyProtection="1">
      <alignment horizontal="center" vertical="center"/>
    </xf>
    <xf numFmtId="0" fontId="10" fillId="2" borderId="8" xfId="0" applyFont="1" applyFill="1" applyBorder="1" applyAlignment="1" applyProtection="1">
      <alignment horizontal="center" vertical="center"/>
    </xf>
    <xf numFmtId="0" fontId="10" fillId="2" borderId="2" xfId="0" applyFont="1" applyFill="1" applyBorder="1" applyAlignment="1" applyProtection="1">
      <alignment horizontal="center" vertical="center"/>
    </xf>
    <xf numFmtId="0" fontId="10" fillId="2" borderId="20" xfId="0" applyFont="1" applyFill="1" applyBorder="1" applyAlignment="1" applyProtection="1">
      <alignment horizontal="center" vertical="center"/>
    </xf>
    <xf numFmtId="0" fontId="10" fillId="2" borderId="0" xfId="0" applyFont="1" applyFill="1" applyBorder="1" applyAlignment="1" applyProtection="1">
      <alignment horizontal="center" vertical="center"/>
    </xf>
    <xf numFmtId="0" fontId="10" fillId="2" borderId="11" xfId="0" applyFont="1" applyFill="1" applyBorder="1" applyAlignment="1" applyProtection="1">
      <alignment horizontal="center" vertical="center"/>
    </xf>
    <xf numFmtId="0" fontId="10" fillId="2" borderId="41" xfId="0" applyFont="1" applyFill="1" applyBorder="1" applyAlignment="1" applyProtection="1">
      <alignment horizontal="center" vertical="center"/>
    </xf>
    <xf numFmtId="0" fontId="10" fillId="2" borderId="4" xfId="0" applyFont="1" applyFill="1" applyBorder="1" applyAlignment="1" applyProtection="1">
      <alignment horizontal="center" vertical="center"/>
    </xf>
    <xf numFmtId="0" fontId="10" fillId="2" borderId="3" xfId="0" applyFont="1" applyFill="1" applyBorder="1" applyAlignment="1" applyProtection="1">
      <alignment horizontal="center" vertical="center"/>
    </xf>
    <xf numFmtId="0" fontId="0" fillId="0" borderId="36" xfId="0" applyFont="1" applyBorder="1" applyAlignment="1" applyProtection="1">
      <alignment horizontal="left" vertical="top" wrapText="1"/>
    </xf>
    <xf numFmtId="0" fontId="0" fillId="0" borderId="37" xfId="0" applyFont="1" applyBorder="1" applyAlignment="1" applyProtection="1">
      <alignment horizontal="left" vertical="top" wrapText="1"/>
    </xf>
    <xf numFmtId="0" fontId="0" fillId="2" borderId="1" xfId="0" applyFont="1" applyFill="1" applyBorder="1" applyAlignment="1" applyProtection="1">
      <alignment horizontal="center" vertical="center"/>
    </xf>
    <xf numFmtId="0" fontId="0" fillId="2" borderId="33" xfId="0" applyFill="1" applyBorder="1" applyAlignment="1" applyProtection="1">
      <alignment horizontal="center" textRotation="90" wrapText="1"/>
    </xf>
    <xf numFmtId="0" fontId="0" fillId="2" borderId="32" xfId="0" applyFill="1" applyBorder="1" applyAlignment="1" applyProtection="1">
      <alignment horizontal="center" textRotation="90" wrapText="1"/>
    </xf>
    <xf numFmtId="0" fontId="0" fillId="2" borderId="32" xfId="0" applyFill="1" applyBorder="1" applyAlignment="1" applyProtection="1">
      <alignment horizontal="center" vertical="center"/>
    </xf>
    <xf numFmtId="0" fontId="0" fillId="2" borderId="30" xfId="0" applyFill="1" applyBorder="1" applyAlignment="1" applyProtection="1">
      <alignment horizontal="center" vertical="center"/>
    </xf>
    <xf numFmtId="0" fontId="0" fillId="2" borderId="33" xfId="0" applyFill="1" applyBorder="1" applyAlignment="1" applyProtection="1">
      <alignment horizontal="center" wrapText="1"/>
    </xf>
    <xf numFmtId="0" fontId="0" fillId="2" borderId="32" xfId="0" applyFill="1" applyBorder="1" applyAlignment="1" applyProtection="1">
      <alignment horizontal="center" wrapText="1"/>
    </xf>
    <xf numFmtId="0" fontId="5" fillId="2" borderId="10"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5" fillId="2" borderId="11" xfId="0" applyFont="1" applyFill="1" applyBorder="1" applyAlignment="1" applyProtection="1">
      <alignment horizontal="center" vertical="center"/>
    </xf>
    <xf numFmtId="0" fontId="0" fillId="2" borderId="26" xfId="0" applyFill="1" applyBorder="1" applyAlignment="1" applyProtection="1">
      <alignment horizontal="center" vertical="center"/>
    </xf>
    <xf numFmtId="0" fontId="5" fillId="2" borderId="26"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0" fillId="0" borderId="0" xfId="0" applyBorder="1" applyAlignment="1" applyProtection="1">
      <alignment horizontal="left" vertical="top" wrapText="1"/>
    </xf>
    <xf numFmtId="0" fontId="0" fillId="0" borderId="1" xfId="0" applyBorder="1" applyAlignment="1" applyProtection="1">
      <alignment horizontal="center"/>
    </xf>
    <xf numFmtId="0" fontId="6" fillId="0" borderId="9"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0"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1" fillId="0" borderId="1" xfId="0" applyFont="1" applyBorder="1" applyAlignment="1" applyProtection="1">
      <alignment horizontal="left" vertical="center"/>
      <protection locked="0"/>
    </xf>
    <xf numFmtId="0" fontId="6" fillId="0" borderId="1" xfId="0" applyFont="1" applyBorder="1" applyAlignment="1" applyProtection="1">
      <alignment horizontal="center" vertical="center" wrapText="1"/>
      <protection locked="0"/>
    </xf>
    <xf numFmtId="0" fontId="23" fillId="2" borderId="16" xfId="0" applyFont="1" applyFill="1" applyBorder="1" applyAlignment="1" applyProtection="1">
      <alignment horizontal="center" vertical="center"/>
    </xf>
    <xf numFmtId="0" fontId="0" fillId="0" borderId="0" xfId="0" applyFill="1" applyBorder="1" applyAlignment="1" applyProtection="1">
      <alignment horizontal="left" vertical="center" wrapText="1"/>
    </xf>
    <xf numFmtId="2" fontId="5" fillId="2" borderId="17" xfId="0" applyNumberFormat="1" applyFont="1" applyFill="1" applyBorder="1" applyAlignment="1" applyProtection="1">
      <alignment horizontal="center" vertical="center"/>
    </xf>
    <xf numFmtId="2" fontId="5" fillId="2" borderId="18" xfId="0" applyNumberFormat="1" applyFont="1" applyFill="1" applyBorder="1" applyAlignment="1" applyProtection="1">
      <alignment horizontal="center" vertical="center"/>
    </xf>
    <xf numFmtId="2" fontId="5" fillId="2" borderId="19" xfId="0" applyNumberFormat="1" applyFont="1" applyFill="1" applyBorder="1" applyAlignment="1" applyProtection="1">
      <alignment horizontal="center" vertical="center"/>
    </xf>
    <xf numFmtId="2" fontId="5" fillId="2" borderId="41" xfId="0" applyNumberFormat="1" applyFont="1" applyFill="1" applyBorder="1" applyAlignment="1" applyProtection="1">
      <alignment horizontal="center" vertical="center"/>
    </xf>
    <xf numFmtId="2" fontId="5" fillId="2" borderId="4" xfId="0" applyNumberFormat="1" applyFont="1" applyFill="1" applyBorder="1" applyAlignment="1" applyProtection="1">
      <alignment horizontal="center" vertical="center"/>
    </xf>
    <xf numFmtId="2" fontId="5" fillId="2" borderId="39" xfId="0" applyNumberFormat="1" applyFont="1" applyFill="1" applyBorder="1" applyAlignment="1" applyProtection="1">
      <alignment horizontal="center" vertical="center"/>
    </xf>
    <xf numFmtId="0" fontId="0" fillId="2" borderId="5" xfId="0" applyFill="1" applyBorder="1" applyAlignment="1" applyProtection="1">
      <alignment horizontal="center" vertical="center"/>
    </xf>
    <xf numFmtId="0" fontId="0" fillId="2" borderId="7" xfId="0" applyFill="1" applyBorder="1" applyAlignment="1" applyProtection="1">
      <alignment horizontal="center" vertical="center"/>
    </xf>
    <xf numFmtId="0" fontId="0" fillId="2" borderId="6" xfId="0" applyFill="1" applyBorder="1" applyAlignment="1" applyProtection="1">
      <alignment horizontal="center" vertical="center"/>
    </xf>
    <xf numFmtId="1" fontId="0" fillId="2" borderId="13" xfId="0" applyNumberFormat="1" applyFill="1" applyBorder="1" applyAlignment="1" applyProtection="1">
      <alignment horizontal="center" vertical="center" wrapText="1"/>
    </xf>
    <xf numFmtId="1" fontId="0" fillId="2" borderId="14" xfId="0" applyNumberFormat="1" applyFill="1" applyBorder="1" applyAlignment="1" applyProtection="1">
      <alignment horizontal="center" vertical="center" wrapText="1"/>
    </xf>
    <xf numFmtId="1" fontId="0" fillId="2" borderId="15" xfId="0" applyNumberFormat="1" applyFill="1" applyBorder="1" applyAlignment="1" applyProtection="1">
      <alignment horizontal="center" vertical="center" wrapText="1"/>
    </xf>
    <xf numFmtId="1" fontId="0" fillId="2" borderId="13" xfId="0" applyNumberFormat="1" applyFill="1" applyBorder="1" applyAlignment="1" applyProtection="1">
      <alignment horizontal="center" vertical="center" textRotation="90" wrapText="1"/>
    </xf>
    <xf numFmtId="1" fontId="0" fillId="2" borderId="14" xfId="0" applyNumberFormat="1" applyFill="1" applyBorder="1" applyAlignment="1" applyProtection="1">
      <alignment horizontal="center" vertical="center" textRotation="90" wrapText="1"/>
    </xf>
    <xf numFmtId="1" fontId="0" fillId="2" borderId="15" xfId="0" applyNumberFormat="1" applyFill="1" applyBorder="1" applyAlignment="1" applyProtection="1">
      <alignment horizontal="center" vertical="center" textRotation="90" wrapText="1"/>
    </xf>
    <xf numFmtId="0" fontId="0" fillId="3" borderId="1" xfId="0" applyFill="1" applyBorder="1" applyAlignment="1" applyProtection="1">
      <alignment horizontal="center" vertical="center"/>
    </xf>
    <xf numFmtId="0" fontId="24" fillId="3" borderId="1" xfId="0" applyFont="1" applyFill="1" applyBorder="1" applyAlignment="1" applyProtection="1">
      <alignment horizontal="center" vertical="center"/>
    </xf>
    <xf numFmtId="0" fontId="11" fillId="2" borderId="1" xfId="0" applyFont="1" applyFill="1" applyBorder="1" applyAlignment="1" applyProtection="1">
      <alignment horizontal="center" vertical="center" wrapText="1"/>
    </xf>
    <xf numFmtId="0" fontId="29" fillId="3" borderId="9" xfId="0" applyFont="1" applyFill="1" applyBorder="1" applyAlignment="1" applyProtection="1">
      <alignment horizontal="center" vertical="center"/>
    </xf>
    <xf numFmtId="0" fontId="29" fillId="3" borderId="8" xfId="0" applyFont="1" applyFill="1" applyBorder="1" applyAlignment="1" applyProtection="1">
      <alignment horizontal="center" vertical="center"/>
    </xf>
    <xf numFmtId="0" fontId="29" fillId="3" borderId="2" xfId="0" applyFont="1" applyFill="1" applyBorder="1" applyAlignment="1" applyProtection="1">
      <alignment horizontal="center" vertical="center"/>
    </xf>
    <xf numFmtId="0" fontId="29" fillId="3" borderId="12" xfId="0" applyFont="1" applyFill="1" applyBorder="1" applyAlignment="1" applyProtection="1">
      <alignment horizontal="center" vertical="center"/>
    </xf>
    <xf numFmtId="0" fontId="29" fillId="3" borderId="4" xfId="0" applyFont="1" applyFill="1" applyBorder="1" applyAlignment="1" applyProtection="1">
      <alignment horizontal="center" vertical="center"/>
    </xf>
    <xf numFmtId="0" fontId="29" fillId="3" borderId="3" xfId="0" applyFont="1" applyFill="1" applyBorder="1" applyAlignment="1" applyProtection="1">
      <alignment horizontal="center" vertical="center"/>
    </xf>
    <xf numFmtId="0" fontId="15" fillId="2" borderId="1" xfId="0" applyFont="1" applyFill="1" applyBorder="1" applyAlignment="1" applyProtection="1">
      <alignment horizontal="center" vertical="center" wrapText="1"/>
    </xf>
    <xf numFmtId="0" fontId="0" fillId="0" borderId="9" xfId="0" applyBorder="1" applyAlignment="1" applyProtection="1">
      <alignment horizontal="center"/>
    </xf>
    <xf numFmtId="0" fontId="0" fillId="0" borderId="8" xfId="0" applyBorder="1" applyAlignment="1" applyProtection="1">
      <alignment horizontal="center"/>
    </xf>
    <xf numFmtId="0" fontId="0" fillId="0" borderId="2" xfId="0" applyBorder="1" applyAlignment="1" applyProtection="1">
      <alignment horizontal="center"/>
    </xf>
    <xf numFmtId="0" fontId="34" fillId="2" borderId="1" xfId="0" applyFont="1" applyFill="1" applyBorder="1" applyAlignment="1" applyProtection="1">
      <alignment horizontal="center" textRotation="90"/>
    </xf>
    <xf numFmtId="0" fontId="34" fillId="2" borderId="1" xfId="0" applyFont="1" applyFill="1" applyBorder="1" applyAlignment="1" applyProtection="1">
      <alignment horizontal="center" wrapText="1"/>
    </xf>
    <xf numFmtId="0" fontId="15" fillId="2" borderId="1" xfId="0" applyFont="1" applyFill="1" applyBorder="1" applyAlignment="1" applyProtection="1">
      <alignment horizontal="center" vertical="center"/>
    </xf>
    <xf numFmtId="0" fontId="10" fillId="2" borderId="40" xfId="0" applyFont="1" applyFill="1" applyBorder="1" applyAlignment="1" applyProtection="1">
      <alignment horizontal="center" vertical="center"/>
    </xf>
    <xf numFmtId="0" fontId="10" fillId="2" borderId="18" xfId="0" applyFont="1" applyFill="1" applyBorder="1" applyAlignment="1" applyProtection="1">
      <alignment horizontal="center" vertical="center"/>
    </xf>
    <xf numFmtId="0" fontId="10" fillId="2" borderId="34" xfId="0" applyFont="1" applyFill="1" applyBorder="1" applyAlignment="1" applyProtection="1">
      <alignment horizontal="center" vertical="center"/>
    </xf>
    <xf numFmtId="0" fontId="10" fillId="2" borderId="45" xfId="0" applyFont="1" applyFill="1" applyBorder="1" applyAlignment="1" applyProtection="1">
      <alignment horizontal="center" vertical="center"/>
    </xf>
    <xf numFmtId="0" fontId="10" fillId="2" borderId="16" xfId="0" applyFont="1" applyFill="1" applyBorder="1" applyAlignment="1" applyProtection="1">
      <alignment horizontal="center" vertical="center"/>
    </xf>
    <xf numFmtId="0" fontId="10" fillId="2" borderId="46" xfId="0" applyFont="1" applyFill="1" applyBorder="1" applyAlignment="1" applyProtection="1">
      <alignment horizontal="center" vertical="center"/>
    </xf>
    <xf numFmtId="0" fontId="1" fillId="0" borderId="1" xfId="0" applyFont="1" applyBorder="1" applyAlignment="1" applyProtection="1">
      <alignment horizontal="left" vertical="center"/>
    </xf>
    <xf numFmtId="0" fontId="6" fillId="0" borderId="1" xfId="0" applyFont="1" applyBorder="1" applyAlignment="1" applyProtection="1">
      <alignment horizontal="center" vertical="center" wrapText="1"/>
    </xf>
    <xf numFmtId="0" fontId="10" fillId="2" borderId="17" xfId="0" applyFont="1" applyFill="1" applyBorder="1" applyAlignment="1" applyProtection="1">
      <alignment horizontal="center" vertical="center"/>
    </xf>
    <xf numFmtId="0" fontId="10" fillId="2" borderId="19" xfId="0" applyFont="1" applyFill="1" applyBorder="1" applyAlignment="1" applyProtection="1">
      <alignment horizontal="center" vertical="center"/>
    </xf>
    <xf numFmtId="0" fontId="10" fillId="2" borderId="22" xfId="0" applyFont="1" applyFill="1" applyBorder="1" applyAlignment="1" applyProtection="1">
      <alignment horizontal="center" vertical="center"/>
    </xf>
    <xf numFmtId="0" fontId="10" fillId="2" borderId="23" xfId="0" applyFont="1" applyFill="1" applyBorder="1" applyAlignment="1" applyProtection="1">
      <alignment horizontal="center" vertical="center"/>
    </xf>
    <xf numFmtId="0" fontId="16" fillId="2" borderId="17"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19" xfId="0" applyFont="1" applyFill="1" applyBorder="1" applyAlignment="1" applyProtection="1">
      <alignment horizontal="center" vertical="center" wrapText="1"/>
    </xf>
    <xf numFmtId="0" fontId="16" fillId="2" borderId="22" xfId="0" applyFont="1" applyFill="1" applyBorder="1" applyAlignment="1" applyProtection="1">
      <alignment horizontal="center" vertical="center" wrapText="1"/>
    </xf>
    <xf numFmtId="0" fontId="16" fillId="2" borderId="16" xfId="0" applyFont="1" applyFill="1" applyBorder="1" applyAlignment="1" applyProtection="1">
      <alignment horizontal="center" vertical="center" wrapText="1"/>
    </xf>
    <xf numFmtId="0" fontId="16" fillId="2" borderId="23" xfId="0" applyFont="1" applyFill="1" applyBorder="1" applyAlignment="1" applyProtection="1">
      <alignment horizontal="center" vertical="center" wrapText="1"/>
    </xf>
    <xf numFmtId="0" fontId="6" fillId="0" borderId="1" xfId="0" applyFont="1" applyBorder="1" applyAlignment="1" applyProtection="1">
      <alignment horizontal="left" vertical="center" wrapText="1"/>
    </xf>
    <xf numFmtId="0" fontId="0" fillId="0" borderId="5" xfId="0" applyFont="1" applyBorder="1" applyAlignment="1" applyProtection="1">
      <alignment horizontal="center" vertical="top"/>
    </xf>
    <xf numFmtId="0" fontId="0" fillId="0" borderId="7" xfId="0" applyFont="1" applyBorder="1" applyAlignment="1" applyProtection="1">
      <alignment horizontal="center" vertical="top"/>
    </xf>
    <xf numFmtId="14" fontId="0" fillId="0" borderId="5" xfId="0" applyNumberFormat="1" applyFont="1" applyBorder="1" applyAlignment="1" applyProtection="1">
      <alignment horizontal="center" vertical="top"/>
    </xf>
    <xf numFmtId="14" fontId="0" fillId="0" borderId="7" xfId="0" applyNumberFormat="1" applyFont="1" applyBorder="1" applyAlignment="1" applyProtection="1">
      <alignment horizontal="center" vertical="top"/>
    </xf>
    <xf numFmtId="0" fontId="0" fillId="0" borderId="5" xfId="0" applyFont="1" applyBorder="1" applyAlignment="1" applyProtection="1">
      <alignment horizontal="center" vertical="center"/>
    </xf>
    <xf numFmtId="0" fontId="0" fillId="0" borderId="7" xfId="0" applyFont="1" applyBorder="1" applyAlignment="1" applyProtection="1">
      <alignment horizontal="center" vertical="center"/>
    </xf>
    <xf numFmtId="0" fontId="34" fillId="2" borderId="13" xfId="0" applyFont="1" applyFill="1" applyBorder="1" applyAlignment="1" applyProtection="1">
      <alignment horizontal="center" vertical="center" textRotation="90" wrapText="1"/>
    </xf>
    <xf numFmtId="0" fontId="34" fillId="2" borderId="14" xfId="0" applyFont="1" applyFill="1" applyBorder="1" applyAlignment="1" applyProtection="1">
      <alignment horizontal="center" vertical="center" textRotation="90" wrapText="1"/>
    </xf>
    <xf numFmtId="0" fontId="34" fillId="2" borderId="15" xfId="0" applyFont="1" applyFill="1" applyBorder="1" applyAlignment="1" applyProtection="1">
      <alignment horizontal="center" vertical="center" textRotation="90" wrapText="1"/>
    </xf>
    <xf numFmtId="0" fontId="41" fillId="0" borderId="0" xfId="0" applyFont="1" applyAlignment="1">
      <alignment horizontal="left" vertical="center" wrapText="1"/>
    </xf>
    <xf numFmtId="0" fontId="2" fillId="0" borderId="0" xfId="0" applyFont="1" applyAlignment="1">
      <alignment horizontal="center" vertical="center"/>
    </xf>
    <xf numFmtId="14" fontId="0" fillId="0" borderId="1" xfId="0" applyNumberFormat="1" applyFont="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colors>
    <mruColors>
      <color rgb="FFFFFFCC"/>
      <color rgb="FFFFFF99"/>
      <color rgb="FFFF99FF"/>
      <color rgb="FFCCFFCC"/>
      <color rgb="FFFF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53976</xdr:colOff>
      <xdr:row>0</xdr:row>
      <xdr:rowOff>56093</xdr:rowOff>
    </xdr:from>
    <xdr:to>
      <xdr:col>2</xdr:col>
      <xdr:colOff>280464</xdr:colOff>
      <xdr:row>3</xdr:row>
      <xdr:rowOff>21432</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53976" y="56093"/>
          <a:ext cx="483663" cy="572558"/>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6</xdr:col>
      <xdr:colOff>0</xdr:colOff>
      <xdr:row>210</xdr:row>
      <xdr:rowOff>0</xdr:rowOff>
    </xdr:from>
    <xdr:to>
      <xdr:col>8</xdr:col>
      <xdr:colOff>306918</xdr:colOff>
      <xdr:row>210</xdr:row>
      <xdr:rowOff>191822</xdr:rowOff>
    </xdr:to>
    <xdr:grpSp>
      <xdr:nvGrpSpPr>
        <xdr:cNvPr id="204" name="Eqp$F$66_0"/>
        <xdr:cNvGrpSpPr>
          <a:grpSpLocks noChangeAspect="1"/>
        </xdr:cNvGrpSpPr>
      </xdr:nvGrpSpPr>
      <xdr:grpSpPr>
        <a:xfrm>
          <a:off x="1924050" y="45262800"/>
          <a:ext cx="1278468" cy="191822"/>
          <a:chOff x="0" y="0"/>
          <a:chExt cx="1285875" cy="190500"/>
        </a:xfrm>
      </xdr:grpSpPr>
      <xdr:sp macro="" textlink="">
        <xdr:nvSpPr>
          <xdr:cNvPr id="205" name="top 1"/>
          <xdr:cNvSpPr txBox="1"/>
        </xdr:nvSpPr>
        <xdr:spPr>
          <a:xfrm>
            <a:off x="0" y="0"/>
            <a:ext cx="1285875" cy="190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xmlns="">
                <a:solidFill>
                  <a:schemeClr val="lt1"/>
                </a:solidFill>
              </a14:hiddenFill>
            </a:ext>
            <a:ext uri="{91240B29-F687-4F45-9708-019B960494DF}">
              <a14:hiddenLine xmlns:a14="http://schemas.microsoft.com/office/drawing/2010/main" xmlns="" w="9525" cap="flat" cmpd="sng" algn="ctr">
                <a:solidFill>
                  <a:schemeClr val="lt1">
                    <a:shade val="50000"/>
                  </a:schemeClr>
                </a:solidFill>
                <a:prstDash val="solid"/>
                <a:round/>
                <a:headEnd type="none" w="med" len="med"/>
                <a:tailEnd type="none" w="med" len="med"/>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lIns="0" tIns="0" rIns="0" bIns="0" rtlCol="0" anchor="ctr" anchorCtr="0"/>
          <a:lstStyle/>
          <a:p>
            <a:pPr algn="ctr"/>
            <a:r>
              <a:rPr lang="en-US" sz="1100" i="0">
                <a:solidFill>
                  <a:srgbClr val="000000"/>
                </a:solidFill>
                <a:latin typeface="Calibri"/>
              </a:rPr>
              <a:t>=  - 2.3(d / L</a:t>
            </a:r>
            <a:r>
              <a:rPr lang="en-US" sz="1100" i="0" baseline="-25000">
                <a:solidFill>
                  <a:srgbClr val="000000"/>
                </a:solidFill>
                <a:latin typeface="Calibri"/>
              </a:rPr>
              <a:t>b</a:t>
            </a:r>
            <a:r>
              <a:rPr lang="en-US" sz="1100" i="0">
                <a:solidFill>
                  <a:srgbClr val="000000"/>
                </a:solidFill>
                <a:latin typeface="Calibri"/>
              </a:rPr>
              <a:t>)</a:t>
            </a:r>
            <a:r>
              <a:rPr lang="en-US" sz="1100" i="0">
                <a:solidFill>
                  <a:srgbClr val="000000"/>
                </a:solidFill>
                <a:latin typeface="Symbol"/>
              </a:rPr>
              <a:t>Ö</a:t>
            </a:r>
            <a:r>
              <a:rPr lang="en-US" sz="1100" i="0">
                <a:solidFill>
                  <a:srgbClr val="000000"/>
                </a:solidFill>
                <a:latin typeface="Calibri"/>
              </a:rPr>
              <a:t>(I</a:t>
            </a:r>
            <a:r>
              <a:rPr lang="en-US" sz="1100" i="0" baseline="-25000">
                <a:solidFill>
                  <a:srgbClr val="000000"/>
                </a:solidFill>
                <a:latin typeface="Calibri"/>
              </a:rPr>
              <a:t>y</a:t>
            </a:r>
            <a:r>
              <a:rPr lang="en-US" sz="1100" i="0">
                <a:solidFill>
                  <a:srgbClr val="000000"/>
                </a:solidFill>
                <a:latin typeface="Calibri"/>
              </a:rPr>
              <a:t> / J) </a:t>
            </a:r>
          </a:p>
        </xdr:txBody>
      </xdr:sp>
      <xdr:sp macro="" textlink="">
        <xdr:nvSpPr>
          <xdr:cNvPr id="206" name="Rectangle 205"/>
          <xdr:cNvSpPr/>
        </xdr:nvSpPr>
        <xdr:spPr>
          <a:xfrm>
            <a:off x="0" y="0"/>
            <a:ext cx="127000" cy="127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xmlns="">
                <a:solidFill>
                  <a:schemeClr val="accent1"/>
                </a:solidFill>
              </a14:hiddenFill>
            </a:ext>
            <a:ext uri="{91240B29-F687-4F45-9708-019B960494DF}">
              <a14:hiddenLine xmlns:a14="http://schemas.microsoft.com/office/drawing/2010/main" xmlns="" w="9525" cap="flat" cmpd="sng" algn="ctr">
                <a:solidFill>
                  <a:schemeClr val="accent1">
                    <a:shade val="50000"/>
                  </a:schemeClr>
                </a:solidFill>
                <a:prstDash val="solid"/>
                <a:round/>
                <a:headEnd type="none" w="med" len="med"/>
                <a:tailEnd type="none" w="med" len="me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oneCell">
    <xdr:from>
      <xdr:col>5</xdr:col>
      <xdr:colOff>104775</xdr:colOff>
      <xdr:row>209</xdr:row>
      <xdr:rowOff>0</xdr:rowOff>
    </xdr:from>
    <xdr:to>
      <xdr:col>10</xdr:col>
      <xdr:colOff>84404</xdr:colOff>
      <xdr:row>209</xdr:row>
      <xdr:rowOff>191823</xdr:rowOff>
    </xdr:to>
    <xdr:grpSp>
      <xdr:nvGrpSpPr>
        <xdr:cNvPr id="216" name="Eqp$F$65_0"/>
        <xdr:cNvGrpSpPr>
          <a:grpSpLocks noChangeAspect="1"/>
        </xdr:cNvGrpSpPr>
      </xdr:nvGrpSpPr>
      <xdr:grpSpPr>
        <a:xfrm>
          <a:off x="1581150" y="45034200"/>
          <a:ext cx="2275154" cy="191823"/>
          <a:chOff x="-412798" y="0"/>
          <a:chExt cx="2257425" cy="190500"/>
        </a:xfrm>
      </xdr:grpSpPr>
      <xdr:sp macro="" textlink="">
        <xdr:nvSpPr>
          <xdr:cNvPr id="217" name="top 1"/>
          <xdr:cNvSpPr txBox="1"/>
        </xdr:nvSpPr>
        <xdr:spPr>
          <a:xfrm>
            <a:off x="-412798" y="0"/>
            <a:ext cx="2257425" cy="190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xmlns="">
                <a:solidFill>
                  <a:schemeClr val="lt1"/>
                </a:solidFill>
              </a14:hiddenFill>
            </a:ext>
            <a:ext uri="{91240B29-F687-4F45-9708-019B960494DF}">
              <a14:hiddenLine xmlns:a14="http://schemas.microsoft.com/office/drawing/2010/main" xmlns="" w="9525" cap="flat" cmpd="sng" algn="ctr">
                <a:solidFill>
                  <a:schemeClr val="lt1">
                    <a:shade val="50000"/>
                  </a:schemeClr>
                </a:solidFill>
                <a:prstDash val="solid"/>
                <a:round/>
                <a:headEnd type="none" w="med" len="med"/>
                <a:tailEnd type="none" w="med" len="med"/>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lIns="0" tIns="0" rIns="0" bIns="0" rtlCol="0" anchor="ctr" anchorCtr="0"/>
          <a:lstStyle/>
          <a:p>
            <a:pPr algn="ctr"/>
            <a:r>
              <a:rPr lang="en-US" sz="1100" i="0">
                <a:solidFill>
                  <a:srgbClr val="000000"/>
                </a:solidFill>
                <a:latin typeface="Calibri"/>
              </a:rPr>
              <a:t>= (3.14159</a:t>
            </a:r>
            <a:r>
              <a:rPr lang="en-US" sz="1100" i="0">
                <a:solidFill>
                  <a:srgbClr val="000000"/>
                </a:solidFill>
                <a:latin typeface="Symbol"/>
              </a:rPr>
              <a:t>Ö</a:t>
            </a:r>
            <a:r>
              <a:rPr lang="en-US" sz="1100" i="0">
                <a:solidFill>
                  <a:srgbClr val="000000"/>
                </a:solidFill>
                <a:latin typeface="Calibri"/>
              </a:rPr>
              <a:t>[EI</a:t>
            </a:r>
            <a:r>
              <a:rPr lang="en-US" sz="1100" i="0" baseline="-25000">
                <a:solidFill>
                  <a:srgbClr val="000000"/>
                </a:solidFill>
                <a:latin typeface="Calibri"/>
              </a:rPr>
              <a:t>y</a:t>
            </a:r>
            <a:r>
              <a:rPr lang="en-US" sz="1100" i="0">
                <a:solidFill>
                  <a:srgbClr val="000000"/>
                </a:solidFill>
                <a:latin typeface="Calibri"/>
              </a:rPr>
              <a:t>GJ] / L</a:t>
            </a:r>
            <a:r>
              <a:rPr lang="en-US" sz="1100" i="0" baseline="-25000">
                <a:solidFill>
                  <a:srgbClr val="000000"/>
                </a:solidFill>
                <a:latin typeface="Calibri"/>
              </a:rPr>
              <a:t>b</a:t>
            </a:r>
            <a:r>
              <a:rPr lang="en-US" sz="1100" i="0">
                <a:solidFill>
                  <a:srgbClr val="000000"/>
                </a:solidFill>
                <a:latin typeface="Calibri"/>
              </a:rPr>
              <a:t>)(B + </a:t>
            </a:r>
            <a:r>
              <a:rPr lang="en-US" sz="1100" i="0">
                <a:solidFill>
                  <a:srgbClr val="000000"/>
                </a:solidFill>
                <a:latin typeface="Symbol"/>
              </a:rPr>
              <a:t>Ö</a:t>
            </a:r>
            <a:r>
              <a:rPr lang="en-US" sz="1100" i="0">
                <a:solidFill>
                  <a:srgbClr val="000000"/>
                </a:solidFill>
                <a:latin typeface="Calibri"/>
              </a:rPr>
              <a:t>[1 + B</a:t>
            </a:r>
            <a:r>
              <a:rPr lang="en-US" sz="1100" i="0" baseline="30000">
                <a:solidFill>
                  <a:srgbClr val="000000"/>
                </a:solidFill>
                <a:latin typeface="Calibri"/>
              </a:rPr>
              <a:t>2</a:t>
            </a:r>
            <a:r>
              <a:rPr lang="en-US" sz="1100" i="0">
                <a:solidFill>
                  <a:srgbClr val="000000"/>
                </a:solidFill>
                <a:latin typeface="Calibri"/>
              </a:rPr>
              <a:t>]) </a:t>
            </a:r>
          </a:p>
        </xdr:txBody>
      </xdr:sp>
      <xdr:sp macro="" textlink="">
        <xdr:nvSpPr>
          <xdr:cNvPr id="218" name="Rectangle 217"/>
          <xdr:cNvSpPr/>
        </xdr:nvSpPr>
        <xdr:spPr>
          <a:xfrm>
            <a:off x="0" y="0"/>
            <a:ext cx="127000" cy="127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xmlns="">
                <a:solidFill>
                  <a:schemeClr val="accent1"/>
                </a:solidFill>
              </a14:hiddenFill>
            </a:ext>
            <a:ext uri="{91240B29-F687-4F45-9708-019B960494DF}">
              <a14:hiddenLine xmlns:a14="http://schemas.microsoft.com/office/drawing/2010/main" xmlns="" w="9525" cap="flat" cmpd="sng" algn="ctr">
                <a:solidFill>
                  <a:schemeClr val="accent1">
                    <a:shade val="50000"/>
                  </a:schemeClr>
                </a:solidFill>
                <a:prstDash val="solid"/>
                <a:round/>
                <a:headEnd type="none" w="med" len="med"/>
                <a:tailEnd type="none" w="med" len="me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oneCell">
    <xdr:from>
      <xdr:col>6</xdr:col>
      <xdr:colOff>0</xdr:colOff>
      <xdr:row>214</xdr:row>
      <xdr:rowOff>0</xdr:rowOff>
    </xdr:from>
    <xdr:to>
      <xdr:col>6</xdr:col>
      <xdr:colOff>134184</xdr:colOff>
      <xdr:row>214</xdr:row>
      <xdr:rowOff>127000</xdr:rowOff>
    </xdr:to>
    <xdr:sp macro="" textlink="">
      <xdr:nvSpPr>
        <xdr:cNvPr id="230" name="Rectangle 229"/>
        <xdr:cNvSpPr/>
      </xdr:nvSpPr>
      <xdr:spPr>
        <a:xfrm>
          <a:off x="2143125" y="14516100"/>
          <a:ext cx="134184" cy="127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xmlns="">
              <a:solidFill>
                <a:schemeClr val="accent1"/>
              </a:solidFill>
            </a14:hiddenFill>
          </a:ext>
          <a:ext uri="{91240B29-F687-4F45-9708-019B960494DF}">
            <a14:hiddenLine xmlns:a14="http://schemas.microsoft.com/office/drawing/2010/main" xmlns="" w="9525" cap="flat" cmpd="sng" algn="ctr">
              <a:solidFill>
                <a:schemeClr val="accent1">
                  <a:shade val="50000"/>
                </a:schemeClr>
              </a:solidFill>
              <a:prstDash val="solid"/>
              <a:round/>
              <a:headEnd type="none" w="med" len="med"/>
              <a:tailEnd type="none" w="med" len="me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9</xdr:col>
      <xdr:colOff>0</xdr:colOff>
      <xdr:row>183</xdr:row>
      <xdr:rowOff>0</xdr:rowOff>
    </xdr:from>
    <xdr:to>
      <xdr:col>15</xdr:col>
      <xdr:colOff>183884</xdr:colOff>
      <xdr:row>183</xdr:row>
      <xdr:rowOff>191823</xdr:rowOff>
    </xdr:to>
    <xdr:grpSp>
      <xdr:nvGrpSpPr>
        <xdr:cNvPr id="102" name="Eqp$I$53_0"/>
        <xdr:cNvGrpSpPr>
          <a:grpSpLocks noChangeAspect="1"/>
        </xdr:cNvGrpSpPr>
      </xdr:nvGrpSpPr>
      <xdr:grpSpPr>
        <a:xfrm>
          <a:off x="3352800" y="39814500"/>
          <a:ext cx="2736584" cy="191823"/>
          <a:chOff x="0" y="0"/>
          <a:chExt cx="2914650" cy="190500"/>
        </a:xfrm>
      </xdr:grpSpPr>
      <xdr:sp macro="" textlink="">
        <xdr:nvSpPr>
          <xdr:cNvPr id="103" name="top 1"/>
          <xdr:cNvSpPr txBox="1"/>
        </xdr:nvSpPr>
        <xdr:spPr>
          <a:xfrm>
            <a:off x="0" y="0"/>
            <a:ext cx="2914650" cy="190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xmlns="">
                <a:solidFill>
                  <a:schemeClr val="lt1"/>
                </a:solidFill>
              </a14:hiddenFill>
            </a:ext>
            <a:ext uri="{91240B29-F687-4F45-9708-019B960494DF}">
              <a14:hiddenLine xmlns:a14="http://schemas.microsoft.com/office/drawing/2010/main" xmlns="" w="9525" cap="flat" cmpd="sng" algn="ctr">
                <a:solidFill>
                  <a:schemeClr val="lt1">
                    <a:shade val="50000"/>
                  </a:schemeClr>
                </a:solidFill>
                <a:prstDash val="solid"/>
                <a:round/>
                <a:headEnd type="none" w="med" len="med"/>
                <a:tailEnd type="none" w="med" len="med"/>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lIns="0" tIns="0" rIns="0" bIns="0" rtlCol="0" anchor="ctr" anchorCtr="0"/>
          <a:lstStyle/>
          <a:p>
            <a:pPr algn="ctr"/>
            <a:r>
              <a:rPr lang="en-US" sz="1100" i="0">
                <a:solidFill>
                  <a:srgbClr val="000000"/>
                </a:solidFill>
                <a:latin typeface="Calibri"/>
              </a:rPr>
              <a:t>= (0.66 · 29000d</a:t>
            </a:r>
            <a:r>
              <a:rPr lang="en-US" sz="1100" i="0" baseline="30000">
                <a:solidFill>
                  <a:srgbClr val="000000"/>
                </a:solidFill>
                <a:latin typeface="Calibri"/>
              </a:rPr>
              <a:t>4</a:t>
            </a:r>
            <a:r>
              <a:rPr lang="en-US" sz="1100" i="0">
                <a:solidFill>
                  <a:srgbClr val="000000"/>
                </a:solidFill>
                <a:latin typeface="Calibri"/>
              </a:rPr>
              <a:t>t</a:t>
            </a:r>
            <a:r>
              <a:rPr lang="en-US" sz="1100" i="0" baseline="-25000">
                <a:solidFill>
                  <a:srgbClr val="000000"/>
                </a:solidFill>
                <a:latin typeface="Calibri"/>
              </a:rPr>
              <a:t>f</a:t>
            </a:r>
            <a:r>
              <a:rPr lang="en-US" sz="1100" i="0">
                <a:solidFill>
                  <a:srgbClr val="000000"/>
                </a:solidFill>
                <a:latin typeface="Calibri"/>
              </a:rPr>
              <a:t> · 1 / L</a:t>
            </a:r>
            <a:r>
              <a:rPr lang="en-US" sz="1100" i="0" baseline="30000">
                <a:solidFill>
                  <a:srgbClr val="000000"/>
                </a:solidFill>
                <a:latin typeface="Calibri"/>
              </a:rPr>
              <a:t>2</a:t>
            </a:r>
            <a:r>
              <a:rPr lang="en-US" sz="1100" i="0">
                <a:solidFill>
                  <a:srgbClr val="000000"/>
                </a:solidFill>
                <a:latin typeface="Calibri"/>
              </a:rPr>
              <a:t>)(</a:t>
            </a:r>
            <a:r>
              <a:rPr lang="en-US" sz="1100" i="0">
                <a:solidFill>
                  <a:srgbClr val="000000"/>
                </a:solidFill>
                <a:latin typeface="Symbol"/>
              </a:rPr>
              <a:t>Ö</a:t>
            </a:r>
            <a:r>
              <a:rPr lang="en-US" sz="1100" i="0">
                <a:solidFill>
                  <a:srgbClr val="000000"/>
                </a:solidFill>
                <a:latin typeface="Calibri"/>
              </a:rPr>
              <a:t>[1 + 0.78{Lt / d</a:t>
            </a:r>
            <a:r>
              <a:rPr lang="en-US" sz="1100" i="0" baseline="30000">
                <a:solidFill>
                  <a:srgbClr val="000000"/>
                </a:solidFill>
                <a:latin typeface="Calibri"/>
              </a:rPr>
              <a:t>2</a:t>
            </a:r>
            <a:r>
              <a:rPr lang="en-US" sz="1100" i="0">
                <a:solidFill>
                  <a:srgbClr val="000000"/>
                </a:solidFill>
                <a:latin typeface="Calibri"/>
              </a:rPr>
              <a:t>} + 1]) </a:t>
            </a:r>
          </a:p>
        </xdr:txBody>
      </xdr:sp>
      <xdr:sp macro="" textlink="">
        <xdr:nvSpPr>
          <xdr:cNvPr id="104" name="Rectangle 103"/>
          <xdr:cNvSpPr/>
        </xdr:nvSpPr>
        <xdr:spPr>
          <a:xfrm>
            <a:off x="0" y="0"/>
            <a:ext cx="127000" cy="127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xmlns="">
                <a:solidFill>
                  <a:schemeClr val="accent1"/>
                </a:solidFill>
              </a14:hiddenFill>
            </a:ext>
            <a:ext uri="{91240B29-F687-4F45-9708-019B960494DF}">
              <a14:hiddenLine xmlns:a14="http://schemas.microsoft.com/office/drawing/2010/main" xmlns="" w="9525" cap="flat" cmpd="sng" algn="ctr">
                <a:solidFill>
                  <a:schemeClr val="accent1">
                    <a:shade val="50000"/>
                  </a:schemeClr>
                </a:solidFill>
                <a:prstDash val="solid"/>
                <a:round/>
                <a:headEnd type="none" w="med" len="med"/>
                <a:tailEnd type="none" w="med" len="me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oneCell">
    <xdr:from>
      <xdr:col>5</xdr:col>
      <xdr:colOff>485775</xdr:colOff>
      <xdr:row>264</xdr:row>
      <xdr:rowOff>200025</xdr:rowOff>
    </xdr:from>
    <xdr:to>
      <xdr:col>8</xdr:col>
      <xdr:colOff>319088</xdr:colOff>
      <xdr:row>266</xdr:row>
      <xdr:rowOff>45244</xdr:rowOff>
    </xdr:to>
    <xdr:grpSp>
      <xdr:nvGrpSpPr>
        <xdr:cNvPr id="40" name="Eqp$H$141_0"/>
        <xdr:cNvGrpSpPr>
          <a:grpSpLocks noChangeAspect="1"/>
        </xdr:cNvGrpSpPr>
      </xdr:nvGrpSpPr>
      <xdr:grpSpPr>
        <a:xfrm>
          <a:off x="1924050" y="55845075"/>
          <a:ext cx="1290638" cy="235744"/>
          <a:chOff x="-38100" y="-38100"/>
          <a:chExt cx="1390650" cy="238125"/>
        </a:xfrm>
      </xdr:grpSpPr>
      <xdr:sp macro="" textlink="">
        <xdr:nvSpPr>
          <xdr:cNvPr id="41" name="top 1"/>
          <xdr:cNvSpPr txBox="1"/>
        </xdr:nvSpPr>
        <xdr:spPr>
          <a:xfrm>
            <a:off x="-38100" y="-38100"/>
            <a:ext cx="1390650" cy="238125"/>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xmlns="">
                <a:solidFill>
                  <a:schemeClr val="lt1"/>
                </a:solidFill>
              </a14:hiddenFill>
            </a:ext>
            <a:ext uri="{91240B29-F687-4F45-9708-019B960494DF}">
              <a14:hiddenLine xmlns:a14="http://schemas.microsoft.com/office/drawing/2010/main" xmlns="" w="9525" cap="flat" cmpd="sng" algn="ctr">
                <a:solidFill>
                  <a:schemeClr val="lt1">
                    <a:shade val="50000"/>
                  </a:schemeClr>
                </a:solidFill>
                <a:prstDash val="solid"/>
                <a:round/>
                <a:headEnd type="none" w="med" len="med"/>
                <a:tailEnd type="none" w="med" len="med"/>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lIns="0" tIns="0" rIns="0" bIns="0" rtlCol="0" anchor="ctr" anchorCtr="0"/>
          <a:lstStyle/>
          <a:p>
            <a:pPr algn="ctr"/>
            <a:r>
              <a:rPr lang="en-US" sz="1100" i="0">
                <a:solidFill>
                  <a:srgbClr val="000000"/>
                </a:solidFill>
                <a:latin typeface="Calibri"/>
              </a:rPr>
              <a:t>= (384EI</a:t>
            </a:r>
            <a:r>
              <a:rPr lang="en-US" sz="1100" i="0" baseline="-25000">
                <a:solidFill>
                  <a:srgbClr val="000000"/>
                </a:solidFill>
                <a:latin typeface="Calibri"/>
              </a:rPr>
              <a:t>y</a:t>
            </a:r>
            <a:r>
              <a:rPr lang="el-GR" sz="1100" i="0">
                <a:solidFill>
                  <a:srgbClr val="000000"/>
                </a:solidFill>
                <a:latin typeface="Calibri"/>
              </a:rPr>
              <a:t>Δ</a:t>
            </a:r>
            <a:r>
              <a:rPr lang="en-US" sz="1100" i="0" baseline="-25000">
                <a:solidFill>
                  <a:srgbClr val="000000"/>
                </a:solidFill>
                <a:latin typeface="Calibri"/>
              </a:rPr>
              <a:t>h</a:t>
            </a:r>
            <a:r>
              <a:rPr lang="en-US" sz="1100" i="0">
                <a:solidFill>
                  <a:srgbClr val="000000"/>
                </a:solidFill>
                <a:latin typeface="Calibri"/>
              </a:rPr>
              <a:t> , </a:t>
            </a:r>
            <a:r>
              <a:rPr lang="en-US" sz="1100" i="0" baseline="-25000">
                <a:solidFill>
                  <a:srgbClr val="000000"/>
                </a:solidFill>
                <a:latin typeface="Calibri"/>
              </a:rPr>
              <a:t>max</a:t>
            </a:r>
            <a:r>
              <a:rPr lang="en-US" sz="1100" i="0">
                <a:solidFill>
                  <a:srgbClr val="000000"/>
                </a:solidFill>
                <a:latin typeface="Calibri"/>
              </a:rPr>
              <a:t>) / (5L</a:t>
            </a:r>
            <a:r>
              <a:rPr lang="en-US" sz="1100" i="0" baseline="30000">
                <a:solidFill>
                  <a:srgbClr val="000000"/>
                </a:solidFill>
                <a:latin typeface="Calibri"/>
              </a:rPr>
              <a:t>4</a:t>
            </a:r>
            <a:r>
              <a:rPr lang="en-US" sz="1100" i="0">
                <a:solidFill>
                  <a:srgbClr val="000000"/>
                </a:solidFill>
                <a:latin typeface="Calibri"/>
              </a:rPr>
              <a:t>) </a:t>
            </a:r>
          </a:p>
        </xdr:txBody>
      </xdr:sp>
      <xdr:sp macro="" textlink="">
        <xdr:nvSpPr>
          <xdr:cNvPr id="42" name="Rectangle 41"/>
          <xdr:cNvSpPr/>
        </xdr:nvSpPr>
        <xdr:spPr>
          <a:xfrm>
            <a:off x="0" y="0"/>
            <a:ext cx="127000" cy="127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xmlns="">
                <a:solidFill>
                  <a:schemeClr val="accent1"/>
                </a:solidFill>
              </a14:hiddenFill>
            </a:ext>
            <a:ext uri="{91240B29-F687-4F45-9708-019B960494DF}">
              <a14:hiddenLine xmlns:a14="http://schemas.microsoft.com/office/drawing/2010/main" xmlns="" w="9525" cap="flat" cmpd="sng" algn="ctr">
                <a:solidFill>
                  <a:schemeClr val="accent1">
                    <a:shade val="50000"/>
                  </a:schemeClr>
                </a:solidFill>
                <a:prstDash val="solid"/>
                <a:round/>
                <a:headEnd type="none" w="med" len="med"/>
                <a:tailEnd type="none" w="med" len="me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oneCell">
    <xdr:from>
      <xdr:col>13</xdr:col>
      <xdr:colOff>0</xdr:colOff>
      <xdr:row>265</xdr:row>
      <xdr:rowOff>0</xdr:rowOff>
    </xdr:from>
    <xdr:to>
      <xdr:col>16</xdr:col>
      <xdr:colOff>0</xdr:colOff>
      <xdr:row>266</xdr:row>
      <xdr:rowOff>47625</xdr:rowOff>
    </xdr:to>
    <xdr:grpSp>
      <xdr:nvGrpSpPr>
        <xdr:cNvPr id="43" name="Eqp$M$141_0"/>
        <xdr:cNvGrpSpPr>
          <a:grpSpLocks noChangeAspect="1"/>
        </xdr:cNvGrpSpPr>
      </xdr:nvGrpSpPr>
      <xdr:grpSpPr>
        <a:xfrm>
          <a:off x="5105400" y="55845075"/>
          <a:ext cx="1162050" cy="238125"/>
          <a:chOff x="0" y="0"/>
          <a:chExt cx="1228725" cy="238125"/>
        </a:xfrm>
      </xdr:grpSpPr>
      <xdr:sp macro="" textlink="">
        <xdr:nvSpPr>
          <xdr:cNvPr id="44" name="top 1"/>
          <xdr:cNvSpPr txBox="1"/>
        </xdr:nvSpPr>
        <xdr:spPr>
          <a:xfrm>
            <a:off x="0" y="0"/>
            <a:ext cx="1228725" cy="238125"/>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xmlns="">
                <a:solidFill>
                  <a:schemeClr val="lt1"/>
                </a:solidFill>
              </a14:hiddenFill>
            </a:ext>
            <a:ext uri="{91240B29-F687-4F45-9708-019B960494DF}">
              <a14:hiddenLine xmlns:a14="http://schemas.microsoft.com/office/drawing/2010/main" xmlns="" w="9525" cap="flat" cmpd="sng" algn="ctr">
                <a:solidFill>
                  <a:schemeClr val="lt1">
                    <a:shade val="50000"/>
                  </a:schemeClr>
                </a:solidFill>
                <a:prstDash val="solid"/>
                <a:round/>
                <a:headEnd type="none" w="med" len="med"/>
                <a:tailEnd type="none" w="med" len="med"/>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lIns="0" tIns="0" rIns="0" bIns="0" rtlCol="0" anchor="ctr" anchorCtr="0"/>
          <a:lstStyle/>
          <a:p>
            <a:pPr algn="ctr"/>
            <a:r>
              <a:rPr lang="en-US" sz="1100" i="0">
                <a:solidFill>
                  <a:srgbClr val="000000"/>
                </a:solidFill>
                <a:latin typeface="Calibri"/>
              </a:rPr>
              <a:t>= (384EI</a:t>
            </a:r>
            <a:r>
              <a:rPr lang="en-US" sz="1100" i="0" baseline="-25000">
                <a:solidFill>
                  <a:srgbClr val="000000"/>
                </a:solidFill>
                <a:latin typeface="Calibri"/>
              </a:rPr>
              <a:t>y</a:t>
            </a:r>
            <a:r>
              <a:rPr lang="el-GR" sz="1100" i="0">
                <a:solidFill>
                  <a:srgbClr val="000000"/>
                </a:solidFill>
                <a:latin typeface="Calibri"/>
              </a:rPr>
              <a:t>Δ</a:t>
            </a:r>
            <a:r>
              <a:rPr lang="en-US" sz="1100" i="0" baseline="-25000">
                <a:solidFill>
                  <a:srgbClr val="000000"/>
                </a:solidFill>
                <a:latin typeface="Calibri"/>
              </a:rPr>
              <a:t>h</a:t>
            </a:r>
            <a:r>
              <a:rPr lang="en-US" sz="1100" i="0">
                <a:solidFill>
                  <a:srgbClr val="000000"/>
                </a:solidFill>
                <a:latin typeface="Calibri"/>
              </a:rPr>
              <a:t> , </a:t>
            </a:r>
            <a:r>
              <a:rPr lang="en-US" sz="1100" i="0" baseline="-25000">
                <a:solidFill>
                  <a:srgbClr val="000000"/>
                </a:solidFill>
                <a:latin typeface="Calibri"/>
              </a:rPr>
              <a:t>max</a:t>
            </a:r>
            <a:r>
              <a:rPr lang="en-US" sz="1100" i="0">
                <a:solidFill>
                  <a:srgbClr val="000000"/>
                </a:solidFill>
                <a:latin typeface="Calibri"/>
              </a:rPr>
              <a:t>) / L</a:t>
            </a:r>
            <a:r>
              <a:rPr lang="en-US" sz="1100" i="0" baseline="30000">
                <a:solidFill>
                  <a:srgbClr val="000000"/>
                </a:solidFill>
                <a:latin typeface="Calibri"/>
              </a:rPr>
              <a:t>4</a:t>
            </a:r>
            <a:r>
              <a:rPr lang="en-US" sz="1100" i="0">
                <a:solidFill>
                  <a:srgbClr val="000000"/>
                </a:solidFill>
                <a:latin typeface="Calibri"/>
              </a:rPr>
              <a:t> </a:t>
            </a:r>
          </a:p>
        </xdr:txBody>
      </xdr:sp>
      <xdr:sp macro="" textlink="">
        <xdr:nvSpPr>
          <xdr:cNvPr id="48" name="Rectangle 47"/>
          <xdr:cNvSpPr/>
        </xdr:nvSpPr>
        <xdr:spPr>
          <a:xfrm>
            <a:off x="0" y="0"/>
            <a:ext cx="127000" cy="127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xmlns="">
                <a:solidFill>
                  <a:schemeClr val="accent1"/>
                </a:solidFill>
              </a14:hiddenFill>
            </a:ext>
            <a:ext uri="{91240B29-F687-4F45-9708-019B960494DF}">
              <a14:hiddenLine xmlns:a14="http://schemas.microsoft.com/office/drawing/2010/main" xmlns="" w="9525" cap="flat" cmpd="sng" algn="ctr">
                <a:solidFill>
                  <a:schemeClr val="accent1">
                    <a:shade val="50000"/>
                  </a:schemeClr>
                </a:solidFill>
                <a:prstDash val="solid"/>
                <a:round/>
                <a:headEnd type="none" w="med" len="med"/>
                <a:tailEnd type="none" w="med" len="me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oneCell">
    <xdr:from>
      <xdr:col>21</xdr:col>
      <xdr:colOff>0</xdr:colOff>
      <xdr:row>229</xdr:row>
      <xdr:rowOff>0</xdr:rowOff>
    </xdr:from>
    <xdr:to>
      <xdr:col>44</xdr:col>
      <xdr:colOff>127000</xdr:colOff>
      <xdr:row>229</xdr:row>
      <xdr:rowOff>127000</xdr:rowOff>
    </xdr:to>
    <xdr:sp macro="" textlink="">
      <xdr:nvSpPr>
        <xdr:cNvPr id="33" name="Rectangle 32"/>
        <xdr:cNvSpPr/>
      </xdr:nvSpPr>
      <xdr:spPr>
        <a:xfrm>
          <a:off x="2105025" y="5343525"/>
          <a:ext cx="127000" cy="127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xmlns="">
              <a:solidFill>
                <a:schemeClr val="accent1"/>
              </a:solidFill>
            </a14:hiddenFill>
          </a:ext>
          <a:ext uri="{91240B29-F687-4F45-9708-019B960494DF}">
            <a14:hiddenLine xmlns:a14="http://schemas.microsoft.com/office/drawing/2010/main" xmlns="" w="9525" cap="flat" cmpd="sng" algn="ctr">
              <a:solidFill>
                <a:schemeClr val="accent1">
                  <a:shade val="50000"/>
                </a:schemeClr>
              </a:solidFill>
              <a:prstDash val="solid"/>
              <a:round/>
              <a:headEnd type="none" w="med" len="med"/>
              <a:tailEnd type="none" w="med" len="me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21</xdr:col>
      <xdr:colOff>0</xdr:colOff>
      <xdr:row>229</xdr:row>
      <xdr:rowOff>0</xdr:rowOff>
    </xdr:from>
    <xdr:to>
      <xdr:col>44</xdr:col>
      <xdr:colOff>127000</xdr:colOff>
      <xdr:row>229</xdr:row>
      <xdr:rowOff>127000</xdr:rowOff>
    </xdr:to>
    <xdr:sp macro="" textlink="">
      <xdr:nvSpPr>
        <xdr:cNvPr id="34" name="Rectangle 33"/>
        <xdr:cNvSpPr/>
      </xdr:nvSpPr>
      <xdr:spPr>
        <a:xfrm>
          <a:off x="2105025" y="5343525"/>
          <a:ext cx="127000" cy="127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xmlns="">
              <a:solidFill>
                <a:schemeClr val="accent1"/>
              </a:solidFill>
            </a14:hiddenFill>
          </a:ext>
          <a:ext uri="{91240B29-F687-4F45-9708-019B960494DF}">
            <a14:hiddenLine xmlns:a14="http://schemas.microsoft.com/office/drawing/2010/main" xmlns="" w="9525" cap="flat" cmpd="sng" algn="ctr">
              <a:solidFill>
                <a:schemeClr val="accent1">
                  <a:shade val="50000"/>
                </a:schemeClr>
              </a:solidFill>
              <a:prstDash val="solid"/>
              <a:round/>
              <a:headEnd type="none" w="med" len="med"/>
              <a:tailEnd type="none" w="med" len="me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21</xdr:col>
      <xdr:colOff>0</xdr:colOff>
      <xdr:row>229</xdr:row>
      <xdr:rowOff>0</xdr:rowOff>
    </xdr:from>
    <xdr:to>
      <xdr:col>44</xdr:col>
      <xdr:colOff>127000</xdr:colOff>
      <xdr:row>229</xdr:row>
      <xdr:rowOff>127000</xdr:rowOff>
    </xdr:to>
    <xdr:sp macro="" textlink="">
      <xdr:nvSpPr>
        <xdr:cNvPr id="35" name="Rectangle 34"/>
        <xdr:cNvSpPr/>
      </xdr:nvSpPr>
      <xdr:spPr>
        <a:xfrm>
          <a:off x="2105025" y="5343525"/>
          <a:ext cx="127000" cy="127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xmlns="">
              <a:solidFill>
                <a:schemeClr val="accent1"/>
              </a:solidFill>
            </a14:hiddenFill>
          </a:ext>
          <a:ext uri="{91240B29-F687-4F45-9708-019B960494DF}">
            <a14:hiddenLine xmlns:a14="http://schemas.microsoft.com/office/drawing/2010/main" xmlns="" w="9525" cap="flat" cmpd="sng" algn="ctr">
              <a:solidFill>
                <a:schemeClr val="accent1">
                  <a:shade val="50000"/>
                </a:schemeClr>
              </a:solidFill>
              <a:prstDash val="solid"/>
              <a:round/>
              <a:headEnd type="none" w="med" len="med"/>
              <a:tailEnd type="none" w="med" len="me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21</xdr:col>
      <xdr:colOff>0</xdr:colOff>
      <xdr:row>229</xdr:row>
      <xdr:rowOff>0</xdr:rowOff>
    </xdr:from>
    <xdr:to>
      <xdr:col>44</xdr:col>
      <xdr:colOff>127000</xdr:colOff>
      <xdr:row>229</xdr:row>
      <xdr:rowOff>127000</xdr:rowOff>
    </xdr:to>
    <xdr:sp macro="" textlink="">
      <xdr:nvSpPr>
        <xdr:cNvPr id="36" name="Rectangle 35"/>
        <xdr:cNvSpPr/>
      </xdr:nvSpPr>
      <xdr:spPr>
        <a:xfrm>
          <a:off x="2105025" y="5343525"/>
          <a:ext cx="127000" cy="127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xmlns="">
              <a:solidFill>
                <a:schemeClr val="accent1"/>
              </a:solidFill>
            </a14:hiddenFill>
          </a:ext>
          <a:ext uri="{91240B29-F687-4F45-9708-019B960494DF}">
            <a14:hiddenLine xmlns:a14="http://schemas.microsoft.com/office/drawing/2010/main" xmlns="" w="9525" cap="flat" cmpd="sng" algn="ctr">
              <a:solidFill>
                <a:schemeClr val="accent1">
                  <a:shade val="50000"/>
                </a:schemeClr>
              </a:solidFill>
              <a:prstDash val="solid"/>
              <a:round/>
              <a:headEnd type="none" w="med" len="med"/>
              <a:tailEnd type="none" w="med" len="me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21</xdr:col>
      <xdr:colOff>0</xdr:colOff>
      <xdr:row>229</xdr:row>
      <xdr:rowOff>0</xdr:rowOff>
    </xdr:from>
    <xdr:to>
      <xdr:col>44</xdr:col>
      <xdr:colOff>127000</xdr:colOff>
      <xdr:row>229</xdr:row>
      <xdr:rowOff>127000</xdr:rowOff>
    </xdr:to>
    <xdr:sp macro="" textlink="">
      <xdr:nvSpPr>
        <xdr:cNvPr id="37" name="Rectangle 36"/>
        <xdr:cNvSpPr/>
      </xdr:nvSpPr>
      <xdr:spPr>
        <a:xfrm>
          <a:off x="2105025" y="5343525"/>
          <a:ext cx="127000" cy="127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xmlns="">
              <a:solidFill>
                <a:schemeClr val="accent1"/>
              </a:solidFill>
            </a14:hiddenFill>
          </a:ext>
          <a:ext uri="{91240B29-F687-4F45-9708-019B960494DF}">
            <a14:hiddenLine xmlns:a14="http://schemas.microsoft.com/office/drawing/2010/main" xmlns="" w="9525" cap="flat" cmpd="sng" algn="ctr">
              <a:solidFill>
                <a:schemeClr val="accent1">
                  <a:shade val="50000"/>
                </a:schemeClr>
              </a:solidFill>
              <a:prstDash val="solid"/>
              <a:round/>
              <a:headEnd type="none" w="med" len="med"/>
              <a:tailEnd type="none" w="med" len="me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22</xdr:col>
      <xdr:colOff>3145</xdr:colOff>
      <xdr:row>229</xdr:row>
      <xdr:rowOff>0</xdr:rowOff>
    </xdr:from>
    <xdr:to>
      <xdr:col>44</xdr:col>
      <xdr:colOff>125792</xdr:colOff>
      <xdr:row>229</xdr:row>
      <xdr:rowOff>125797</xdr:rowOff>
    </xdr:to>
    <xdr:sp macro="" textlink="">
      <xdr:nvSpPr>
        <xdr:cNvPr id="50" name="Rectangle 49"/>
        <xdr:cNvSpPr/>
      </xdr:nvSpPr>
      <xdr:spPr>
        <a:xfrm>
          <a:off x="2632045" y="7267575"/>
          <a:ext cx="125792" cy="125797"/>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xmlns="">
              <a:solidFill>
                <a:schemeClr val="accent1"/>
              </a:solidFill>
            </a14:hiddenFill>
          </a:ext>
          <a:ext uri="{91240B29-F687-4F45-9708-019B960494DF}">
            <a14:hiddenLine xmlns:a14="http://schemas.microsoft.com/office/drawing/2010/main" xmlns="" w="9525" cap="flat" cmpd="sng" algn="ctr">
              <a:solidFill>
                <a:schemeClr val="accent1">
                  <a:shade val="50000"/>
                </a:schemeClr>
              </a:solidFill>
              <a:prstDash val="solid"/>
              <a:round/>
              <a:headEnd type="none" w="med" len="med"/>
              <a:tailEnd type="none" w="med" len="me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21</xdr:col>
      <xdr:colOff>3175</xdr:colOff>
      <xdr:row>229</xdr:row>
      <xdr:rowOff>0</xdr:rowOff>
    </xdr:from>
    <xdr:to>
      <xdr:col>44</xdr:col>
      <xdr:colOff>127000</xdr:colOff>
      <xdr:row>229</xdr:row>
      <xdr:rowOff>127000</xdr:rowOff>
    </xdr:to>
    <xdr:sp macro="" textlink="">
      <xdr:nvSpPr>
        <xdr:cNvPr id="135" name="Rectangle 134"/>
        <xdr:cNvSpPr/>
      </xdr:nvSpPr>
      <xdr:spPr>
        <a:xfrm>
          <a:off x="2108200" y="6696075"/>
          <a:ext cx="127000" cy="127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xmlns="">
              <a:solidFill>
                <a:schemeClr val="accent1"/>
              </a:solidFill>
            </a14:hiddenFill>
          </a:ext>
          <a:ext uri="{91240B29-F687-4F45-9708-019B960494DF}">
            <a14:hiddenLine xmlns:a14="http://schemas.microsoft.com/office/drawing/2010/main" xmlns="" w="9525" cap="flat" cmpd="sng" algn="ctr">
              <a:solidFill>
                <a:schemeClr val="accent1">
                  <a:shade val="50000"/>
                </a:schemeClr>
              </a:solidFill>
              <a:prstDash val="solid"/>
              <a:round/>
              <a:headEnd type="none" w="med" len="med"/>
              <a:tailEnd type="none" w="med" len="me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21</xdr:col>
      <xdr:colOff>3175</xdr:colOff>
      <xdr:row>229</xdr:row>
      <xdr:rowOff>0</xdr:rowOff>
    </xdr:from>
    <xdr:to>
      <xdr:col>44</xdr:col>
      <xdr:colOff>127000</xdr:colOff>
      <xdr:row>229</xdr:row>
      <xdr:rowOff>127000</xdr:rowOff>
    </xdr:to>
    <xdr:sp macro="" textlink="">
      <xdr:nvSpPr>
        <xdr:cNvPr id="136" name="Rectangle 135"/>
        <xdr:cNvSpPr/>
      </xdr:nvSpPr>
      <xdr:spPr>
        <a:xfrm>
          <a:off x="2108200" y="6886575"/>
          <a:ext cx="127000" cy="127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xmlns="">
              <a:solidFill>
                <a:schemeClr val="accent1"/>
              </a:solidFill>
            </a14:hiddenFill>
          </a:ext>
          <a:ext uri="{91240B29-F687-4F45-9708-019B960494DF}">
            <a14:hiddenLine xmlns:a14="http://schemas.microsoft.com/office/drawing/2010/main" xmlns="" w="9525" cap="flat" cmpd="sng" algn="ctr">
              <a:solidFill>
                <a:schemeClr val="accent1">
                  <a:shade val="50000"/>
                </a:schemeClr>
              </a:solidFill>
              <a:prstDash val="solid"/>
              <a:round/>
              <a:headEnd type="none" w="med" len="med"/>
              <a:tailEnd type="none" w="med" len="me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5</xdr:col>
      <xdr:colOff>0</xdr:colOff>
      <xdr:row>179</xdr:row>
      <xdr:rowOff>0</xdr:rowOff>
    </xdr:from>
    <xdr:to>
      <xdr:col>10</xdr:col>
      <xdr:colOff>418042</xdr:colOff>
      <xdr:row>179</xdr:row>
      <xdr:rowOff>191822</xdr:rowOff>
    </xdr:to>
    <xdr:grpSp>
      <xdr:nvGrpSpPr>
        <xdr:cNvPr id="39" name="Eqp$F$50_0"/>
        <xdr:cNvGrpSpPr>
          <a:grpSpLocks noChangeAspect="1"/>
        </xdr:cNvGrpSpPr>
      </xdr:nvGrpSpPr>
      <xdr:grpSpPr>
        <a:xfrm>
          <a:off x="1476375" y="38900100"/>
          <a:ext cx="2713567" cy="191822"/>
          <a:chOff x="0" y="0"/>
          <a:chExt cx="2714625" cy="190500"/>
        </a:xfrm>
      </xdr:grpSpPr>
      <xdr:sp macro="" textlink="">
        <xdr:nvSpPr>
          <xdr:cNvPr id="49" name="top 1"/>
          <xdr:cNvSpPr txBox="1"/>
        </xdr:nvSpPr>
        <xdr:spPr>
          <a:xfrm>
            <a:off x="0" y="0"/>
            <a:ext cx="2714625" cy="190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xmlns="">
                <a:solidFill>
                  <a:schemeClr val="lt1"/>
                </a:solidFill>
              </a14:hiddenFill>
            </a:ext>
            <a:ext uri="{91240B29-F687-4F45-9708-019B960494DF}">
              <a14:hiddenLine xmlns:a14="http://schemas.microsoft.com/office/drawing/2010/main" xmlns="" w="9525" cap="flat" cmpd="sng" algn="ctr">
                <a:solidFill>
                  <a:schemeClr val="lt1">
                    <a:shade val="50000"/>
                  </a:schemeClr>
                </a:solidFill>
                <a:prstDash val="solid"/>
                <a:round/>
                <a:headEnd type="none" w="med" len="med"/>
                <a:tailEnd type="none" w="med" len="med"/>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lIns="0" tIns="0" rIns="0" bIns="0" rtlCol="0" anchor="ctr" anchorCtr="0"/>
          <a:lstStyle/>
          <a:p>
            <a:pPr algn="ctr"/>
            <a:r>
              <a:rPr lang="en-US" sz="1100" i="0">
                <a:solidFill>
                  <a:srgbClr val="000000"/>
                </a:solidFill>
                <a:latin typeface="Calibri"/>
              </a:rPr>
              <a:t>= (1.64 · 29000 / F</a:t>
            </a:r>
            <a:r>
              <a:rPr lang="en-US" sz="1100" i="0" baseline="-25000">
                <a:solidFill>
                  <a:srgbClr val="000000"/>
                </a:solidFill>
                <a:latin typeface="Calibri"/>
              </a:rPr>
              <a:t>y</a:t>
            </a:r>
            <a:r>
              <a:rPr lang="en-US" sz="1100" i="0">
                <a:solidFill>
                  <a:srgbClr val="000000"/>
                </a:solidFill>
                <a:latin typeface="Calibri"/>
              </a:rPr>
              <a:t>)</a:t>
            </a:r>
            <a:r>
              <a:rPr lang="en-US" sz="1100" i="0">
                <a:solidFill>
                  <a:srgbClr val="000000"/>
                </a:solidFill>
                <a:latin typeface="Symbol"/>
              </a:rPr>
              <a:t>Ö</a:t>
            </a:r>
            <a:r>
              <a:rPr lang="en-US" sz="1100" i="0">
                <a:solidFill>
                  <a:srgbClr val="000000"/>
                </a:solidFill>
                <a:latin typeface="Calibri"/>
              </a:rPr>
              <a:t>([t / d]</a:t>
            </a:r>
            <a:r>
              <a:rPr lang="en-US" sz="1100" i="0" baseline="30000">
                <a:solidFill>
                  <a:srgbClr val="000000"/>
                </a:solidFill>
                <a:latin typeface="Calibri"/>
              </a:rPr>
              <a:t>2</a:t>
            </a:r>
            <a:r>
              <a:rPr lang="en-US" sz="1100" i="0">
                <a:solidFill>
                  <a:srgbClr val="000000"/>
                </a:solidFill>
                <a:latin typeface="Calibri"/>
              </a:rPr>
              <a:t> - 1.4[F</a:t>
            </a:r>
            <a:r>
              <a:rPr lang="en-US" sz="1100" i="0" baseline="-25000">
                <a:solidFill>
                  <a:srgbClr val="000000"/>
                </a:solidFill>
                <a:latin typeface="Calibri"/>
              </a:rPr>
              <a:t>y</a:t>
            </a:r>
            <a:r>
              <a:rPr lang="en-US" sz="1100" i="0">
                <a:solidFill>
                  <a:srgbClr val="000000"/>
                </a:solidFill>
                <a:latin typeface="Calibri"/>
              </a:rPr>
              <a:t> / 29000]) </a:t>
            </a:r>
          </a:p>
        </xdr:txBody>
      </xdr:sp>
      <xdr:sp macro="" textlink="">
        <xdr:nvSpPr>
          <xdr:cNvPr id="51" name="Rectangle 50"/>
          <xdr:cNvSpPr/>
        </xdr:nvSpPr>
        <xdr:spPr>
          <a:xfrm>
            <a:off x="0" y="0"/>
            <a:ext cx="127000" cy="127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xmlns="">
                <a:solidFill>
                  <a:schemeClr val="accent1"/>
                </a:solidFill>
              </a14:hiddenFill>
            </a:ext>
            <a:ext uri="{91240B29-F687-4F45-9708-019B960494DF}">
              <a14:hiddenLine xmlns:a14="http://schemas.microsoft.com/office/drawing/2010/main" xmlns="" w="9525" cap="flat" cmpd="sng" algn="ctr">
                <a:solidFill>
                  <a:schemeClr val="accent1">
                    <a:shade val="50000"/>
                  </a:schemeClr>
                </a:solidFill>
                <a:prstDash val="solid"/>
                <a:round/>
                <a:headEnd type="none" w="med" len="med"/>
                <a:tailEnd type="none" w="med" len="me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oneCell">
    <xdr:from>
      <xdr:col>10</xdr:col>
      <xdr:colOff>0</xdr:colOff>
      <xdr:row>186</xdr:row>
      <xdr:rowOff>0</xdr:rowOff>
    </xdr:from>
    <xdr:to>
      <xdr:col>12</xdr:col>
      <xdr:colOff>262467</xdr:colOff>
      <xdr:row>186</xdr:row>
      <xdr:rowOff>191824</xdr:rowOff>
    </xdr:to>
    <xdr:grpSp>
      <xdr:nvGrpSpPr>
        <xdr:cNvPr id="52" name="Eqp$K$57_0"/>
        <xdr:cNvGrpSpPr>
          <a:grpSpLocks noChangeAspect="1"/>
        </xdr:cNvGrpSpPr>
      </xdr:nvGrpSpPr>
      <xdr:grpSpPr>
        <a:xfrm>
          <a:off x="3771900" y="40424100"/>
          <a:ext cx="1167342" cy="191824"/>
          <a:chOff x="0" y="0"/>
          <a:chExt cx="1162050" cy="190500"/>
        </a:xfrm>
      </xdr:grpSpPr>
      <xdr:sp macro="" textlink="">
        <xdr:nvSpPr>
          <xdr:cNvPr id="53" name="top 1"/>
          <xdr:cNvSpPr txBox="1"/>
        </xdr:nvSpPr>
        <xdr:spPr>
          <a:xfrm>
            <a:off x="0" y="0"/>
            <a:ext cx="1162050" cy="190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xmlns="">
                <a:solidFill>
                  <a:schemeClr val="lt1"/>
                </a:solidFill>
              </a14:hiddenFill>
            </a:ext>
            <a:ext uri="{91240B29-F687-4F45-9708-019B960494DF}">
              <a14:hiddenLine xmlns:a14="http://schemas.microsoft.com/office/drawing/2010/main" xmlns="" w="9525" cap="flat" cmpd="sng" algn="ctr">
                <a:solidFill>
                  <a:schemeClr val="lt1">
                    <a:shade val="50000"/>
                  </a:schemeClr>
                </a:solidFill>
                <a:prstDash val="solid"/>
                <a:round/>
                <a:headEnd type="none" w="med" len="med"/>
                <a:tailEnd type="none" w="med" len="med"/>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lIns="0" tIns="0" rIns="0" bIns="0" rtlCol="0" anchor="ctr" anchorCtr="0"/>
          <a:lstStyle/>
          <a:p>
            <a:pPr algn="ctr"/>
            <a:r>
              <a:rPr lang="en-US" sz="1100" i="0">
                <a:solidFill>
                  <a:srgbClr val="000000"/>
                </a:solidFill>
                <a:latin typeface="Calibri"/>
              </a:rPr>
              <a:t>= 0.54</a:t>
            </a:r>
            <a:r>
              <a:rPr lang="en-US" sz="1100" i="0">
                <a:solidFill>
                  <a:srgbClr val="000000"/>
                </a:solidFill>
                <a:latin typeface="Symbol"/>
              </a:rPr>
              <a:t>Ö</a:t>
            </a:r>
            <a:r>
              <a:rPr lang="en-US" sz="1100" i="0">
                <a:solidFill>
                  <a:srgbClr val="000000"/>
                </a:solidFill>
                <a:latin typeface="Calibri"/>
              </a:rPr>
              <a:t>(29000 / F</a:t>
            </a:r>
            <a:r>
              <a:rPr lang="en-US" sz="1100" i="0" baseline="-25000">
                <a:solidFill>
                  <a:srgbClr val="000000"/>
                </a:solidFill>
                <a:latin typeface="Calibri"/>
              </a:rPr>
              <a:t>y</a:t>
            </a:r>
            <a:r>
              <a:rPr lang="en-US" sz="1100" i="0">
                <a:solidFill>
                  <a:srgbClr val="000000"/>
                </a:solidFill>
                <a:latin typeface="Calibri"/>
              </a:rPr>
              <a:t>) </a:t>
            </a:r>
          </a:p>
        </xdr:txBody>
      </xdr:sp>
      <xdr:sp macro="" textlink="">
        <xdr:nvSpPr>
          <xdr:cNvPr id="54" name="Rectangle 53"/>
          <xdr:cNvSpPr/>
        </xdr:nvSpPr>
        <xdr:spPr>
          <a:xfrm>
            <a:off x="0" y="0"/>
            <a:ext cx="127000" cy="127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xmlns="">
                <a:solidFill>
                  <a:schemeClr val="accent1"/>
                </a:solidFill>
              </a14:hiddenFill>
            </a:ext>
            <a:ext uri="{91240B29-F687-4F45-9708-019B960494DF}">
              <a14:hiddenLine xmlns:a14="http://schemas.microsoft.com/office/drawing/2010/main" xmlns="" w="9525" cap="flat" cmpd="sng" algn="ctr">
                <a:solidFill>
                  <a:schemeClr val="accent1">
                    <a:shade val="50000"/>
                  </a:schemeClr>
                </a:solidFill>
                <a:prstDash val="solid"/>
                <a:round/>
                <a:headEnd type="none" w="med" len="med"/>
                <a:tailEnd type="none" w="med" len="me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oneCell">
    <xdr:from>
      <xdr:col>7</xdr:col>
      <xdr:colOff>13607</xdr:colOff>
      <xdr:row>188</xdr:row>
      <xdr:rowOff>2116</xdr:rowOff>
    </xdr:from>
    <xdr:to>
      <xdr:col>15</xdr:col>
      <xdr:colOff>96573</xdr:colOff>
      <xdr:row>189</xdr:row>
      <xdr:rowOff>20634</xdr:rowOff>
    </xdr:to>
    <xdr:grpSp>
      <xdr:nvGrpSpPr>
        <xdr:cNvPr id="55" name="Eqp$J$59_0"/>
        <xdr:cNvGrpSpPr>
          <a:grpSpLocks noChangeAspect="1"/>
        </xdr:cNvGrpSpPr>
      </xdr:nvGrpSpPr>
      <xdr:grpSpPr>
        <a:xfrm>
          <a:off x="2423432" y="40845316"/>
          <a:ext cx="3578641" cy="256643"/>
          <a:chOff x="0" y="0"/>
          <a:chExt cx="2788121" cy="205786"/>
        </a:xfrm>
      </xdr:grpSpPr>
      <xdr:sp macro="" textlink="">
        <xdr:nvSpPr>
          <xdr:cNvPr id="56" name="top 1"/>
          <xdr:cNvSpPr txBox="1"/>
        </xdr:nvSpPr>
        <xdr:spPr>
          <a:xfrm>
            <a:off x="502121" y="15286"/>
            <a:ext cx="2286000" cy="190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xmlns="">
                <a:solidFill>
                  <a:schemeClr val="lt1"/>
                </a:solidFill>
              </a14:hiddenFill>
            </a:ext>
            <a:ext uri="{91240B29-F687-4F45-9708-019B960494DF}">
              <a14:hiddenLine xmlns:a14="http://schemas.microsoft.com/office/drawing/2010/main" xmlns="" w="9525" cap="flat" cmpd="sng" algn="ctr">
                <a:solidFill>
                  <a:schemeClr val="lt1">
                    <a:shade val="50000"/>
                  </a:schemeClr>
                </a:solidFill>
                <a:prstDash val="solid"/>
                <a:round/>
                <a:headEnd type="none" w="med" len="med"/>
                <a:tailEnd type="none" w="med" len="med"/>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lIns="0" tIns="0" rIns="0" bIns="0" rtlCol="0" anchor="ctr" anchorCtr="0"/>
          <a:lstStyle/>
          <a:p>
            <a:pPr algn="ctr"/>
            <a:r>
              <a:rPr lang="en-US" sz="1100" i="0">
                <a:solidFill>
                  <a:srgbClr val="000000"/>
                </a:solidFill>
                <a:latin typeface="Calibri"/>
              </a:rPr>
              <a:t>= F</a:t>
            </a:r>
            <a:r>
              <a:rPr lang="en-US" sz="1100" i="0" baseline="-25000">
                <a:solidFill>
                  <a:srgbClr val="000000"/>
                </a:solidFill>
                <a:latin typeface="Calibri"/>
              </a:rPr>
              <a:t>y</a:t>
            </a:r>
            <a:r>
              <a:rPr lang="en-US" sz="1100" i="0">
                <a:solidFill>
                  <a:srgbClr val="000000"/>
                </a:solidFill>
                <a:latin typeface="Calibri"/>
              </a:rPr>
              <a:t>S</a:t>
            </a:r>
            <a:r>
              <a:rPr lang="en-US" sz="1100" i="0" baseline="-25000">
                <a:solidFill>
                  <a:srgbClr val="000000"/>
                </a:solidFill>
                <a:latin typeface="Calibri"/>
              </a:rPr>
              <a:t>c</a:t>
            </a:r>
            <a:r>
              <a:rPr lang="en-US" sz="1100" i="0">
                <a:solidFill>
                  <a:srgbClr val="000000"/>
                </a:solidFill>
                <a:latin typeface="Calibri"/>
              </a:rPr>
              <a:t>(2.43 - 1.72[d / t][</a:t>
            </a:r>
            <a:r>
              <a:rPr lang="en-US" sz="1100" i="0">
                <a:solidFill>
                  <a:srgbClr val="000000"/>
                </a:solidFill>
                <a:latin typeface="Symbol"/>
              </a:rPr>
              <a:t>Ö</a:t>
            </a:r>
            <a:r>
              <a:rPr lang="en-US" sz="1100" i="0">
                <a:solidFill>
                  <a:srgbClr val="000000"/>
                </a:solidFill>
                <a:latin typeface="Calibri"/>
              </a:rPr>
              <a:t>{F</a:t>
            </a:r>
            <a:r>
              <a:rPr lang="en-US" sz="1100" i="0" baseline="-25000">
                <a:solidFill>
                  <a:srgbClr val="000000"/>
                </a:solidFill>
                <a:latin typeface="Calibri"/>
              </a:rPr>
              <a:t>y</a:t>
            </a:r>
            <a:r>
              <a:rPr lang="en-US" sz="1100" i="0">
                <a:solidFill>
                  <a:srgbClr val="000000"/>
                </a:solidFill>
                <a:latin typeface="Calibri"/>
              </a:rPr>
              <a:t> / 29000}]) </a:t>
            </a:r>
          </a:p>
        </xdr:txBody>
      </xdr:sp>
      <xdr:sp macro="" textlink="">
        <xdr:nvSpPr>
          <xdr:cNvPr id="57" name="Rectangle 56"/>
          <xdr:cNvSpPr/>
        </xdr:nvSpPr>
        <xdr:spPr>
          <a:xfrm>
            <a:off x="0" y="0"/>
            <a:ext cx="127000" cy="127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xmlns="">
                <a:solidFill>
                  <a:schemeClr val="accent1"/>
                </a:solidFill>
              </a14:hiddenFill>
            </a:ext>
            <a:ext uri="{91240B29-F687-4F45-9708-019B960494DF}">
              <a14:hiddenLine xmlns:a14="http://schemas.microsoft.com/office/drawing/2010/main" xmlns="" w="9525" cap="flat" cmpd="sng" algn="ctr">
                <a:solidFill>
                  <a:schemeClr val="accent1">
                    <a:shade val="50000"/>
                  </a:schemeClr>
                </a:solidFill>
                <a:prstDash val="solid"/>
                <a:round/>
                <a:headEnd type="none" w="med" len="med"/>
                <a:tailEnd type="none" w="med" len="me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oneCell">
    <xdr:from>
      <xdr:col>6</xdr:col>
      <xdr:colOff>0</xdr:colOff>
      <xdr:row>215</xdr:row>
      <xdr:rowOff>0</xdr:rowOff>
    </xdr:from>
    <xdr:to>
      <xdr:col>9</xdr:col>
      <xdr:colOff>142875</xdr:colOff>
      <xdr:row>216</xdr:row>
      <xdr:rowOff>1324</xdr:rowOff>
    </xdr:to>
    <xdr:grpSp>
      <xdr:nvGrpSpPr>
        <xdr:cNvPr id="58" name="Eqp$G$73_0"/>
        <xdr:cNvGrpSpPr>
          <a:grpSpLocks noChangeAspect="1"/>
        </xdr:cNvGrpSpPr>
      </xdr:nvGrpSpPr>
      <xdr:grpSpPr>
        <a:xfrm>
          <a:off x="1924050" y="46262925"/>
          <a:ext cx="1571625" cy="191824"/>
          <a:chOff x="0" y="0"/>
          <a:chExt cx="1571625" cy="190500"/>
        </a:xfrm>
      </xdr:grpSpPr>
      <xdr:sp macro="" textlink="">
        <xdr:nvSpPr>
          <xdr:cNvPr id="59" name="top 1"/>
          <xdr:cNvSpPr txBox="1"/>
        </xdr:nvSpPr>
        <xdr:spPr>
          <a:xfrm>
            <a:off x="0" y="0"/>
            <a:ext cx="1571625" cy="190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xmlns="">
                <a:solidFill>
                  <a:schemeClr val="lt1"/>
                </a:solidFill>
              </a14:hiddenFill>
            </a:ext>
            <a:ext uri="{91240B29-F687-4F45-9708-019B960494DF}">
              <a14:hiddenLine xmlns:a14="http://schemas.microsoft.com/office/drawing/2010/main" xmlns="" w="9525" cap="flat" cmpd="sng" algn="ctr">
                <a:solidFill>
                  <a:schemeClr val="lt1">
                    <a:shade val="50000"/>
                  </a:schemeClr>
                </a:solidFill>
                <a:prstDash val="solid"/>
                <a:round/>
                <a:headEnd type="none" w="med" len="med"/>
                <a:tailEnd type="none" w="med" len="med"/>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lIns="0" tIns="0" rIns="0" bIns="0" rtlCol="0" anchor="ctr" anchorCtr="0"/>
          <a:lstStyle/>
          <a:p>
            <a:pPr algn="ctr"/>
            <a:r>
              <a:rPr lang="en-US" sz="1100" i="0">
                <a:solidFill>
                  <a:srgbClr val="000000"/>
                </a:solidFill>
                <a:latin typeface="Calibri"/>
              </a:rPr>
              <a:t>= 1.19 - 0.5(b</a:t>
            </a:r>
            <a:r>
              <a:rPr lang="en-US" sz="1100" i="0" baseline="-25000">
                <a:solidFill>
                  <a:srgbClr val="000000"/>
                </a:solidFill>
                <a:latin typeface="Calibri"/>
              </a:rPr>
              <a:t>f</a:t>
            </a:r>
            <a:r>
              <a:rPr lang="en-US" sz="1100" i="0">
                <a:solidFill>
                  <a:srgbClr val="000000"/>
                </a:solidFill>
                <a:latin typeface="Calibri"/>
              </a:rPr>
              <a:t> / t</a:t>
            </a:r>
            <a:r>
              <a:rPr lang="en-US" sz="1100" i="0" baseline="-25000">
                <a:solidFill>
                  <a:srgbClr val="000000"/>
                </a:solidFill>
                <a:latin typeface="Calibri"/>
              </a:rPr>
              <a:t>f</a:t>
            </a:r>
            <a:r>
              <a:rPr lang="en-US" sz="1100" i="0">
                <a:solidFill>
                  <a:srgbClr val="000000"/>
                </a:solidFill>
                <a:latin typeface="Calibri"/>
              </a:rPr>
              <a:t>)</a:t>
            </a:r>
            <a:r>
              <a:rPr lang="en-US" sz="1100" i="0">
                <a:solidFill>
                  <a:srgbClr val="000000"/>
                </a:solidFill>
                <a:latin typeface="Symbol"/>
              </a:rPr>
              <a:t>Ö</a:t>
            </a:r>
            <a:r>
              <a:rPr lang="en-US" sz="1100" i="0">
                <a:solidFill>
                  <a:srgbClr val="000000"/>
                </a:solidFill>
                <a:latin typeface="Calibri"/>
              </a:rPr>
              <a:t>(F</a:t>
            </a:r>
            <a:r>
              <a:rPr lang="en-US" sz="1100" i="0" baseline="-25000">
                <a:solidFill>
                  <a:srgbClr val="000000"/>
                </a:solidFill>
                <a:latin typeface="Calibri"/>
              </a:rPr>
              <a:t>y</a:t>
            </a:r>
            <a:r>
              <a:rPr lang="en-US" sz="1100" i="0">
                <a:solidFill>
                  <a:srgbClr val="000000"/>
                </a:solidFill>
                <a:latin typeface="Calibri"/>
              </a:rPr>
              <a:t> / E) </a:t>
            </a:r>
          </a:p>
        </xdr:txBody>
      </xdr:sp>
      <xdr:sp macro="" textlink="">
        <xdr:nvSpPr>
          <xdr:cNvPr id="60" name="Rectangle 59"/>
          <xdr:cNvSpPr/>
        </xdr:nvSpPr>
        <xdr:spPr>
          <a:xfrm>
            <a:off x="0" y="0"/>
            <a:ext cx="127000" cy="127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xmlns="">
                <a:solidFill>
                  <a:schemeClr val="accent1"/>
                </a:solidFill>
              </a14:hiddenFill>
            </a:ext>
            <a:ext uri="{91240B29-F687-4F45-9708-019B960494DF}">
              <a14:hiddenLine xmlns:a14="http://schemas.microsoft.com/office/drawing/2010/main" xmlns="" w="9525" cap="flat" cmpd="sng" algn="ctr">
                <a:solidFill>
                  <a:schemeClr val="accent1">
                    <a:shade val="50000"/>
                  </a:schemeClr>
                </a:solidFill>
                <a:prstDash val="solid"/>
                <a:round/>
                <a:headEnd type="none" w="med" len="med"/>
                <a:tailEnd type="none" w="med" len="me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xdr:from>
      <xdr:col>4</xdr:col>
      <xdr:colOff>306917</xdr:colOff>
      <xdr:row>65</xdr:row>
      <xdr:rowOff>116417</xdr:rowOff>
    </xdr:from>
    <xdr:to>
      <xdr:col>6</xdr:col>
      <xdr:colOff>222249</xdr:colOff>
      <xdr:row>67</xdr:row>
      <xdr:rowOff>137583</xdr:rowOff>
    </xdr:to>
    <xdr:grpSp>
      <xdr:nvGrpSpPr>
        <xdr:cNvPr id="254" name="Group 253"/>
        <xdr:cNvGrpSpPr/>
      </xdr:nvGrpSpPr>
      <xdr:grpSpPr>
        <a:xfrm>
          <a:off x="1192742" y="12946592"/>
          <a:ext cx="953557" cy="402166"/>
          <a:chOff x="508001" y="7196667"/>
          <a:chExt cx="814915" cy="402166"/>
        </a:xfrm>
      </xdr:grpSpPr>
      <xdr:cxnSp macro="">
        <xdr:nvCxnSpPr>
          <xdr:cNvPr id="64" name="Straight Arrow Connector 63"/>
          <xdr:cNvCxnSpPr/>
        </xdr:nvCxnSpPr>
        <xdr:spPr>
          <a:xfrm>
            <a:off x="899598" y="7207250"/>
            <a:ext cx="0" cy="2645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grpSp>
        <xdr:nvGrpSpPr>
          <xdr:cNvPr id="253" name="Group 252"/>
          <xdr:cNvGrpSpPr/>
        </xdr:nvGrpSpPr>
        <xdr:grpSpPr>
          <a:xfrm>
            <a:off x="508001" y="7196667"/>
            <a:ext cx="814915" cy="402166"/>
            <a:chOff x="508001" y="7196667"/>
            <a:chExt cx="814915" cy="402166"/>
          </a:xfrm>
        </xdr:grpSpPr>
        <xdr:cxnSp macro="">
          <xdr:nvCxnSpPr>
            <xdr:cNvPr id="4" name="Straight Connector 3"/>
            <xdr:cNvCxnSpPr/>
          </xdr:nvCxnSpPr>
          <xdr:spPr>
            <a:xfrm flipV="1">
              <a:off x="560917" y="7461250"/>
              <a:ext cx="731520" cy="0"/>
            </a:xfrm>
            <a:prstGeom prst="line">
              <a:avLst/>
            </a:prstGeom>
            <a:ln w="15875"/>
          </xdr:spPr>
          <xdr:style>
            <a:lnRef idx="1">
              <a:schemeClr val="accent1"/>
            </a:lnRef>
            <a:fillRef idx="0">
              <a:schemeClr val="accent1"/>
            </a:fillRef>
            <a:effectRef idx="0">
              <a:schemeClr val="accent1"/>
            </a:effectRef>
            <a:fontRef idx="minor">
              <a:schemeClr val="tx1"/>
            </a:fontRef>
          </xdr:style>
        </xdr:cxnSp>
        <xdr:sp macro="" textlink="">
          <xdr:nvSpPr>
            <xdr:cNvPr id="6" name="Isosceles Triangle 5"/>
            <xdr:cNvSpPr/>
          </xdr:nvSpPr>
          <xdr:spPr>
            <a:xfrm>
              <a:off x="1200005" y="7461250"/>
              <a:ext cx="122911"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5" name="Isosceles Triangle 44"/>
            <xdr:cNvSpPr/>
          </xdr:nvSpPr>
          <xdr:spPr>
            <a:xfrm>
              <a:off x="508001" y="7471833"/>
              <a:ext cx="111477"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8" name="Straight Arrow Connector 7"/>
            <xdr:cNvCxnSpPr/>
          </xdr:nvCxnSpPr>
          <xdr:spPr>
            <a:xfrm>
              <a:off x="546112" y="7207250"/>
              <a:ext cx="0" cy="2645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xnSp macro="">
          <xdr:nvCxnSpPr>
            <xdr:cNvPr id="63" name="Straight Arrow Connector 62"/>
            <xdr:cNvCxnSpPr/>
          </xdr:nvCxnSpPr>
          <xdr:spPr>
            <a:xfrm>
              <a:off x="713804" y="7207250"/>
              <a:ext cx="0" cy="2645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xnSp macro="">
          <xdr:nvCxnSpPr>
            <xdr:cNvPr id="65" name="Straight Arrow Connector 64"/>
            <xdr:cNvCxnSpPr/>
          </xdr:nvCxnSpPr>
          <xdr:spPr>
            <a:xfrm>
              <a:off x="1067289" y="7207250"/>
              <a:ext cx="0" cy="2645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xnSp macro="">
          <xdr:nvCxnSpPr>
            <xdr:cNvPr id="67" name="Straight Arrow Connector 66"/>
            <xdr:cNvCxnSpPr/>
          </xdr:nvCxnSpPr>
          <xdr:spPr>
            <a:xfrm>
              <a:off x="1257848" y="7207250"/>
              <a:ext cx="0" cy="2645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xnSp macro="">
          <xdr:nvCxnSpPr>
            <xdr:cNvPr id="12" name="Straight Connector 11"/>
            <xdr:cNvCxnSpPr/>
          </xdr:nvCxnSpPr>
          <xdr:spPr>
            <a:xfrm>
              <a:off x="539442" y="7196667"/>
              <a:ext cx="730558" cy="0"/>
            </a:xfrm>
            <a:prstGeom prst="line">
              <a:avLst/>
            </a:prstGeom>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8</xdr:col>
      <xdr:colOff>138546</xdr:colOff>
      <xdr:row>64</xdr:row>
      <xdr:rowOff>17319</xdr:rowOff>
    </xdr:from>
    <xdr:to>
      <xdr:col>9</xdr:col>
      <xdr:colOff>200601</xdr:colOff>
      <xdr:row>67</xdr:row>
      <xdr:rowOff>10584</xdr:rowOff>
    </xdr:to>
    <xdr:cxnSp macro="">
      <xdr:nvCxnSpPr>
        <xdr:cNvPr id="19" name="Straight Connector 18"/>
        <xdr:cNvCxnSpPr>
          <a:endCxn id="73" idx="0"/>
        </xdr:cNvCxnSpPr>
      </xdr:nvCxnSpPr>
      <xdr:spPr>
        <a:xfrm>
          <a:off x="2918114" y="6719455"/>
          <a:ext cx="520987" cy="56476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116416</xdr:colOff>
      <xdr:row>64</xdr:row>
      <xdr:rowOff>17319</xdr:rowOff>
    </xdr:from>
    <xdr:to>
      <xdr:col>9</xdr:col>
      <xdr:colOff>261695</xdr:colOff>
      <xdr:row>67</xdr:row>
      <xdr:rowOff>137584</xdr:rowOff>
    </xdr:to>
    <xdr:grpSp>
      <xdr:nvGrpSpPr>
        <xdr:cNvPr id="250" name="Group 249"/>
        <xdr:cNvGrpSpPr/>
      </xdr:nvGrpSpPr>
      <xdr:grpSpPr>
        <a:xfrm>
          <a:off x="2526241" y="12656994"/>
          <a:ext cx="1088254" cy="691765"/>
          <a:chOff x="2411075" y="6719455"/>
          <a:chExt cx="1089120" cy="691765"/>
        </a:xfrm>
      </xdr:grpSpPr>
      <xdr:cxnSp macro="">
        <xdr:nvCxnSpPr>
          <xdr:cNvPr id="72" name="Straight Connector 71"/>
          <xdr:cNvCxnSpPr/>
        </xdr:nvCxnSpPr>
        <xdr:spPr>
          <a:xfrm>
            <a:off x="2453407" y="7294804"/>
            <a:ext cx="1001570" cy="0"/>
          </a:xfrm>
          <a:prstGeom prst="line">
            <a:avLst/>
          </a:prstGeom>
          <a:ln w="15875"/>
        </xdr:spPr>
        <xdr:style>
          <a:lnRef idx="1">
            <a:schemeClr val="accent1"/>
          </a:lnRef>
          <a:fillRef idx="0">
            <a:schemeClr val="accent1"/>
          </a:fillRef>
          <a:effectRef idx="0">
            <a:schemeClr val="accent1"/>
          </a:effectRef>
          <a:fontRef idx="minor">
            <a:schemeClr val="tx1"/>
          </a:fontRef>
        </xdr:style>
      </xdr:cxnSp>
      <xdr:sp macro="" textlink="">
        <xdr:nvSpPr>
          <xdr:cNvPr id="73" name="Isosceles Triangle 72"/>
          <xdr:cNvSpPr/>
        </xdr:nvSpPr>
        <xdr:spPr>
          <a:xfrm>
            <a:off x="3378006" y="7284220"/>
            <a:ext cx="122189"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74" name="Isosceles Triangle 73"/>
          <xdr:cNvSpPr/>
        </xdr:nvSpPr>
        <xdr:spPr>
          <a:xfrm>
            <a:off x="2411075" y="7284220"/>
            <a:ext cx="116416"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7" name="Straight Connector 16"/>
          <xdr:cNvCxnSpPr>
            <a:stCxn id="74" idx="0"/>
          </xdr:cNvCxnSpPr>
        </xdr:nvCxnSpPr>
        <xdr:spPr>
          <a:xfrm flipV="1">
            <a:off x="2469283" y="6719455"/>
            <a:ext cx="448831" cy="56476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 name="Straight Arrow Connector 20"/>
          <xdr:cNvCxnSpPr/>
        </xdr:nvCxnSpPr>
        <xdr:spPr>
          <a:xfrm>
            <a:off x="2632364" y="7074477"/>
            <a:ext cx="0" cy="20781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xnSp macro="">
        <xdr:nvCxnSpPr>
          <xdr:cNvPr id="23" name="Straight Arrow Connector 22"/>
          <xdr:cNvCxnSpPr/>
        </xdr:nvCxnSpPr>
        <xdr:spPr>
          <a:xfrm flipH="1">
            <a:off x="2779568" y="6901295"/>
            <a:ext cx="8659" cy="3896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xnSp macro="">
        <xdr:nvCxnSpPr>
          <xdr:cNvPr id="25" name="Straight Arrow Connector 24"/>
          <xdr:cNvCxnSpPr/>
        </xdr:nvCxnSpPr>
        <xdr:spPr>
          <a:xfrm>
            <a:off x="2918114" y="6754091"/>
            <a:ext cx="8659" cy="52820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xnSp macro="">
        <xdr:nvCxnSpPr>
          <xdr:cNvPr id="27" name="Straight Arrow Connector 26"/>
          <xdr:cNvCxnSpPr/>
        </xdr:nvCxnSpPr>
        <xdr:spPr>
          <a:xfrm>
            <a:off x="3091295" y="6918614"/>
            <a:ext cx="8660" cy="38965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xnSp macro="">
        <xdr:nvCxnSpPr>
          <xdr:cNvPr id="29" name="Straight Arrow Connector 28"/>
          <xdr:cNvCxnSpPr/>
        </xdr:nvCxnSpPr>
        <xdr:spPr>
          <a:xfrm>
            <a:off x="3238500" y="7065818"/>
            <a:ext cx="8659" cy="22513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199159</xdr:colOff>
      <xdr:row>64</xdr:row>
      <xdr:rowOff>72932</xdr:rowOff>
    </xdr:from>
    <xdr:to>
      <xdr:col>12</xdr:col>
      <xdr:colOff>356198</xdr:colOff>
      <xdr:row>68</xdr:row>
      <xdr:rowOff>0</xdr:rowOff>
    </xdr:to>
    <xdr:sp macro="" textlink="">
      <xdr:nvSpPr>
        <xdr:cNvPr id="225" name="Freeform 224"/>
        <xdr:cNvSpPr/>
      </xdr:nvSpPr>
      <xdr:spPr>
        <a:xfrm>
          <a:off x="3887932" y="6775068"/>
          <a:ext cx="1161493" cy="689068"/>
        </a:xfrm>
        <a:custGeom>
          <a:avLst/>
          <a:gdLst>
            <a:gd name="connsiteX0" fmla="*/ 0 w 1161493"/>
            <a:gd name="connsiteY0" fmla="*/ 507227 h 689068"/>
            <a:gd name="connsiteX1" fmla="*/ 277091 w 1161493"/>
            <a:gd name="connsiteY1" fmla="*/ 5000 h 689068"/>
            <a:gd name="connsiteX2" fmla="*/ 701386 w 1161493"/>
            <a:gd name="connsiteY2" fmla="*/ 247455 h 689068"/>
            <a:gd name="connsiteX3" fmla="*/ 1030432 w 1161493"/>
            <a:gd name="connsiteY3" fmla="*/ 212818 h 689068"/>
            <a:gd name="connsiteX4" fmla="*/ 1091045 w 1161493"/>
            <a:gd name="connsiteY4" fmla="*/ 515887 h 689068"/>
            <a:gd name="connsiteX5" fmla="*/ 1160318 w 1161493"/>
            <a:gd name="connsiteY5" fmla="*/ 689068 h 68906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161493" h="689068">
              <a:moveTo>
                <a:pt x="0" y="507227"/>
              </a:moveTo>
              <a:cubicBezTo>
                <a:pt x="80096" y="277761"/>
                <a:pt x="160193" y="48295"/>
                <a:pt x="277091" y="5000"/>
              </a:cubicBezTo>
              <a:cubicBezTo>
                <a:pt x="393989" y="-38295"/>
                <a:pt x="575829" y="212819"/>
                <a:pt x="701386" y="247455"/>
              </a:cubicBezTo>
              <a:cubicBezTo>
                <a:pt x="826943" y="282091"/>
                <a:pt x="965489" y="168079"/>
                <a:pt x="1030432" y="212818"/>
              </a:cubicBezTo>
              <a:cubicBezTo>
                <a:pt x="1095375" y="257557"/>
                <a:pt x="1069397" y="436512"/>
                <a:pt x="1091045" y="515887"/>
              </a:cubicBezTo>
              <a:cubicBezTo>
                <a:pt x="1112693" y="595262"/>
                <a:pt x="1170420" y="634227"/>
                <a:pt x="1160318" y="689068"/>
              </a:cubicBezTo>
            </a:path>
          </a:pathLst>
        </a:cu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138546</xdr:colOff>
      <xdr:row>63</xdr:row>
      <xdr:rowOff>60614</xdr:rowOff>
    </xdr:from>
    <xdr:to>
      <xdr:col>12</xdr:col>
      <xdr:colOff>327121</xdr:colOff>
      <xdr:row>67</xdr:row>
      <xdr:rowOff>144318</xdr:rowOff>
    </xdr:to>
    <xdr:grpSp>
      <xdr:nvGrpSpPr>
        <xdr:cNvPr id="251" name="Group 250"/>
        <xdr:cNvGrpSpPr/>
      </xdr:nvGrpSpPr>
      <xdr:grpSpPr>
        <a:xfrm>
          <a:off x="3910446" y="12509789"/>
          <a:ext cx="1093450" cy="845704"/>
          <a:chOff x="3827319" y="6572250"/>
          <a:chExt cx="1193029" cy="845704"/>
        </a:xfrm>
      </xdr:grpSpPr>
      <xdr:cxnSp macro="">
        <xdr:nvCxnSpPr>
          <xdr:cNvPr id="83" name="Straight Connector 82"/>
          <xdr:cNvCxnSpPr>
            <a:endCxn id="84" idx="0"/>
          </xdr:cNvCxnSpPr>
        </xdr:nvCxnSpPr>
        <xdr:spPr>
          <a:xfrm flipV="1">
            <a:off x="3869651" y="7290954"/>
            <a:ext cx="1089603" cy="1925"/>
          </a:xfrm>
          <a:prstGeom prst="line">
            <a:avLst/>
          </a:prstGeom>
          <a:ln w="15875"/>
        </xdr:spPr>
        <xdr:style>
          <a:lnRef idx="1">
            <a:schemeClr val="accent1"/>
          </a:lnRef>
          <a:fillRef idx="0">
            <a:schemeClr val="accent1"/>
          </a:fillRef>
          <a:effectRef idx="0">
            <a:schemeClr val="accent1"/>
          </a:effectRef>
          <a:fontRef idx="minor">
            <a:schemeClr val="tx1"/>
          </a:fontRef>
        </xdr:style>
      </xdr:cxnSp>
      <xdr:sp macro="" textlink="">
        <xdr:nvSpPr>
          <xdr:cNvPr id="84" name="Isosceles Triangle 83"/>
          <xdr:cNvSpPr/>
        </xdr:nvSpPr>
        <xdr:spPr>
          <a:xfrm>
            <a:off x="4898159" y="7290954"/>
            <a:ext cx="122189"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85" name="Isosceles Triangle 84"/>
          <xdr:cNvSpPr/>
        </xdr:nvSpPr>
        <xdr:spPr>
          <a:xfrm>
            <a:off x="3827319" y="7282295"/>
            <a:ext cx="116416"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27" name="Straight Arrow Connector 226"/>
          <xdr:cNvCxnSpPr/>
        </xdr:nvCxnSpPr>
        <xdr:spPr>
          <a:xfrm>
            <a:off x="4156364" y="6572250"/>
            <a:ext cx="8659" cy="684068"/>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xnSp macro="">
        <xdr:nvCxnSpPr>
          <xdr:cNvPr id="229" name="Straight Arrow Connector 228"/>
          <xdr:cNvCxnSpPr/>
        </xdr:nvCxnSpPr>
        <xdr:spPr>
          <a:xfrm>
            <a:off x="4701886" y="6823364"/>
            <a:ext cx="0" cy="450272"/>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xnSp macro="">
        <xdr:nvCxnSpPr>
          <xdr:cNvPr id="232" name="Straight Arrow Connector 231"/>
          <xdr:cNvCxnSpPr/>
        </xdr:nvCxnSpPr>
        <xdr:spPr>
          <a:xfrm>
            <a:off x="4009159" y="6953250"/>
            <a:ext cx="8659" cy="3377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xnSp macro="">
        <xdr:nvCxnSpPr>
          <xdr:cNvPr id="234" name="Straight Arrow Connector 233"/>
          <xdr:cNvCxnSpPr/>
        </xdr:nvCxnSpPr>
        <xdr:spPr>
          <a:xfrm>
            <a:off x="4303568" y="6832023"/>
            <a:ext cx="0" cy="44161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xnSp macro="">
        <xdr:nvCxnSpPr>
          <xdr:cNvPr id="236" name="Straight Arrow Connector 235"/>
          <xdr:cNvCxnSpPr/>
        </xdr:nvCxnSpPr>
        <xdr:spPr>
          <a:xfrm>
            <a:off x="4450773" y="6944591"/>
            <a:ext cx="8659" cy="34636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xnSp macro="">
        <xdr:nvCxnSpPr>
          <xdr:cNvPr id="238" name="Straight Arrow Connector 237"/>
          <xdr:cNvCxnSpPr>
            <a:stCxn id="225" idx="2"/>
          </xdr:cNvCxnSpPr>
        </xdr:nvCxnSpPr>
        <xdr:spPr>
          <a:xfrm>
            <a:off x="4589318" y="7022523"/>
            <a:ext cx="8659" cy="2857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xnSp macro="">
        <xdr:nvCxnSpPr>
          <xdr:cNvPr id="248" name="Straight Arrow Connector 247"/>
          <xdr:cNvCxnSpPr/>
        </xdr:nvCxnSpPr>
        <xdr:spPr>
          <a:xfrm>
            <a:off x="4788477" y="7005205"/>
            <a:ext cx="8659" cy="29440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xdr:col>
      <xdr:colOff>398859</xdr:colOff>
      <xdr:row>52</xdr:row>
      <xdr:rowOff>142875</xdr:rowOff>
    </xdr:from>
    <xdr:to>
      <xdr:col>23</xdr:col>
      <xdr:colOff>29766</xdr:colOff>
      <xdr:row>53</xdr:row>
      <xdr:rowOff>35719</xdr:rowOff>
    </xdr:to>
    <xdr:cxnSp macro="">
      <xdr:nvCxnSpPr>
        <xdr:cNvPr id="5" name="Straight Connector 4"/>
        <xdr:cNvCxnSpPr/>
      </xdr:nvCxnSpPr>
      <xdr:spPr>
        <a:xfrm>
          <a:off x="9340453" y="9971484"/>
          <a:ext cx="71438" cy="83344"/>
        </a:xfrm>
        <a:prstGeom prst="line">
          <a:avLst/>
        </a:prstGeom>
        <a:ln w="158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370418</xdr:colOff>
      <xdr:row>51</xdr:row>
      <xdr:rowOff>121619</xdr:rowOff>
    </xdr:from>
    <xdr:to>
      <xdr:col>27</xdr:col>
      <xdr:colOff>275167</xdr:colOff>
      <xdr:row>68</xdr:row>
      <xdr:rowOff>0</xdr:rowOff>
    </xdr:to>
    <xdr:grpSp>
      <xdr:nvGrpSpPr>
        <xdr:cNvPr id="239" name="Group 238"/>
        <xdr:cNvGrpSpPr/>
      </xdr:nvGrpSpPr>
      <xdr:grpSpPr>
        <a:xfrm>
          <a:off x="6619875" y="10284794"/>
          <a:ext cx="0" cy="3116881"/>
          <a:chOff x="8403168" y="9760012"/>
          <a:chExt cx="3079110" cy="2972640"/>
        </a:xfrm>
      </xdr:grpSpPr>
      <xdr:grpSp>
        <xdr:nvGrpSpPr>
          <xdr:cNvPr id="26" name="Group 25"/>
          <xdr:cNvGrpSpPr/>
        </xdr:nvGrpSpPr>
        <xdr:grpSpPr>
          <a:xfrm>
            <a:off x="8403168" y="9760012"/>
            <a:ext cx="3079110" cy="2972640"/>
            <a:chOff x="8384407" y="9767486"/>
            <a:chExt cx="3076223" cy="2972640"/>
          </a:xfrm>
        </xdr:grpSpPr>
        <xdr:grpSp>
          <xdr:nvGrpSpPr>
            <xdr:cNvPr id="127" name="Group 126"/>
            <xdr:cNvGrpSpPr/>
          </xdr:nvGrpSpPr>
          <xdr:grpSpPr>
            <a:xfrm>
              <a:off x="8384407" y="9767486"/>
              <a:ext cx="3076223" cy="2972640"/>
              <a:chOff x="3456537" y="5192790"/>
              <a:chExt cx="3068527" cy="2972640"/>
            </a:xfrm>
          </xdr:grpSpPr>
          <xdr:sp macro="" textlink="">
            <xdr:nvSpPr>
              <xdr:cNvPr id="128" name="Arc 127"/>
              <xdr:cNvSpPr/>
            </xdr:nvSpPr>
            <xdr:spPr>
              <a:xfrm rot="9682015">
                <a:off x="4098958" y="6379437"/>
                <a:ext cx="882476" cy="772584"/>
              </a:xfrm>
              <a:prstGeom prst="arc">
                <a:avLst>
                  <a:gd name="adj1" fmla="val 17048269"/>
                  <a:gd name="adj2" fmla="val 19710311"/>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xnSp macro="">
            <xdr:nvCxnSpPr>
              <xdr:cNvPr id="129" name="Straight Connector 128"/>
              <xdr:cNvCxnSpPr/>
            </xdr:nvCxnSpPr>
            <xdr:spPr>
              <a:xfrm flipH="1" flipV="1">
                <a:off x="4284960" y="7050486"/>
                <a:ext cx="22412" cy="95250"/>
              </a:xfrm>
              <a:prstGeom prst="line">
                <a:avLst/>
              </a:prstGeom>
              <a:ln w="15875"/>
            </xdr:spPr>
            <xdr:style>
              <a:lnRef idx="1">
                <a:schemeClr val="accent1"/>
              </a:lnRef>
              <a:fillRef idx="0">
                <a:schemeClr val="accent1"/>
              </a:fillRef>
              <a:effectRef idx="0">
                <a:schemeClr val="accent1"/>
              </a:effectRef>
              <a:fontRef idx="minor">
                <a:schemeClr val="tx1"/>
              </a:fontRef>
            </xdr:style>
          </xdr:cxnSp>
          <xdr:grpSp>
            <xdr:nvGrpSpPr>
              <xdr:cNvPr id="130" name="Group 129"/>
              <xdr:cNvGrpSpPr/>
            </xdr:nvGrpSpPr>
            <xdr:grpSpPr>
              <a:xfrm>
                <a:off x="3456537" y="5192790"/>
                <a:ext cx="3068527" cy="2972640"/>
                <a:chOff x="3456537" y="5192790"/>
                <a:chExt cx="3068527" cy="2972640"/>
              </a:xfrm>
            </xdr:grpSpPr>
            <xdr:cxnSp macro="">
              <xdr:nvCxnSpPr>
                <xdr:cNvPr id="132" name="Straight Arrow Connector 131"/>
                <xdr:cNvCxnSpPr/>
              </xdr:nvCxnSpPr>
              <xdr:spPr>
                <a:xfrm flipH="1">
                  <a:off x="4183408" y="6889463"/>
                  <a:ext cx="254136" cy="386953"/>
                </a:xfrm>
                <a:prstGeom prst="straightConnector1">
                  <a:avLst/>
                </a:prstGeom>
                <a:ln w="15875">
                  <a:solidFill>
                    <a:srgbClr val="00B05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33" name="Straight Connector 132"/>
                <xdr:cNvCxnSpPr/>
              </xdr:nvCxnSpPr>
              <xdr:spPr>
                <a:xfrm>
                  <a:off x="4000500" y="5454560"/>
                  <a:ext cx="557746" cy="351"/>
                </a:xfrm>
                <a:prstGeom prst="line">
                  <a:avLst/>
                </a:prstGeom>
              </xdr:spPr>
              <xdr:style>
                <a:lnRef idx="1">
                  <a:schemeClr val="accent1"/>
                </a:lnRef>
                <a:fillRef idx="0">
                  <a:schemeClr val="accent1"/>
                </a:fillRef>
                <a:effectRef idx="0">
                  <a:schemeClr val="accent1"/>
                </a:effectRef>
                <a:fontRef idx="minor">
                  <a:schemeClr val="tx1"/>
                </a:fontRef>
              </xdr:style>
            </xdr:cxnSp>
            <xdr:grpSp>
              <xdr:nvGrpSpPr>
                <xdr:cNvPr id="134" name="Group 133"/>
                <xdr:cNvGrpSpPr/>
              </xdr:nvGrpSpPr>
              <xdr:grpSpPr>
                <a:xfrm>
                  <a:off x="3456537" y="5192790"/>
                  <a:ext cx="3068527" cy="2972640"/>
                  <a:chOff x="3456537" y="5192790"/>
                  <a:chExt cx="3068527" cy="2972640"/>
                </a:xfrm>
              </xdr:grpSpPr>
              <xdr:cxnSp macro="">
                <xdr:nvCxnSpPr>
                  <xdr:cNvPr id="137" name="Straight Connector 136"/>
                  <xdr:cNvCxnSpPr/>
                </xdr:nvCxnSpPr>
                <xdr:spPr>
                  <a:xfrm>
                    <a:off x="4171293" y="5775581"/>
                    <a:ext cx="0" cy="1513416"/>
                  </a:xfrm>
                  <a:prstGeom prst="line">
                    <a:avLst/>
                  </a:prstGeom>
                  <a:ln w="22225"/>
                </xdr:spPr>
                <xdr:style>
                  <a:lnRef idx="1">
                    <a:schemeClr val="accent1"/>
                  </a:lnRef>
                  <a:fillRef idx="0">
                    <a:schemeClr val="accent1"/>
                  </a:fillRef>
                  <a:effectRef idx="0">
                    <a:schemeClr val="accent1"/>
                  </a:effectRef>
                  <a:fontRef idx="minor">
                    <a:schemeClr val="tx1"/>
                  </a:fontRef>
                </xdr:style>
              </xdr:cxnSp>
              <xdr:cxnSp macro="">
                <xdr:nvCxnSpPr>
                  <xdr:cNvPr id="138" name="Straight Connector 137"/>
                  <xdr:cNvCxnSpPr/>
                </xdr:nvCxnSpPr>
                <xdr:spPr>
                  <a:xfrm flipV="1">
                    <a:off x="4171293" y="7278414"/>
                    <a:ext cx="1266278" cy="10584"/>
                  </a:xfrm>
                  <a:prstGeom prst="line">
                    <a:avLst/>
                  </a:prstGeom>
                  <a:ln w="22225"/>
                </xdr:spPr>
                <xdr:style>
                  <a:lnRef idx="1">
                    <a:schemeClr val="accent1"/>
                  </a:lnRef>
                  <a:fillRef idx="0">
                    <a:schemeClr val="accent1"/>
                  </a:fillRef>
                  <a:effectRef idx="0">
                    <a:schemeClr val="accent1"/>
                  </a:effectRef>
                  <a:fontRef idx="minor">
                    <a:schemeClr val="tx1"/>
                  </a:fontRef>
                </xdr:style>
              </xdr:cxnSp>
              <xdr:cxnSp macro="">
                <xdr:nvCxnSpPr>
                  <xdr:cNvPr id="139" name="Straight Connector 138"/>
                  <xdr:cNvCxnSpPr/>
                </xdr:nvCxnSpPr>
                <xdr:spPr>
                  <a:xfrm>
                    <a:off x="4266542" y="5775581"/>
                    <a:ext cx="0" cy="1428750"/>
                  </a:xfrm>
                  <a:prstGeom prst="line">
                    <a:avLst/>
                  </a:prstGeom>
                  <a:ln w="22225"/>
                </xdr:spPr>
                <xdr:style>
                  <a:lnRef idx="1">
                    <a:schemeClr val="accent1"/>
                  </a:lnRef>
                  <a:fillRef idx="0">
                    <a:schemeClr val="accent1"/>
                  </a:fillRef>
                  <a:effectRef idx="0">
                    <a:schemeClr val="accent1"/>
                  </a:effectRef>
                  <a:fontRef idx="minor">
                    <a:schemeClr val="tx1"/>
                  </a:fontRef>
                </xdr:style>
              </xdr:cxnSp>
              <xdr:cxnSp macro="">
                <xdr:nvCxnSpPr>
                  <xdr:cNvPr id="140" name="Straight Arrow Connector 139"/>
                  <xdr:cNvCxnSpPr/>
                </xdr:nvCxnSpPr>
                <xdr:spPr>
                  <a:xfrm flipH="1" flipV="1">
                    <a:off x="4183199" y="5766321"/>
                    <a:ext cx="250031" cy="1131093"/>
                  </a:xfrm>
                  <a:prstGeom prst="straightConnector1">
                    <a:avLst/>
                  </a:prstGeom>
                  <a:ln w="15875">
                    <a:solidFill>
                      <a:srgbClr val="00B05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41" name="Straight Arrow Connector 140"/>
                  <xdr:cNvCxnSpPr/>
                </xdr:nvCxnSpPr>
                <xdr:spPr>
                  <a:xfrm>
                    <a:off x="4439725" y="6897414"/>
                    <a:ext cx="1010546" cy="377825"/>
                  </a:xfrm>
                  <a:prstGeom prst="straightConnector1">
                    <a:avLst/>
                  </a:prstGeom>
                  <a:ln w="15875">
                    <a:solidFill>
                      <a:srgbClr val="00B05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42" name="Straight Arrow Connector 141"/>
                  <xdr:cNvCxnSpPr/>
                </xdr:nvCxnSpPr>
                <xdr:spPr>
                  <a:xfrm flipV="1">
                    <a:off x="3546437" y="5977030"/>
                    <a:ext cx="2402134" cy="1452563"/>
                  </a:xfrm>
                  <a:prstGeom prst="straightConnector1">
                    <a:avLst/>
                  </a:prstGeom>
                  <a:ln w="158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43" name="Straight Arrow Connector 142"/>
                  <xdr:cNvCxnSpPr/>
                </xdr:nvCxnSpPr>
                <xdr:spPr>
                  <a:xfrm>
                    <a:off x="3979598" y="6890404"/>
                    <a:ext cx="2545466" cy="5952"/>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44" name="Straight Arrow Connector 143"/>
                  <xdr:cNvCxnSpPr/>
                </xdr:nvCxnSpPr>
                <xdr:spPr>
                  <a:xfrm flipH="1" flipV="1">
                    <a:off x="3456537" y="5377374"/>
                    <a:ext cx="1815232" cy="2788056"/>
                  </a:xfrm>
                  <a:prstGeom prst="straightConnector1">
                    <a:avLst/>
                  </a:prstGeom>
                  <a:ln w="158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45" name="Straight Connector 144"/>
                  <xdr:cNvCxnSpPr/>
                </xdr:nvCxnSpPr>
                <xdr:spPr>
                  <a:xfrm>
                    <a:off x="5479743" y="7338451"/>
                    <a:ext cx="117837" cy="17808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6" name="Straight Connector 145"/>
                  <xdr:cNvCxnSpPr/>
                </xdr:nvCxnSpPr>
                <xdr:spPr>
                  <a:xfrm>
                    <a:off x="4240361" y="7471044"/>
                    <a:ext cx="371463" cy="59318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7" name="Straight Connector 146"/>
                  <xdr:cNvCxnSpPr/>
                </xdr:nvCxnSpPr>
                <xdr:spPr>
                  <a:xfrm flipV="1">
                    <a:off x="4354371" y="7353253"/>
                    <a:ext cx="1260218" cy="79107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8" name="Straight Connector 147"/>
                  <xdr:cNvCxnSpPr/>
                </xdr:nvCxnSpPr>
                <xdr:spPr>
                  <a:xfrm flipV="1">
                    <a:off x="4558796" y="7939741"/>
                    <a:ext cx="25440" cy="150863"/>
                  </a:xfrm>
                  <a:prstGeom prst="line">
                    <a:avLst/>
                  </a:prstGeom>
                  <a:ln w="22225"/>
                </xdr:spPr>
                <xdr:style>
                  <a:lnRef idx="1">
                    <a:schemeClr val="accent1"/>
                  </a:lnRef>
                  <a:fillRef idx="0">
                    <a:schemeClr val="accent1"/>
                  </a:fillRef>
                  <a:effectRef idx="0">
                    <a:schemeClr val="accent1"/>
                  </a:effectRef>
                  <a:fontRef idx="minor">
                    <a:schemeClr val="tx1"/>
                  </a:fontRef>
                </xdr:style>
              </xdr:cxnSp>
              <xdr:cxnSp macro="">
                <xdr:nvCxnSpPr>
                  <xdr:cNvPr id="149" name="Straight Connector 148"/>
                  <xdr:cNvCxnSpPr/>
                </xdr:nvCxnSpPr>
                <xdr:spPr>
                  <a:xfrm flipV="1">
                    <a:off x="4994360" y="7665269"/>
                    <a:ext cx="13607" cy="136603"/>
                  </a:xfrm>
                  <a:prstGeom prst="line">
                    <a:avLst/>
                  </a:prstGeom>
                  <a:ln w="22225"/>
                </xdr:spPr>
                <xdr:style>
                  <a:lnRef idx="1">
                    <a:schemeClr val="accent1"/>
                  </a:lnRef>
                  <a:fillRef idx="0">
                    <a:schemeClr val="accent1"/>
                  </a:fillRef>
                  <a:effectRef idx="0">
                    <a:schemeClr val="accent1"/>
                  </a:effectRef>
                  <a:fontRef idx="minor">
                    <a:schemeClr val="tx1"/>
                  </a:fontRef>
                </xdr:style>
              </xdr:cxnSp>
              <xdr:cxnSp macro="">
                <xdr:nvCxnSpPr>
                  <xdr:cNvPr id="150" name="Straight Connector 149"/>
                  <xdr:cNvCxnSpPr/>
                </xdr:nvCxnSpPr>
                <xdr:spPr>
                  <a:xfrm flipV="1">
                    <a:off x="5517192" y="7343528"/>
                    <a:ext cx="6804" cy="115661"/>
                  </a:xfrm>
                  <a:prstGeom prst="line">
                    <a:avLst/>
                  </a:prstGeom>
                  <a:ln w="22225"/>
                </xdr:spPr>
                <xdr:style>
                  <a:lnRef idx="1">
                    <a:schemeClr val="accent1"/>
                  </a:lnRef>
                  <a:fillRef idx="0">
                    <a:schemeClr val="accent1"/>
                  </a:fillRef>
                  <a:effectRef idx="0">
                    <a:schemeClr val="accent1"/>
                  </a:effectRef>
                  <a:fontRef idx="minor">
                    <a:schemeClr val="tx1"/>
                  </a:fontRef>
                </xdr:style>
              </xdr:cxnSp>
              <xdr:sp macro="" textlink="">
                <xdr:nvSpPr>
                  <xdr:cNvPr id="151" name="Arc 150"/>
                  <xdr:cNvSpPr/>
                </xdr:nvSpPr>
                <xdr:spPr>
                  <a:xfrm rot="2432515">
                    <a:off x="4258524" y="6425841"/>
                    <a:ext cx="852970" cy="772584"/>
                  </a:xfrm>
                  <a:prstGeom prst="arc">
                    <a:avLst>
                      <a:gd name="adj1" fmla="val 16373434"/>
                      <a:gd name="adj2" fmla="val 19978305"/>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152" name="Arc 151"/>
                  <xdr:cNvSpPr/>
                </xdr:nvSpPr>
                <xdr:spPr>
                  <a:xfrm rot="3749694">
                    <a:off x="4267653" y="6546274"/>
                    <a:ext cx="817239" cy="877389"/>
                  </a:xfrm>
                  <a:prstGeom prst="arc">
                    <a:avLst>
                      <a:gd name="adj1" fmla="val 16382499"/>
                      <a:gd name="adj2" fmla="val 19978305"/>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153" name="Arc 152"/>
                  <xdr:cNvSpPr/>
                </xdr:nvSpPr>
                <xdr:spPr>
                  <a:xfrm rot="18400859">
                    <a:off x="4191777" y="6233348"/>
                    <a:ext cx="493810" cy="565201"/>
                  </a:xfrm>
                  <a:prstGeom prst="arc">
                    <a:avLst>
                      <a:gd name="adj1" fmla="val 16373434"/>
                      <a:gd name="adj2" fmla="val 20595872"/>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xnSp macro="">
                <xdr:nvCxnSpPr>
                  <xdr:cNvPr id="154" name="Straight Connector 153"/>
                  <xdr:cNvCxnSpPr/>
                </xdr:nvCxnSpPr>
                <xdr:spPr>
                  <a:xfrm flipH="1">
                    <a:off x="5059829" y="6851830"/>
                    <a:ext cx="101600" cy="69850"/>
                  </a:xfrm>
                  <a:prstGeom prst="line">
                    <a:avLst/>
                  </a:prstGeom>
                  <a:ln w="15875"/>
                </xdr:spPr>
                <xdr:style>
                  <a:lnRef idx="1">
                    <a:schemeClr val="accent1"/>
                  </a:lnRef>
                  <a:fillRef idx="0">
                    <a:schemeClr val="accent1"/>
                  </a:fillRef>
                  <a:effectRef idx="0">
                    <a:schemeClr val="accent1"/>
                  </a:effectRef>
                  <a:fontRef idx="minor">
                    <a:schemeClr val="tx1"/>
                  </a:fontRef>
                </xdr:style>
              </xdr:cxnSp>
              <xdr:cxnSp macro="">
                <xdr:nvCxnSpPr>
                  <xdr:cNvPr id="155" name="Straight Connector 154"/>
                  <xdr:cNvCxnSpPr/>
                </xdr:nvCxnSpPr>
                <xdr:spPr>
                  <a:xfrm>
                    <a:off x="5038641" y="7090155"/>
                    <a:ext cx="57150" cy="90394"/>
                  </a:xfrm>
                  <a:prstGeom prst="line">
                    <a:avLst/>
                  </a:prstGeom>
                  <a:ln w="15875"/>
                </xdr:spPr>
                <xdr:style>
                  <a:lnRef idx="1">
                    <a:schemeClr val="accent1"/>
                  </a:lnRef>
                  <a:fillRef idx="0">
                    <a:schemeClr val="accent1"/>
                  </a:fillRef>
                  <a:effectRef idx="0">
                    <a:schemeClr val="accent1"/>
                  </a:effectRef>
                  <a:fontRef idx="minor">
                    <a:schemeClr val="tx1"/>
                  </a:fontRef>
                </xdr:style>
              </xdr:cxnSp>
              <xdr:cxnSp macro="">
                <xdr:nvCxnSpPr>
                  <xdr:cNvPr id="156" name="Straight Connector 155"/>
                  <xdr:cNvCxnSpPr/>
                </xdr:nvCxnSpPr>
                <xdr:spPr>
                  <a:xfrm flipH="1">
                    <a:off x="4971676" y="6497210"/>
                    <a:ext cx="25400" cy="171450"/>
                  </a:xfrm>
                  <a:prstGeom prst="line">
                    <a:avLst/>
                  </a:prstGeom>
                  <a:ln w="15875"/>
                </xdr:spPr>
                <xdr:style>
                  <a:lnRef idx="1">
                    <a:schemeClr val="accent1"/>
                  </a:lnRef>
                  <a:fillRef idx="0">
                    <a:schemeClr val="accent1"/>
                  </a:fillRef>
                  <a:effectRef idx="0">
                    <a:schemeClr val="accent1"/>
                  </a:effectRef>
                  <a:fontRef idx="minor">
                    <a:schemeClr val="tx1"/>
                  </a:fontRef>
                </xdr:style>
              </xdr:cxnSp>
              <xdr:cxnSp macro="">
                <xdr:nvCxnSpPr>
                  <xdr:cNvPr id="157" name="Straight Connector 156"/>
                  <xdr:cNvCxnSpPr/>
                </xdr:nvCxnSpPr>
                <xdr:spPr>
                  <a:xfrm flipV="1">
                    <a:off x="4379562" y="7129065"/>
                    <a:ext cx="112058" cy="67236"/>
                  </a:xfrm>
                  <a:prstGeom prst="line">
                    <a:avLst/>
                  </a:prstGeom>
                  <a:ln w="15875"/>
                </xdr:spPr>
                <xdr:style>
                  <a:lnRef idx="1">
                    <a:schemeClr val="accent1"/>
                  </a:lnRef>
                  <a:fillRef idx="0">
                    <a:schemeClr val="accent1"/>
                  </a:fillRef>
                  <a:effectRef idx="0">
                    <a:schemeClr val="accent1"/>
                  </a:effectRef>
                  <a:fontRef idx="minor">
                    <a:schemeClr val="tx1"/>
                  </a:fontRef>
                </xdr:style>
              </xdr:cxnSp>
              <xdr:cxnSp macro="">
                <xdr:nvCxnSpPr>
                  <xdr:cNvPr id="158" name="Straight Connector 157"/>
                  <xdr:cNvCxnSpPr/>
                </xdr:nvCxnSpPr>
                <xdr:spPr>
                  <a:xfrm>
                    <a:off x="4183199" y="5283593"/>
                    <a:ext cx="5953" cy="33707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9" name="Straight Connector 158"/>
                  <xdr:cNvCxnSpPr/>
                </xdr:nvCxnSpPr>
                <xdr:spPr>
                  <a:xfrm>
                    <a:off x="5561861" y="7284367"/>
                    <a:ext cx="392906" cy="595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0" name="Straight Connector 159"/>
                  <xdr:cNvCxnSpPr/>
                </xdr:nvCxnSpPr>
                <xdr:spPr>
                  <a:xfrm>
                    <a:off x="5733455" y="6777162"/>
                    <a:ext cx="0" cy="57745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1" name="Straight Connector 160"/>
                  <xdr:cNvCxnSpPr/>
                </xdr:nvCxnSpPr>
                <xdr:spPr>
                  <a:xfrm flipH="1">
                    <a:off x="5684496" y="7254205"/>
                    <a:ext cx="83344" cy="65483"/>
                  </a:xfrm>
                  <a:prstGeom prst="line">
                    <a:avLst/>
                  </a:prstGeom>
                  <a:ln w="19050"/>
                </xdr:spPr>
                <xdr:style>
                  <a:lnRef idx="1">
                    <a:schemeClr val="accent1"/>
                  </a:lnRef>
                  <a:fillRef idx="0">
                    <a:schemeClr val="accent1"/>
                  </a:fillRef>
                  <a:effectRef idx="0">
                    <a:schemeClr val="accent1"/>
                  </a:effectRef>
                  <a:fontRef idx="minor">
                    <a:schemeClr val="tx1"/>
                  </a:fontRef>
                </xdr:style>
              </xdr:cxnSp>
              <xdr:cxnSp macro="">
                <xdr:nvCxnSpPr>
                  <xdr:cNvPr id="162" name="Straight Connector 161"/>
                  <xdr:cNvCxnSpPr/>
                </xdr:nvCxnSpPr>
                <xdr:spPr>
                  <a:xfrm flipH="1">
                    <a:off x="5684495" y="6855742"/>
                    <a:ext cx="77390" cy="59532"/>
                  </a:xfrm>
                  <a:prstGeom prst="line">
                    <a:avLst/>
                  </a:prstGeom>
                  <a:ln w="19050"/>
                </xdr:spPr>
                <xdr:style>
                  <a:lnRef idx="1">
                    <a:schemeClr val="accent1"/>
                  </a:lnRef>
                  <a:fillRef idx="0">
                    <a:schemeClr val="accent1"/>
                  </a:fillRef>
                  <a:effectRef idx="0">
                    <a:schemeClr val="accent1"/>
                  </a:effectRef>
                  <a:fontRef idx="minor">
                    <a:schemeClr val="tx1"/>
                  </a:fontRef>
                </xdr:style>
              </xdr:cxnSp>
              <xdr:cxnSp macro="">
                <xdr:nvCxnSpPr>
                  <xdr:cNvPr id="163" name="Straight Connector 162"/>
                  <xdr:cNvCxnSpPr/>
                </xdr:nvCxnSpPr>
                <xdr:spPr>
                  <a:xfrm>
                    <a:off x="4155678" y="5405698"/>
                    <a:ext cx="81496" cy="109538"/>
                  </a:xfrm>
                  <a:prstGeom prst="line">
                    <a:avLst/>
                  </a:prstGeom>
                  <a:ln w="19050"/>
                </xdr:spPr>
                <xdr:style>
                  <a:lnRef idx="1">
                    <a:schemeClr val="accent1"/>
                  </a:lnRef>
                  <a:fillRef idx="0">
                    <a:schemeClr val="accent1"/>
                  </a:fillRef>
                  <a:effectRef idx="0">
                    <a:schemeClr val="accent1"/>
                  </a:effectRef>
                  <a:fontRef idx="minor">
                    <a:schemeClr val="tx1"/>
                  </a:fontRef>
                </xdr:style>
              </xdr:cxnSp>
              <xdr:cxnSp macro="">
                <xdr:nvCxnSpPr>
                  <xdr:cNvPr id="164" name="Straight Arrow Connector 163"/>
                  <xdr:cNvCxnSpPr/>
                </xdr:nvCxnSpPr>
                <xdr:spPr>
                  <a:xfrm>
                    <a:off x="3775364" y="6325914"/>
                    <a:ext cx="351777" cy="56554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xnSp macro="">
                <xdr:nvCxnSpPr>
                  <xdr:cNvPr id="165" name="Straight Connector 164"/>
                  <xdr:cNvCxnSpPr/>
                </xdr:nvCxnSpPr>
                <xdr:spPr>
                  <a:xfrm flipV="1">
                    <a:off x="5853914" y="6687865"/>
                    <a:ext cx="634253" cy="40004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6" name="Straight Connector 165"/>
                  <xdr:cNvCxnSpPr/>
                </xdr:nvCxnSpPr>
                <xdr:spPr>
                  <a:xfrm>
                    <a:off x="5462971" y="6122714"/>
                    <a:ext cx="658484" cy="10128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7" name="Straight Connector 166"/>
                  <xdr:cNvCxnSpPr/>
                </xdr:nvCxnSpPr>
                <xdr:spPr>
                  <a:xfrm flipV="1">
                    <a:off x="4253843" y="5258457"/>
                    <a:ext cx="751928" cy="47121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8" name="Straight Connector 167"/>
                  <xdr:cNvCxnSpPr/>
                </xdr:nvCxnSpPr>
                <xdr:spPr>
                  <a:xfrm>
                    <a:off x="4755493" y="5321957"/>
                    <a:ext cx="701128" cy="106745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9" name="Straight Connector 168"/>
                  <xdr:cNvCxnSpPr/>
                </xdr:nvCxnSpPr>
                <xdr:spPr>
                  <a:xfrm flipH="1">
                    <a:off x="4799943" y="5283857"/>
                    <a:ext cx="12700" cy="158750"/>
                  </a:xfrm>
                  <a:prstGeom prst="line">
                    <a:avLst/>
                  </a:prstGeom>
                  <a:ln w="19050"/>
                </xdr:spPr>
                <xdr:style>
                  <a:lnRef idx="1">
                    <a:schemeClr val="accent1"/>
                  </a:lnRef>
                  <a:fillRef idx="0">
                    <a:schemeClr val="accent1"/>
                  </a:fillRef>
                  <a:effectRef idx="0">
                    <a:schemeClr val="accent1"/>
                  </a:effectRef>
                  <a:fontRef idx="minor">
                    <a:schemeClr val="tx1"/>
                  </a:fontRef>
                </xdr:style>
              </xdr:cxnSp>
              <xdr:cxnSp macro="">
                <xdr:nvCxnSpPr>
                  <xdr:cNvPr id="170" name="Straight Connector 169"/>
                  <xdr:cNvCxnSpPr/>
                </xdr:nvCxnSpPr>
                <xdr:spPr>
                  <a:xfrm flipH="1">
                    <a:off x="5380421" y="6237014"/>
                    <a:ext cx="6350" cy="114300"/>
                  </a:xfrm>
                  <a:prstGeom prst="line">
                    <a:avLst/>
                  </a:prstGeom>
                  <a:ln w="15875"/>
                </xdr:spPr>
                <xdr:style>
                  <a:lnRef idx="1">
                    <a:schemeClr val="accent1"/>
                  </a:lnRef>
                  <a:fillRef idx="0">
                    <a:schemeClr val="accent1"/>
                  </a:fillRef>
                  <a:effectRef idx="0">
                    <a:schemeClr val="accent1"/>
                  </a:effectRef>
                  <a:fontRef idx="minor">
                    <a:schemeClr val="tx1"/>
                  </a:fontRef>
                </xdr:style>
              </xdr:cxnSp>
              <xdr:cxnSp macro="">
                <xdr:nvCxnSpPr>
                  <xdr:cNvPr id="171" name="Straight Connector 170"/>
                  <xdr:cNvCxnSpPr/>
                </xdr:nvCxnSpPr>
                <xdr:spPr>
                  <a:xfrm flipH="1">
                    <a:off x="5517220" y="6152998"/>
                    <a:ext cx="31750" cy="147027"/>
                  </a:xfrm>
                  <a:prstGeom prst="line">
                    <a:avLst/>
                  </a:prstGeom>
                  <a:ln w="15875"/>
                </xdr:spPr>
                <xdr:style>
                  <a:lnRef idx="1">
                    <a:schemeClr val="accent1"/>
                  </a:lnRef>
                  <a:fillRef idx="0">
                    <a:schemeClr val="accent1"/>
                  </a:fillRef>
                  <a:effectRef idx="0">
                    <a:schemeClr val="accent1"/>
                  </a:effectRef>
                  <a:fontRef idx="minor">
                    <a:schemeClr val="tx1"/>
                  </a:fontRef>
                </xdr:style>
              </xdr:cxnSp>
              <xdr:cxnSp macro="">
                <xdr:nvCxnSpPr>
                  <xdr:cNvPr id="172" name="Straight Connector 171"/>
                  <xdr:cNvCxnSpPr/>
                </xdr:nvCxnSpPr>
                <xdr:spPr>
                  <a:xfrm flipH="1">
                    <a:off x="6008345" y="6937499"/>
                    <a:ext cx="35190" cy="73024"/>
                  </a:xfrm>
                  <a:prstGeom prst="line">
                    <a:avLst/>
                  </a:prstGeom>
                  <a:ln w="22225"/>
                </xdr:spPr>
                <xdr:style>
                  <a:lnRef idx="1">
                    <a:schemeClr val="accent1"/>
                  </a:lnRef>
                  <a:fillRef idx="0">
                    <a:schemeClr val="accent1"/>
                  </a:fillRef>
                  <a:effectRef idx="0">
                    <a:schemeClr val="accent1"/>
                  </a:effectRef>
                  <a:fontRef idx="minor">
                    <a:schemeClr val="tx1"/>
                  </a:fontRef>
                </xdr:style>
              </xdr:cxnSp>
              <xdr:cxnSp macro="">
                <xdr:nvCxnSpPr>
                  <xdr:cNvPr id="173" name="Straight Arrow Connector 172"/>
                  <xdr:cNvCxnSpPr/>
                </xdr:nvCxnSpPr>
                <xdr:spPr>
                  <a:xfrm flipH="1" flipV="1">
                    <a:off x="4436139" y="5192790"/>
                    <a:ext cx="9322" cy="225815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grpSp>
        </xdr:grpSp>
        <xdr:cxnSp macro="">
          <xdr:nvCxnSpPr>
            <xdr:cNvPr id="9" name="Straight Connector 8"/>
            <xdr:cNvCxnSpPr/>
          </xdr:nvCxnSpPr>
          <xdr:spPr>
            <a:xfrm>
              <a:off x="9097122" y="10354856"/>
              <a:ext cx="113110" cy="0"/>
            </a:xfrm>
            <a:prstGeom prst="line">
              <a:avLst/>
            </a:prstGeom>
            <a:ln w="25400"/>
          </xdr:spPr>
          <xdr:style>
            <a:lnRef idx="1">
              <a:schemeClr val="accent1"/>
            </a:lnRef>
            <a:fillRef idx="0">
              <a:schemeClr val="accent1"/>
            </a:fillRef>
            <a:effectRef idx="0">
              <a:schemeClr val="accent1"/>
            </a:effectRef>
            <a:fontRef idx="minor">
              <a:schemeClr val="tx1"/>
            </a:fontRef>
          </xdr:style>
        </xdr:cxnSp>
        <xdr:cxnSp macro="">
          <xdr:nvCxnSpPr>
            <xdr:cNvPr id="11" name="Straight Connector 10"/>
            <xdr:cNvCxnSpPr/>
          </xdr:nvCxnSpPr>
          <xdr:spPr>
            <a:xfrm>
              <a:off x="9200062" y="11764740"/>
              <a:ext cx="1163541" cy="3400"/>
            </a:xfrm>
            <a:prstGeom prst="line">
              <a:avLst/>
            </a:prstGeom>
            <a:ln w="22225"/>
          </xdr:spPr>
          <xdr:style>
            <a:lnRef idx="1">
              <a:schemeClr val="accent1"/>
            </a:lnRef>
            <a:fillRef idx="0">
              <a:schemeClr val="accent1"/>
            </a:fillRef>
            <a:effectRef idx="0">
              <a:schemeClr val="accent1"/>
            </a:effectRef>
            <a:fontRef idx="minor">
              <a:schemeClr val="tx1"/>
            </a:fontRef>
          </xdr:style>
        </xdr:cxnSp>
        <xdr:cxnSp macro="">
          <xdr:nvCxnSpPr>
            <xdr:cNvPr id="24" name="Straight Connector 23"/>
            <xdr:cNvCxnSpPr/>
          </xdr:nvCxnSpPr>
          <xdr:spPr>
            <a:xfrm>
              <a:off x="10363282" y="11769148"/>
              <a:ext cx="0" cy="81643"/>
            </a:xfrm>
            <a:prstGeom prst="line">
              <a:avLst/>
            </a:prstGeom>
            <a:ln w="25400"/>
          </xdr:spPr>
          <xdr:style>
            <a:lnRef idx="1">
              <a:schemeClr val="accent1"/>
            </a:lnRef>
            <a:fillRef idx="0">
              <a:schemeClr val="accent1"/>
            </a:fillRef>
            <a:effectRef idx="0">
              <a:schemeClr val="accent1"/>
            </a:effectRef>
            <a:fontRef idx="minor">
              <a:schemeClr val="tx1"/>
            </a:fontRef>
          </xdr:style>
        </xdr:cxnSp>
      </xdr:grpSp>
      <xdr:cxnSp macro="">
        <xdr:nvCxnSpPr>
          <xdr:cNvPr id="30" name="Straight Connector 29"/>
          <xdr:cNvCxnSpPr/>
        </xdr:nvCxnSpPr>
        <xdr:spPr>
          <a:xfrm>
            <a:off x="9360580" y="10791030"/>
            <a:ext cx="70872" cy="91440"/>
          </a:xfrm>
          <a:prstGeom prst="line">
            <a:avLst/>
          </a:prstGeom>
          <a:ln w="15875"/>
        </xdr:spPr>
        <xdr:style>
          <a:lnRef idx="1">
            <a:schemeClr val="accent1"/>
          </a:lnRef>
          <a:fillRef idx="0">
            <a:schemeClr val="accent1"/>
          </a:fillRef>
          <a:effectRef idx="0">
            <a:schemeClr val="accent1"/>
          </a:effectRef>
          <a:fontRef idx="minor">
            <a:schemeClr val="tx1"/>
          </a:fontRef>
        </xdr:style>
      </xdr:cxnSp>
      <xdr:cxnSp macro="">
        <xdr:nvCxnSpPr>
          <xdr:cNvPr id="237" name="Straight Connector 236"/>
          <xdr:cNvCxnSpPr/>
        </xdr:nvCxnSpPr>
        <xdr:spPr>
          <a:xfrm flipH="1">
            <a:off x="9233203" y="10812298"/>
            <a:ext cx="25488" cy="91440"/>
          </a:xfrm>
          <a:prstGeom prst="line">
            <a:avLst/>
          </a:prstGeom>
          <a:ln w="15875"/>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24</xdr:col>
      <xdr:colOff>170845</xdr:colOff>
      <xdr:row>59</xdr:row>
      <xdr:rowOff>10100</xdr:rowOff>
    </xdr:from>
    <xdr:to>
      <xdr:col>24</xdr:col>
      <xdr:colOff>170845</xdr:colOff>
      <xdr:row>59</xdr:row>
      <xdr:rowOff>10100</xdr:rowOff>
    </xdr:to>
    <xdr:cxnSp macro="">
      <xdr:nvCxnSpPr>
        <xdr:cNvPr id="126" name="Straight Connector 125"/>
        <xdr:cNvCxnSpPr/>
      </xdr:nvCxnSpPr>
      <xdr:spPr>
        <a:xfrm>
          <a:off x="4990495" y="6515675"/>
          <a:ext cx="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170845</xdr:colOff>
      <xdr:row>61</xdr:row>
      <xdr:rowOff>10100</xdr:rowOff>
    </xdr:from>
    <xdr:to>
      <xdr:col>24</xdr:col>
      <xdr:colOff>170845</xdr:colOff>
      <xdr:row>61</xdr:row>
      <xdr:rowOff>10100</xdr:rowOff>
    </xdr:to>
    <xdr:cxnSp macro="">
      <xdr:nvCxnSpPr>
        <xdr:cNvPr id="131" name="Straight Connector 130"/>
        <xdr:cNvCxnSpPr/>
      </xdr:nvCxnSpPr>
      <xdr:spPr>
        <a:xfrm>
          <a:off x="4990495" y="6515675"/>
          <a:ext cx="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170845</xdr:colOff>
      <xdr:row>57</xdr:row>
      <xdr:rowOff>10100</xdr:rowOff>
    </xdr:from>
    <xdr:to>
      <xdr:col>23</xdr:col>
      <xdr:colOff>170845</xdr:colOff>
      <xdr:row>57</xdr:row>
      <xdr:rowOff>10100</xdr:rowOff>
    </xdr:to>
    <xdr:cxnSp macro="">
      <xdr:nvCxnSpPr>
        <xdr:cNvPr id="174" name="Straight Connector 173"/>
        <xdr:cNvCxnSpPr/>
      </xdr:nvCxnSpPr>
      <xdr:spPr>
        <a:xfrm>
          <a:off x="10303064" y="11713944"/>
          <a:ext cx="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61956</xdr:colOff>
      <xdr:row>63</xdr:row>
      <xdr:rowOff>82269</xdr:rowOff>
    </xdr:from>
    <xdr:to>
      <xdr:col>22</xdr:col>
      <xdr:colOff>61956</xdr:colOff>
      <xdr:row>63</xdr:row>
      <xdr:rowOff>82269</xdr:rowOff>
    </xdr:to>
    <xdr:cxnSp macro="">
      <xdr:nvCxnSpPr>
        <xdr:cNvPr id="175" name="Straight Connector 174"/>
        <xdr:cNvCxnSpPr/>
      </xdr:nvCxnSpPr>
      <xdr:spPr>
        <a:xfrm>
          <a:off x="4233906" y="7540344"/>
          <a:ext cx="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gram%20Files\XLC\XLC.xla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emp"/>
      <sheetName val="Sheet2"/>
    </sheetNames>
    <definedNames>
      <definedName name="EQS"/>
    </defined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dimension ref="A1:AZ22"/>
  <sheetViews>
    <sheetView showGridLines="0" workbookViewId="0"/>
  </sheetViews>
  <sheetFormatPr defaultRowHeight="15"/>
  <cols>
    <col min="1" max="1" width="23.5703125" bestFit="1" customWidth="1"/>
    <col min="2" max="52" width="8.7109375" customWidth="1"/>
  </cols>
  <sheetData>
    <row r="1" spans="1:52" ht="15" customHeight="1">
      <c r="A1" s="4"/>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row>
    <row r="2" spans="1:52">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5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row>
    <row r="4" spans="1:52">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row>
    <row r="5" spans="1:52">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row>
    <row r="6" spans="1:52">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row>
    <row r="7" spans="1:52">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row>
    <row r="8" spans="1:52">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row>
    <row r="9" spans="1:52">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row>
    <row r="10" spans="1:52">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row>
    <row r="11" spans="1:52">
      <c r="A11" s="4"/>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row>
    <row r="12" spans="1:52">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row>
    <row r="13" spans="1:52">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row>
    <row r="14" spans="1:52">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row>
    <row r="15" spans="1:52">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row>
    <row r="16" spans="1:52">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row>
    <row r="17" spans="1:52">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row>
    <row r="18" spans="1:52">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row>
    <row r="19" spans="1:52">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row>
    <row r="20" spans="1:52">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row>
    <row r="21" spans="1:52">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row>
    <row r="22" spans="1:52">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D711"/>
  <sheetViews>
    <sheetView workbookViewId="0">
      <pane ySplit="4" topLeftCell="A5" activePane="bottomLeft" state="frozen"/>
      <selection pane="bottomLeft" activeCell="F38" sqref="F38"/>
    </sheetView>
  </sheetViews>
  <sheetFormatPr defaultRowHeight="15"/>
  <cols>
    <col min="1" max="1" width="4.7109375" style="7" customWidth="1"/>
    <col min="2" max="2" width="6.7109375" style="7" customWidth="1"/>
    <col min="3" max="3" width="7.7109375" style="7" customWidth="1"/>
    <col min="4" max="4" width="6.7109375" style="7" customWidth="1"/>
    <col min="5" max="5" width="5.85546875" style="7" customWidth="1"/>
    <col min="6" max="6" width="15.7109375" style="7" customWidth="1"/>
    <col min="7" max="7" width="28.5703125" customWidth="1"/>
    <col min="8" max="8" width="12" customWidth="1"/>
    <col min="9" max="17" width="8.7109375" customWidth="1"/>
    <col min="18" max="18" width="10.7109375" customWidth="1"/>
    <col min="19" max="19" width="9.28515625" customWidth="1"/>
    <col min="20" max="21" width="10.140625" customWidth="1"/>
    <col min="22" max="22" width="26.28515625" customWidth="1"/>
    <col min="23" max="23" width="7.28515625" customWidth="1"/>
    <col min="24" max="29" width="8.7109375" customWidth="1"/>
    <col min="30" max="30" width="9.140625" style="2"/>
  </cols>
  <sheetData>
    <row r="1" spans="1:30" ht="23.25" customHeight="1">
      <c r="A1" s="258" t="s">
        <v>690</v>
      </c>
      <c r="B1" s="259"/>
      <c r="C1" s="259"/>
      <c r="D1" s="259"/>
      <c r="E1" s="259"/>
      <c r="F1" s="260"/>
      <c r="G1" s="267" t="s">
        <v>692</v>
      </c>
      <c r="H1" s="268"/>
      <c r="I1" s="268"/>
      <c r="J1" s="268"/>
      <c r="K1" s="268"/>
      <c r="L1" s="268"/>
      <c r="M1" s="268"/>
      <c r="N1" s="268"/>
      <c r="O1" s="268"/>
      <c r="P1" s="268"/>
      <c r="Q1" s="268"/>
      <c r="R1" s="269"/>
      <c r="S1" s="27"/>
      <c r="T1" s="25"/>
      <c r="U1" s="35"/>
      <c r="V1" s="257" t="s">
        <v>691</v>
      </c>
      <c r="W1" s="257"/>
      <c r="X1" s="257"/>
      <c r="Y1" s="257"/>
      <c r="Z1" s="257"/>
      <c r="AA1" s="257"/>
      <c r="AB1" s="257"/>
      <c r="AC1" s="257"/>
    </row>
    <row r="2" spans="1:30" s="10" customFormat="1" ht="17.25" customHeight="1">
      <c r="A2" s="46">
        <v>1</v>
      </c>
      <c r="B2" s="29">
        <v>2</v>
      </c>
      <c r="C2" s="46">
        <v>3</v>
      </c>
      <c r="D2" s="46">
        <v>4</v>
      </c>
      <c r="E2" s="29">
        <v>5</v>
      </c>
      <c r="F2" s="16"/>
      <c r="G2" s="270"/>
      <c r="H2" s="271"/>
      <c r="I2" s="271"/>
      <c r="J2" s="271"/>
      <c r="K2" s="271"/>
      <c r="L2" s="271"/>
      <c r="M2" s="271"/>
      <c r="N2" s="271"/>
      <c r="O2" s="271"/>
      <c r="P2" s="271"/>
      <c r="Q2" s="271"/>
      <c r="R2" s="272"/>
      <c r="S2" s="28"/>
      <c r="T2" s="26"/>
      <c r="U2" s="36"/>
      <c r="V2" s="257"/>
      <c r="W2" s="257"/>
      <c r="X2" s="257"/>
      <c r="Y2" s="257"/>
      <c r="Z2" s="257"/>
      <c r="AA2" s="257"/>
      <c r="AB2" s="257"/>
      <c r="AC2" s="257"/>
    </row>
    <row r="3" spans="1:30" s="10" customFormat="1" ht="17.25" customHeight="1">
      <c r="A3" s="48"/>
      <c r="B3" s="263" t="s">
        <v>700</v>
      </c>
      <c r="C3" s="263" t="s">
        <v>688</v>
      </c>
      <c r="D3" s="255" t="s">
        <v>919</v>
      </c>
      <c r="E3" s="49"/>
      <c r="F3" s="261" t="s">
        <v>699</v>
      </c>
      <c r="G3" s="252" t="s">
        <v>277</v>
      </c>
      <c r="H3" s="265" t="s">
        <v>693</v>
      </c>
      <c r="I3" s="252" t="s">
        <v>6</v>
      </c>
      <c r="J3" s="252" t="s">
        <v>284</v>
      </c>
      <c r="K3" s="252" t="s">
        <v>285</v>
      </c>
      <c r="L3" s="252" t="s">
        <v>278</v>
      </c>
      <c r="M3" s="252" t="s">
        <v>279</v>
      </c>
      <c r="N3" s="252" t="s">
        <v>280</v>
      </c>
      <c r="O3" s="253" t="s">
        <v>281</v>
      </c>
      <c r="P3" s="252" t="s">
        <v>282</v>
      </c>
      <c r="Q3" s="252" t="s">
        <v>283</v>
      </c>
      <c r="R3" s="253" t="s">
        <v>727</v>
      </c>
      <c r="S3" s="265" t="s">
        <v>737</v>
      </c>
      <c r="T3" s="253" t="s">
        <v>726</v>
      </c>
      <c r="U3" s="253" t="s">
        <v>792</v>
      </c>
      <c r="V3" s="252" t="s">
        <v>277</v>
      </c>
      <c r="W3" s="253" t="s">
        <v>688</v>
      </c>
      <c r="X3" s="252" t="s">
        <v>278</v>
      </c>
      <c r="Y3" s="252" t="s">
        <v>279</v>
      </c>
      <c r="Z3" s="252" t="s">
        <v>280</v>
      </c>
      <c r="AA3" s="252" t="s">
        <v>281</v>
      </c>
      <c r="AB3" s="252" t="s">
        <v>282</v>
      </c>
      <c r="AC3" s="252" t="s">
        <v>283</v>
      </c>
    </row>
    <row r="4" spans="1:30" s="11" customFormat="1" ht="17.25" customHeight="1">
      <c r="A4" s="50"/>
      <c r="B4" s="264"/>
      <c r="C4" s="264"/>
      <c r="D4" s="256"/>
      <c r="E4" s="51"/>
      <c r="F4" s="262"/>
      <c r="G4" s="252"/>
      <c r="H4" s="266"/>
      <c r="I4" s="252"/>
      <c r="J4" s="252"/>
      <c r="K4" s="252"/>
      <c r="L4" s="252"/>
      <c r="M4" s="252"/>
      <c r="N4" s="252"/>
      <c r="O4" s="254"/>
      <c r="P4" s="252"/>
      <c r="Q4" s="252"/>
      <c r="R4" s="254"/>
      <c r="S4" s="266"/>
      <c r="T4" s="254"/>
      <c r="U4" s="254"/>
      <c r="V4" s="252"/>
      <c r="W4" s="254"/>
      <c r="X4" s="252"/>
      <c r="Y4" s="252"/>
      <c r="Z4" s="252"/>
      <c r="AA4" s="252"/>
      <c r="AB4" s="252"/>
      <c r="AC4" s="252"/>
    </row>
    <row r="5" spans="1:30" s="10" customFormat="1" ht="17.25" customHeight="1">
      <c r="A5" s="42"/>
      <c r="B5" s="44"/>
      <c r="C5" s="44"/>
      <c r="D5" s="42"/>
      <c r="E5" s="44"/>
      <c r="F5" s="5"/>
      <c r="G5" s="14"/>
      <c r="H5" s="14"/>
      <c r="I5" s="14"/>
      <c r="J5" s="14"/>
      <c r="K5" s="14"/>
      <c r="L5" s="14"/>
      <c r="M5" s="14"/>
      <c r="N5" s="14"/>
      <c r="O5" s="14"/>
      <c r="P5" s="14"/>
      <c r="Q5" s="14"/>
      <c r="R5" s="12"/>
      <c r="S5" s="12"/>
      <c r="T5" s="12"/>
      <c r="U5" s="12"/>
      <c r="V5" s="12"/>
      <c r="W5" s="12"/>
      <c r="X5" s="12"/>
      <c r="Y5" s="12"/>
      <c r="Z5" s="12"/>
      <c r="AA5" s="12"/>
      <c r="AB5" s="12"/>
      <c r="AC5" s="12"/>
    </row>
    <row r="6" spans="1:30" ht="15.75">
      <c r="A6" s="43" t="str">
        <f>IF(AND(H6=1,L6&gt;='Steel Angle Lintel Design'!$M$98,'AISC Angle Database'!N6&gt;='Steel Angle Lintel Design'!$M$96,'AISC Angle Database'!J6&gt;='Steel Angle Lintel Design'!$F$40,'AISC Angle Database'!J6&lt;='Steel Angle Lintel Design'!$F$41,'AISC Angle Database'!K6&gt;='Steel Angle Lintel Design'!$K$40,'AISC Angle Database'!K6&lt;='Steel Angle Lintel Design'!$K$41),1,"")</f>
        <v/>
      </c>
      <c r="B6" s="44">
        <f t="shared" ref="B6:B69" si="0">IF(A6=1,B5+1,B5)</f>
        <v>0</v>
      </c>
      <c r="C6" s="44">
        <f t="shared" ref="C6:C69" si="1">IF(A6=1,I6,0)</f>
        <v>0</v>
      </c>
      <c r="D6" s="42" t="e">
        <f ca="1">_xlfn.RANK.EQ(C6,$C$6:$C$333)</f>
        <v>#NAME?</v>
      </c>
      <c r="E6" s="44" t="e">
        <f t="shared" ref="E6:E69" ca="1" si="2">D6-D$335</f>
        <v>#NAME?</v>
      </c>
      <c r="F6" s="5" t="e">
        <f t="shared" ref="F6:F69" ca="1" si="3">E6*-1</f>
        <v>#NAME?</v>
      </c>
      <c r="G6" s="15" t="s">
        <v>23</v>
      </c>
      <c r="H6" s="15">
        <f>IF('Steel Angle Lintel Design'!$AM$16=1,1,IF('Steel Angle Lintel Design'!$AM$16=2,0,1))</f>
        <v>0</v>
      </c>
      <c r="I6" s="19">
        <v>56.9</v>
      </c>
      <c r="J6" s="15">
        <v>8</v>
      </c>
      <c r="K6" s="15">
        <v>8</v>
      </c>
      <c r="L6" s="15">
        <v>98.1</v>
      </c>
      <c r="M6" s="15">
        <v>31.6</v>
      </c>
      <c r="N6" s="15">
        <v>17.5</v>
      </c>
      <c r="O6" s="15">
        <v>98.1</v>
      </c>
      <c r="P6" s="15">
        <v>31.6</v>
      </c>
      <c r="Q6" s="15">
        <v>17.5</v>
      </c>
      <c r="R6" s="13">
        <v>1.125</v>
      </c>
      <c r="S6" s="13">
        <v>1</v>
      </c>
      <c r="T6" s="13" t="str">
        <f>IF(J6/R6&lt;0.54*(SQRT(29000/'Steel Angle Lintel Design'!$H$31)),"Y","N")</f>
        <v>Y</v>
      </c>
      <c r="U6" s="13" t="str">
        <f>IF(J6/R6&gt;0.91*(SQRT(29000/'Steel Angle Lintel Design'!$H$31)),"Y","N")</f>
        <v>N</v>
      </c>
      <c r="V6" s="13" t="s">
        <v>24</v>
      </c>
      <c r="W6" s="13"/>
      <c r="X6" s="13">
        <v>40.799999999999997</v>
      </c>
      <c r="Y6" s="13">
        <v>518</v>
      </c>
      <c r="Z6" s="13">
        <v>287</v>
      </c>
      <c r="AA6" s="13">
        <v>40.799999999999997</v>
      </c>
      <c r="AB6" s="13">
        <v>518</v>
      </c>
      <c r="AC6" s="13">
        <v>287</v>
      </c>
    </row>
    <row r="7" spans="1:30" s="8" customFormat="1" ht="15.75">
      <c r="A7" s="43" t="str">
        <f>IF(AND(H7=1,L7&gt;='Steel Angle Lintel Design'!$M$98,'AISC Angle Database'!N7&gt;='Steel Angle Lintel Design'!$M$96,'AISC Angle Database'!J7&gt;='Steel Angle Lintel Design'!$F$40,'AISC Angle Database'!J7&lt;='Steel Angle Lintel Design'!$F$41,'AISC Angle Database'!K7&gt;='Steel Angle Lintel Design'!$K$40,'AISC Angle Database'!K7&lt;='Steel Angle Lintel Design'!$K$41),1,"")</f>
        <v/>
      </c>
      <c r="B7" s="44">
        <f t="shared" si="0"/>
        <v>0</v>
      </c>
      <c r="C7" s="44">
        <f t="shared" si="1"/>
        <v>0</v>
      </c>
      <c r="D7" s="42" t="e">
        <f t="shared" ref="D7:D70" ca="1" si="4">_xlfn.RANK.EQ(C7,$C$6:$C$333)</f>
        <v>#NAME?</v>
      </c>
      <c r="E7" s="44" t="e">
        <f t="shared" ca="1" si="2"/>
        <v>#NAME?</v>
      </c>
      <c r="F7" s="5" t="e">
        <f t="shared" ca="1" si="3"/>
        <v>#NAME?</v>
      </c>
      <c r="G7" s="15" t="s">
        <v>25</v>
      </c>
      <c r="H7" s="15">
        <f>IF('Steel Angle Lintel Design'!$AM$16=1,1,IF('Steel Angle Lintel Design'!$AM$16=2,0,1))</f>
        <v>0</v>
      </c>
      <c r="I7" s="18">
        <v>51</v>
      </c>
      <c r="J7" s="15">
        <v>8</v>
      </c>
      <c r="K7" s="15">
        <v>8</v>
      </c>
      <c r="L7" s="15">
        <v>89.1</v>
      </c>
      <c r="M7" s="15">
        <v>28.5</v>
      </c>
      <c r="N7" s="15">
        <v>15.8</v>
      </c>
      <c r="O7" s="15">
        <v>89.1</v>
      </c>
      <c r="P7" s="15">
        <v>28.5</v>
      </c>
      <c r="Q7" s="15">
        <v>15.8</v>
      </c>
      <c r="R7" s="13">
        <v>1</v>
      </c>
      <c r="S7" s="13">
        <v>1</v>
      </c>
      <c r="T7" s="13" t="str">
        <f>IF(J7/R7&lt;0.54*(SQRT(29000/'Steel Angle Lintel Design'!$H$31)),"Y","N")</f>
        <v>Y</v>
      </c>
      <c r="U7" s="13" t="str">
        <f>IF(J7/R7&gt;0.91*(SQRT(29000/'Steel Angle Lintel Design'!$H$31)),"Y","N")</f>
        <v>N</v>
      </c>
      <c r="V7" s="13" t="s">
        <v>26</v>
      </c>
      <c r="W7" s="13"/>
      <c r="X7" s="13">
        <v>37.1</v>
      </c>
      <c r="Y7" s="13">
        <v>467</v>
      </c>
      <c r="Z7" s="13">
        <v>259</v>
      </c>
      <c r="AA7" s="13">
        <v>37.1</v>
      </c>
      <c r="AB7" s="13">
        <v>467</v>
      </c>
      <c r="AC7" s="13">
        <v>259</v>
      </c>
    </row>
    <row r="8" spans="1:30" s="9" customFormat="1" ht="15.75">
      <c r="A8" s="43" t="str">
        <f>IF(AND(H8=1,L8&gt;='Steel Angle Lintel Design'!$M$98,'AISC Angle Database'!N8&gt;='Steel Angle Lintel Design'!$M$96,'AISC Angle Database'!J8&gt;='Steel Angle Lintel Design'!$F$40,'AISC Angle Database'!J8&lt;='Steel Angle Lintel Design'!$F$41,'AISC Angle Database'!K8&gt;='Steel Angle Lintel Design'!$K$40,'AISC Angle Database'!K8&lt;='Steel Angle Lintel Design'!$K$41),1,"")</f>
        <v/>
      </c>
      <c r="B8" s="44">
        <f t="shared" si="0"/>
        <v>0</v>
      </c>
      <c r="C8" s="44">
        <f t="shared" si="1"/>
        <v>0</v>
      </c>
      <c r="D8" s="42" t="e">
        <f t="shared" ca="1" si="4"/>
        <v>#NAME?</v>
      </c>
      <c r="E8" s="44" t="e">
        <f t="shared" ca="1" si="2"/>
        <v>#NAME?</v>
      </c>
      <c r="F8" s="5" t="e">
        <f t="shared" ca="1" si="3"/>
        <v>#NAME?</v>
      </c>
      <c r="G8" s="15" t="s">
        <v>27</v>
      </c>
      <c r="H8" s="15">
        <f>IF('Steel Angle Lintel Design'!$AM$16=1,1,IF('Steel Angle Lintel Design'!$AM$16=2,0,1))</f>
        <v>0</v>
      </c>
      <c r="I8" s="18">
        <v>45</v>
      </c>
      <c r="J8" s="15">
        <v>8</v>
      </c>
      <c r="K8" s="15">
        <v>8</v>
      </c>
      <c r="L8" s="15">
        <v>79.7</v>
      </c>
      <c r="M8" s="15">
        <v>25.3</v>
      </c>
      <c r="N8" s="15">
        <v>14</v>
      </c>
      <c r="O8" s="15">
        <v>79.7</v>
      </c>
      <c r="P8" s="15">
        <v>25.3</v>
      </c>
      <c r="Q8" s="15">
        <v>14</v>
      </c>
      <c r="R8" s="13">
        <v>0.875</v>
      </c>
      <c r="S8" s="13">
        <v>1</v>
      </c>
      <c r="T8" s="13" t="str">
        <f>IF(J8/R8&lt;0.54*(SQRT(29000/'Steel Angle Lintel Design'!$H$31)),"Y","N")</f>
        <v>Y</v>
      </c>
      <c r="U8" s="13" t="str">
        <f>IF(J8/R8&gt;0.91*(SQRT(29000/'Steel Angle Lintel Design'!$H$31)),"Y","N")</f>
        <v>N</v>
      </c>
      <c r="V8" s="13" t="s">
        <v>28</v>
      </c>
      <c r="W8" s="13"/>
      <c r="X8" s="13">
        <v>33.200000000000003</v>
      </c>
      <c r="Y8" s="13">
        <v>415</v>
      </c>
      <c r="Z8" s="13">
        <v>229</v>
      </c>
      <c r="AA8" s="13">
        <v>33.200000000000003</v>
      </c>
      <c r="AB8" s="13">
        <v>415</v>
      </c>
      <c r="AC8" s="13">
        <v>229</v>
      </c>
      <c r="AD8" s="8"/>
    </row>
    <row r="9" spans="1:30" s="9" customFormat="1" ht="15.75">
      <c r="A9" s="43" t="str">
        <f>IF(AND(H9=1,L9&gt;='Steel Angle Lintel Design'!$M$98,'AISC Angle Database'!N9&gt;='Steel Angle Lintel Design'!$M$96,'AISC Angle Database'!J9&gt;='Steel Angle Lintel Design'!$F$40,'AISC Angle Database'!J9&lt;='Steel Angle Lintel Design'!$F$41,'AISC Angle Database'!K9&gt;='Steel Angle Lintel Design'!$K$40,'AISC Angle Database'!K9&lt;='Steel Angle Lintel Design'!$K$41),1,"")</f>
        <v/>
      </c>
      <c r="B9" s="44">
        <f t="shared" si="0"/>
        <v>0</v>
      </c>
      <c r="C9" s="44">
        <f t="shared" si="1"/>
        <v>0</v>
      </c>
      <c r="D9" s="42" t="e">
        <f t="shared" ca="1" si="4"/>
        <v>#NAME?</v>
      </c>
      <c r="E9" s="44" t="e">
        <f t="shared" ca="1" si="2"/>
        <v>#NAME?</v>
      </c>
      <c r="F9" s="5" t="e">
        <f t="shared" ca="1" si="3"/>
        <v>#NAME?</v>
      </c>
      <c r="G9" s="15" t="s">
        <v>29</v>
      </c>
      <c r="H9" s="15">
        <f>IF('Steel Angle Lintel Design'!$AM$16=1,1,IF('Steel Angle Lintel Design'!$AM$16=2,0,1))</f>
        <v>0</v>
      </c>
      <c r="I9" s="18">
        <v>38.9</v>
      </c>
      <c r="J9" s="15">
        <v>8</v>
      </c>
      <c r="K9" s="15">
        <v>8</v>
      </c>
      <c r="L9" s="15">
        <v>69.900000000000006</v>
      </c>
      <c r="M9" s="15">
        <v>22</v>
      </c>
      <c r="N9" s="15">
        <v>12.2</v>
      </c>
      <c r="O9" s="15">
        <v>69.900000000000006</v>
      </c>
      <c r="P9" s="15">
        <v>22</v>
      </c>
      <c r="Q9" s="15">
        <v>12.2</v>
      </c>
      <c r="R9" s="13">
        <v>0.75</v>
      </c>
      <c r="S9" s="13">
        <v>1</v>
      </c>
      <c r="T9" s="13" t="str">
        <f>IF(J9/R9&lt;0.54*(SQRT(29000/'Steel Angle Lintel Design'!$H$31)),"Y","N")</f>
        <v>Y</v>
      </c>
      <c r="U9" s="13" t="str">
        <f>IF(J9/R9&gt;0.91*(SQRT(29000/'Steel Angle Lintel Design'!$H$31)),"Y","N")</f>
        <v>N</v>
      </c>
      <c r="V9" s="13" t="s">
        <v>30</v>
      </c>
      <c r="W9" s="13"/>
      <c r="X9" s="13">
        <v>29.1</v>
      </c>
      <c r="Y9" s="13">
        <v>361</v>
      </c>
      <c r="Z9" s="13">
        <v>200</v>
      </c>
      <c r="AA9" s="13">
        <v>29.1</v>
      </c>
      <c r="AB9" s="13">
        <v>361</v>
      </c>
      <c r="AC9" s="13">
        <v>200</v>
      </c>
      <c r="AD9" s="8"/>
    </row>
    <row r="10" spans="1:30" s="9" customFormat="1" ht="15.75">
      <c r="A10" s="43" t="str">
        <f>IF(AND(H10=1,L10&gt;='Steel Angle Lintel Design'!$M$98,'AISC Angle Database'!N10&gt;='Steel Angle Lintel Design'!$M$96,'AISC Angle Database'!J10&gt;='Steel Angle Lintel Design'!$F$40,'AISC Angle Database'!J10&lt;='Steel Angle Lintel Design'!$F$41,'AISC Angle Database'!K10&gt;='Steel Angle Lintel Design'!$K$40,'AISC Angle Database'!K10&lt;='Steel Angle Lintel Design'!$K$41),1,"")</f>
        <v/>
      </c>
      <c r="B10" s="44">
        <f t="shared" si="0"/>
        <v>0</v>
      </c>
      <c r="C10" s="44">
        <f t="shared" si="1"/>
        <v>0</v>
      </c>
      <c r="D10" s="42" t="e">
        <f t="shared" ca="1" si="4"/>
        <v>#NAME?</v>
      </c>
      <c r="E10" s="44" t="e">
        <f t="shared" ca="1" si="2"/>
        <v>#NAME?</v>
      </c>
      <c r="F10" s="5" t="e">
        <f t="shared" ca="1" si="3"/>
        <v>#NAME?</v>
      </c>
      <c r="G10" s="15" t="s">
        <v>31</v>
      </c>
      <c r="H10" s="15">
        <f>IF('Steel Angle Lintel Design'!$AM$16=1,1,IF('Steel Angle Lintel Design'!$AM$16=2,0,1))</f>
        <v>0</v>
      </c>
      <c r="I10" s="18">
        <v>32.700000000000003</v>
      </c>
      <c r="J10" s="15">
        <v>8</v>
      </c>
      <c r="K10" s="15">
        <v>8</v>
      </c>
      <c r="L10" s="15">
        <v>59.6</v>
      </c>
      <c r="M10" s="15">
        <v>18.600000000000001</v>
      </c>
      <c r="N10" s="15">
        <v>10.3</v>
      </c>
      <c r="O10" s="15">
        <v>59.6</v>
      </c>
      <c r="P10" s="15">
        <v>18.600000000000001</v>
      </c>
      <c r="Q10" s="15">
        <v>10.3</v>
      </c>
      <c r="R10" s="13">
        <v>0.625</v>
      </c>
      <c r="S10" s="13">
        <v>1</v>
      </c>
      <c r="T10" s="13" t="str">
        <f>IF(J10/R10&lt;0.54*(SQRT(29000/'Steel Angle Lintel Design'!$H$31)),"Y","N")</f>
        <v>Y</v>
      </c>
      <c r="U10" s="13" t="str">
        <f>IF(J10/R10&gt;0.91*(SQRT(29000/'Steel Angle Lintel Design'!$H$31)),"Y","N")</f>
        <v>N</v>
      </c>
      <c r="V10" s="13" t="s">
        <v>32</v>
      </c>
      <c r="W10" s="13"/>
      <c r="X10" s="13">
        <v>24.8</v>
      </c>
      <c r="Y10" s="13">
        <v>305</v>
      </c>
      <c r="Z10" s="13">
        <v>169</v>
      </c>
      <c r="AA10" s="13">
        <v>24.8</v>
      </c>
      <c r="AB10" s="13">
        <v>305</v>
      </c>
      <c r="AC10" s="13">
        <v>169</v>
      </c>
      <c r="AD10" s="8"/>
    </row>
    <row r="11" spans="1:30" s="9" customFormat="1" ht="15.75">
      <c r="A11" s="43" t="str">
        <f>IF(AND(H11=1,L11&gt;='Steel Angle Lintel Design'!$M$98,'AISC Angle Database'!N11&gt;='Steel Angle Lintel Design'!$M$96,'AISC Angle Database'!J11&gt;='Steel Angle Lintel Design'!$F$40,'AISC Angle Database'!J11&lt;='Steel Angle Lintel Design'!$F$41,'AISC Angle Database'!K11&gt;='Steel Angle Lintel Design'!$K$40,'AISC Angle Database'!K11&lt;='Steel Angle Lintel Design'!$K$41),1,"")</f>
        <v/>
      </c>
      <c r="B11" s="44">
        <f t="shared" si="0"/>
        <v>0</v>
      </c>
      <c r="C11" s="44">
        <f t="shared" si="1"/>
        <v>0</v>
      </c>
      <c r="D11" s="42" t="e">
        <f t="shared" ca="1" si="4"/>
        <v>#NAME?</v>
      </c>
      <c r="E11" s="44" t="e">
        <f t="shared" ca="1" si="2"/>
        <v>#NAME?</v>
      </c>
      <c r="F11" s="5" t="e">
        <f t="shared" ca="1" si="3"/>
        <v>#NAME?</v>
      </c>
      <c r="G11" s="15" t="s">
        <v>33</v>
      </c>
      <c r="H11" s="15">
        <f>IF('Steel Angle Lintel Design'!$AM$16=1,1,IF('Steel Angle Lintel Design'!$AM$16=2,0,1))</f>
        <v>0</v>
      </c>
      <c r="I11" s="18">
        <v>29.6</v>
      </c>
      <c r="J11" s="15">
        <v>8</v>
      </c>
      <c r="K11" s="15">
        <v>8</v>
      </c>
      <c r="L11" s="15">
        <v>54.2</v>
      </c>
      <c r="M11" s="15">
        <v>16.8</v>
      </c>
      <c r="N11" s="15">
        <v>9.33</v>
      </c>
      <c r="O11" s="15">
        <v>54.2</v>
      </c>
      <c r="P11" s="15">
        <v>16.8</v>
      </c>
      <c r="Q11" s="15">
        <v>9.33</v>
      </c>
      <c r="R11" s="13">
        <v>0.5625</v>
      </c>
      <c r="S11" s="13">
        <v>1</v>
      </c>
      <c r="T11" s="13" t="str">
        <f>IF(J11/R11&lt;0.54*(SQRT(29000/'Steel Angle Lintel Design'!$H$31)),"Y","N")</f>
        <v>Y</v>
      </c>
      <c r="U11" s="13" t="str">
        <f>IF(J11/R11&gt;0.91*(SQRT(29000/'Steel Angle Lintel Design'!$H$31)),"Y","N")</f>
        <v>N</v>
      </c>
      <c r="V11" s="13" t="s">
        <v>34</v>
      </c>
      <c r="W11" s="13"/>
      <c r="X11" s="13">
        <v>22.6</v>
      </c>
      <c r="Y11" s="13">
        <v>275</v>
      </c>
      <c r="Z11" s="13">
        <v>153</v>
      </c>
      <c r="AA11" s="13">
        <v>22.6</v>
      </c>
      <c r="AB11" s="13">
        <v>275</v>
      </c>
      <c r="AC11" s="13">
        <v>153</v>
      </c>
      <c r="AD11" s="8"/>
    </row>
    <row r="12" spans="1:30" s="9" customFormat="1" ht="15.75">
      <c r="A12" s="43" t="str">
        <f>IF(AND(H12=1,L12&gt;='Steel Angle Lintel Design'!$M$98,'AISC Angle Database'!N12&gt;='Steel Angle Lintel Design'!$M$96,'AISC Angle Database'!J12&gt;='Steel Angle Lintel Design'!$F$40,'AISC Angle Database'!J12&lt;='Steel Angle Lintel Design'!$F$41,'AISC Angle Database'!K12&gt;='Steel Angle Lintel Design'!$K$40,'AISC Angle Database'!K12&lt;='Steel Angle Lintel Design'!$K$41),1,"")</f>
        <v/>
      </c>
      <c r="B12" s="44">
        <f t="shared" si="0"/>
        <v>0</v>
      </c>
      <c r="C12" s="44">
        <f t="shared" si="1"/>
        <v>0</v>
      </c>
      <c r="D12" s="42" t="e">
        <f t="shared" ca="1" si="4"/>
        <v>#NAME?</v>
      </c>
      <c r="E12" s="44" t="e">
        <f t="shared" ca="1" si="2"/>
        <v>#NAME?</v>
      </c>
      <c r="F12" s="5" t="e">
        <f t="shared" ca="1" si="3"/>
        <v>#NAME?</v>
      </c>
      <c r="G12" s="15" t="s">
        <v>35</v>
      </c>
      <c r="H12" s="15">
        <f>IF('Steel Angle Lintel Design'!$AM$16=1,1,IF('Steel Angle Lintel Design'!$AM$16=2,0,1))</f>
        <v>0</v>
      </c>
      <c r="I12" s="18">
        <v>26.4</v>
      </c>
      <c r="J12" s="15">
        <v>8</v>
      </c>
      <c r="K12" s="15">
        <v>8</v>
      </c>
      <c r="L12" s="15">
        <v>48.8</v>
      </c>
      <c r="M12" s="15">
        <v>15.1</v>
      </c>
      <c r="N12" s="15">
        <v>8.36</v>
      </c>
      <c r="O12" s="15">
        <v>48.8</v>
      </c>
      <c r="P12" s="15">
        <v>15.1</v>
      </c>
      <c r="Q12" s="15">
        <v>8.36</v>
      </c>
      <c r="R12" s="13">
        <v>0.5</v>
      </c>
      <c r="S12" s="13">
        <v>1</v>
      </c>
      <c r="T12" s="13" t="str">
        <f>IF(J12/R12&lt;0.54*(SQRT(29000/'Steel Angle Lintel Design'!$H$31)),"Y","N")</f>
        <v>N</v>
      </c>
      <c r="U12" s="13" t="str">
        <f>IF(J12/R12&gt;0.91*(SQRT(29000/'Steel Angle Lintel Design'!$H$31)),"Y","N")</f>
        <v>N</v>
      </c>
      <c r="V12" s="13" t="s">
        <v>36</v>
      </c>
      <c r="W12" s="13"/>
      <c r="X12" s="13">
        <v>20.3</v>
      </c>
      <c r="Y12" s="13">
        <v>247</v>
      </c>
      <c r="Z12" s="13">
        <v>137</v>
      </c>
      <c r="AA12" s="13">
        <v>20.3</v>
      </c>
      <c r="AB12" s="13">
        <v>247</v>
      </c>
      <c r="AC12" s="13">
        <v>137</v>
      </c>
      <c r="AD12" s="8"/>
    </row>
    <row r="13" spans="1:30" s="9" customFormat="1" ht="15.75">
      <c r="A13" s="43" t="str">
        <f>IF(AND(H13=1,L13&gt;='Steel Angle Lintel Design'!$M$98,'AISC Angle Database'!N13&gt;='Steel Angle Lintel Design'!$M$96,'AISC Angle Database'!J13&gt;='Steel Angle Lintel Design'!$F$40,'AISC Angle Database'!J13&lt;='Steel Angle Lintel Design'!$F$41,'AISC Angle Database'!K13&gt;='Steel Angle Lintel Design'!$K$40,'AISC Angle Database'!K13&lt;='Steel Angle Lintel Design'!$K$41),1,"")</f>
        <v/>
      </c>
      <c r="B13" s="44">
        <f t="shared" si="0"/>
        <v>0</v>
      </c>
      <c r="C13" s="44">
        <f t="shared" si="1"/>
        <v>0</v>
      </c>
      <c r="D13" s="42" t="e">
        <f t="shared" ca="1" si="4"/>
        <v>#NAME?</v>
      </c>
      <c r="E13" s="44" t="e">
        <f t="shared" ca="1" si="2"/>
        <v>#NAME?</v>
      </c>
      <c r="F13" s="5" t="e">
        <f t="shared" ca="1" si="3"/>
        <v>#NAME?</v>
      </c>
      <c r="G13" s="15" t="s">
        <v>37</v>
      </c>
      <c r="H13" s="15">
        <f>IF('Steel Angle Lintel Design'!$AM$16=1,1,IF('Steel Angle Lintel Design'!$AM$16=2,0,1))</f>
        <v>0</v>
      </c>
      <c r="I13" s="18">
        <v>44.2</v>
      </c>
      <c r="J13" s="15">
        <v>8</v>
      </c>
      <c r="K13" s="15">
        <v>6</v>
      </c>
      <c r="L13" s="15">
        <v>80.900000000000006</v>
      </c>
      <c r="M13" s="15">
        <v>27.3</v>
      </c>
      <c r="N13" s="15">
        <v>15.1</v>
      </c>
      <c r="O13" s="15">
        <v>38.799999999999997</v>
      </c>
      <c r="P13" s="15">
        <v>16.2</v>
      </c>
      <c r="Q13" s="15">
        <v>8.92</v>
      </c>
      <c r="R13" s="13">
        <v>1</v>
      </c>
      <c r="S13" s="13">
        <v>1</v>
      </c>
      <c r="T13" s="13" t="str">
        <f>IF(J13/R13&lt;0.54*(SQRT(29000/'Steel Angle Lintel Design'!$H$31)),"Y","N")</f>
        <v>Y</v>
      </c>
      <c r="U13" s="13" t="str">
        <f>IF(J13/R13&gt;0.91*(SQRT(29000/'Steel Angle Lintel Design'!$H$31)),"Y","N")</f>
        <v>N</v>
      </c>
      <c r="V13" s="13" t="s">
        <v>38</v>
      </c>
      <c r="W13" s="13"/>
      <c r="X13" s="13">
        <v>33.700000000000003</v>
      </c>
      <c r="Y13" s="13">
        <v>447</v>
      </c>
      <c r="Z13" s="13">
        <v>247</v>
      </c>
      <c r="AA13" s="13">
        <v>16.100000000000001</v>
      </c>
      <c r="AB13" s="13">
        <v>265</v>
      </c>
      <c r="AC13" s="13">
        <v>146</v>
      </c>
      <c r="AD13" s="8"/>
    </row>
    <row r="14" spans="1:30" s="9" customFormat="1" ht="15.75">
      <c r="A14" s="43" t="str">
        <f>IF(AND(H14=1,L14&gt;='Steel Angle Lintel Design'!$M$98,'AISC Angle Database'!N14&gt;='Steel Angle Lintel Design'!$M$96,'AISC Angle Database'!J14&gt;='Steel Angle Lintel Design'!$F$40,'AISC Angle Database'!J14&lt;='Steel Angle Lintel Design'!$F$41,'AISC Angle Database'!K14&gt;='Steel Angle Lintel Design'!$K$40,'AISC Angle Database'!K14&lt;='Steel Angle Lintel Design'!$K$41),1,"")</f>
        <v/>
      </c>
      <c r="B14" s="44">
        <f t="shared" si="0"/>
        <v>0</v>
      </c>
      <c r="C14" s="44">
        <f t="shared" si="1"/>
        <v>0</v>
      </c>
      <c r="D14" s="42" t="e">
        <f t="shared" ca="1" si="4"/>
        <v>#NAME?</v>
      </c>
      <c r="E14" s="44" t="e">
        <f t="shared" ca="1" si="2"/>
        <v>#NAME?</v>
      </c>
      <c r="F14" s="5" t="e">
        <f t="shared" ca="1" si="3"/>
        <v>#NAME?</v>
      </c>
      <c r="G14" s="15" t="s">
        <v>39</v>
      </c>
      <c r="H14" s="15">
        <f>IF('Steel Angle Lintel Design'!$AM$16=1,1,IF('Steel Angle Lintel Design'!$AM$16=2,0,1))</f>
        <v>0</v>
      </c>
      <c r="I14" s="18">
        <v>39.1</v>
      </c>
      <c r="J14" s="15">
        <v>8</v>
      </c>
      <c r="K14" s="15">
        <v>6</v>
      </c>
      <c r="L14" s="15">
        <v>72.400000000000006</v>
      </c>
      <c r="M14" s="15">
        <v>24.3</v>
      </c>
      <c r="N14" s="15">
        <v>13.4</v>
      </c>
      <c r="O14" s="15">
        <v>34.9</v>
      </c>
      <c r="P14" s="15">
        <v>14.4</v>
      </c>
      <c r="Q14" s="15">
        <v>7.94</v>
      </c>
      <c r="R14" s="13">
        <v>0.875</v>
      </c>
      <c r="S14" s="13">
        <v>1</v>
      </c>
      <c r="T14" s="13" t="str">
        <f>IF(J14/R14&lt;0.54*(SQRT(29000/'Steel Angle Lintel Design'!$H$31)),"Y","N")</f>
        <v>Y</v>
      </c>
      <c r="U14" s="13" t="str">
        <f>IF(J14/R14&gt;0.91*(SQRT(29000/'Steel Angle Lintel Design'!$H$31)),"Y","N")</f>
        <v>N</v>
      </c>
      <c r="V14" s="13" t="s">
        <v>40</v>
      </c>
      <c r="W14" s="13"/>
      <c r="X14" s="13">
        <v>30.1</v>
      </c>
      <c r="Y14" s="13">
        <v>398</v>
      </c>
      <c r="Z14" s="13">
        <v>220</v>
      </c>
      <c r="AA14" s="13">
        <v>14.5</v>
      </c>
      <c r="AB14" s="13">
        <v>236</v>
      </c>
      <c r="AC14" s="13">
        <v>130</v>
      </c>
      <c r="AD14" s="8"/>
    </row>
    <row r="15" spans="1:30" s="9" customFormat="1" ht="15.75">
      <c r="A15" s="43" t="str">
        <f>IF(AND(H15=1,L15&gt;='Steel Angle Lintel Design'!$M$98,'AISC Angle Database'!N15&gt;='Steel Angle Lintel Design'!$M$96,'AISC Angle Database'!J15&gt;='Steel Angle Lintel Design'!$F$40,'AISC Angle Database'!J15&lt;='Steel Angle Lintel Design'!$F$41,'AISC Angle Database'!K15&gt;='Steel Angle Lintel Design'!$K$40,'AISC Angle Database'!K15&lt;='Steel Angle Lintel Design'!$K$41),1,"")</f>
        <v/>
      </c>
      <c r="B15" s="44">
        <f t="shared" si="0"/>
        <v>0</v>
      </c>
      <c r="C15" s="44">
        <f t="shared" si="1"/>
        <v>0</v>
      </c>
      <c r="D15" s="42" t="e">
        <f t="shared" ca="1" si="4"/>
        <v>#NAME?</v>
      </c>
      <c r="E15" s="44" t="e">
        <f t="shared" ca="1" si="2"/>
        <v>#NAME?</v>
      </c>
      <c r="F15" s="5" t="e">
        <f t="shared" ca="1" si="3"/>
        <v>#NAME?</v>
      </c>
      <c r="G15" s="15" t="s">
        <v>41</v>
      </c>
      <c r="H15" s="15">
        <f>IF('Steel Angle Lintel Design'!$AM$16=1,1,IF('Steel Angle Lintel Design'!$AM$16=2,0,1))</f>
        <v>0</v>
      </c>
      <c r="I15" s="18">
        <v>33.799999999999997</v>
      </c>
      <c r="J15" s="15">
        <v>8</v>
      </c>
      <c r="K15" s="15">
        <v>6</v>
      </c>
      <c r="L15" s="15">
        <v>63.5</v>
      </c>
      <c r="M15" s="15">
        <v>21.1</v>
      </c>
      <c r="N15" s="15">
        <v>11.7</v>
      </c>
      <c r="O15" s="15">
        <v>30.8</v>
      </c>
      <c r="P15" s="15">
        <v>12.5</v>
      </c>
      <c r="Q15" s="15">
        <v>6.92</v>
      </c>
      <c r="R15" s="13">
        <v>0.75</v>
      </c>
      <c r="S15" s="13">
        <v>1</v>
      </c>
      <c r="T15" s="13" t="str">
        <f>IF(J15/R15&lt;0.54*(SQRT(29000/'Steel Angle Lintel Design'!$H$31)),"Y","N")</f>
        <v>Y</v>
      </c>
      <c r="U15" s="13" t="str">
        <f>IF(J15/R15&gt;0.91*(SQRT(29000/'Steel Angle Lintel Design'!$H$31)),"Y","N")</f>
        <v>N</v>
      </c>
      <c r="V15" s="13" t="s">
        <v>42</v>
      </c>
      <c r="W15" s="13"/>
      <c r="X15" s="13">
        <v>26.4</v>
      </c>
      <c r="Y15" s="13">
        <v>346</v>
      </c>
      <c r="Z15" s="13">
        <v>192</v>
      </c>
      <c r="AA15" s="13">
        <v>12.8</v>
      </c>
      <c r="AB15" s="13">
        <v>205</v>
      </c>
      <c r="AC15" s="13">
        <v>113</v>
      </c>
      <c r="AD15" s="8"/>
    </row>
    <row r="16" spans="1:30" s="9" customFormat="1" ht="15.75">
      <c r="A16" s="43" t="str">
        <f>IF(AND(H16=1,L16&gt;='Steel Angle Lintel Design'!$M$98,'AISC Angle Database'!N16&gt;='Steel Angle Lintel Design'!$M$96,'AISC Angle Database'!J16&gt;='Steel Angle Lintel Design'!$F$40,'AISC Angle Database'!J16&lt;='Steel Angle Lintel Design'!$F$41,'AISC Angle Database'!K16&gt;='Steel Angle Lintel Design'!$K$40,'AISC Angle Database'!K16&lt;='Steel Angle Lintel Design'!$K$41),1,"")</f>
        <v/>
      </c>
      <c r="B16" s="44">
        <f t="shared" si="0"/>
        <v>0</v>
      </c>
      <c r="C16" s="44">
        <f t="shared" si="1"/>
        <v>0</v>
      </c>
      <c r="D16" s="42" t="e">
        <f t="shared" ca="1" si="4"/>
        <v>#NAME?</v>
      </c>
      <c r="E16" s="44" t="e">
        <f t="shared" ca="1" si="2"/>
        <v>#NAME?</v>
      </c>
      <c r="F16" s="5" t="e">
        <f t="shared" ca="1" si="3"/>
        <v>#NAME?</v>
      </c>
      <c r="G16" s="15" t="s">
        <v>43</v>
      </c>
      <c r="H16" s="15">
        <f>IF('Steel Angle Lintel Design'!$AM$16=1,1,IF('Steel Angle Lintel Design'!$AM$16=2,0,1))</f>
        <v>0</v>
      </c>
      <c r="I16" s="18">
        <v>28.5</v>
      </c>
      <c r="J16" s="15">
        <v>8</v>
      </c>
      <c r="K16" s="15">
        <v>6</v>
      </c>
      <c r="L16" s="15">
        <v>54.2</v>
      </c>
      <c r="M16" s="15">
        <v>17.899999999999999</v>
      </c>
      <c r="N16" s="15">
        <v>9.86</v>
      </c>
      <c r="O16" s="15">
        <v>26.4</v>
      </c>
      <c r="P16" s="15">
        <v>10.5</v>
      </c>
      <c r="Q16" s="15">
        <v>5.88</v>
      </c>
      <c r="R16" s="13">
        <v>0.625</v>
      </c>
      <c r="S16" s="13">
        <v>1</v>
      </c>
      <c r="T16" s="13" t="str">
        <f>IF(J16/R16&lt;0.54*(SQRT(29000/'Steel Angle Lintel Design'!$H$31)),"Y","N")</f>
        <v>Y</v>
      </c>
      <c r="U16" s="13" t="str">
        <f>IF(J16/R16&gt;0.91*(SQRT(29000/'Steel Angle Lintel Design'!$H$31)),"Y","N")</f>
        <v>N</v>
      </c>
      <c r="V16" s="13" t="s">
        <v>44</v>
      </c>
      <c r="W16" s="13"/>
      <c r="X16" s="13">
        <v>22.6</v>
      </c>
      <c r="Y16" s="13">
        <v>293</v>
      </c>
      <c r="Z16" s="13">
        <v>162</v>
      </c>
      <c r="AA16" s="13">
        <v>11</v>
      </c>
      <c r="AB16" s="13">
        <v>172</v>
      </c>
      <c r="AC16" s="13">
        <v>96.4</v>
      </c>
      <c r="AD16" s="8"/>
    </row>
    <row r="17" spans="1:30" s="9" customFormat="1" ht="15.75">
      <c r="A17" s="43" t="str">
        <f>IF(AND(H17=1,L17&gt;='Steel Angle Lintel Design'!$M$98,'AISC Angle Database'!N17&gt;='Steel Angle Lintel Design'!$M$96,'AISC Angle Database'!J17&gt;='Steel Angle Lintel Design'!$F$40,'AISC Angle Database'!J17&lt;='Steel Angle Lintel Design'!$F$41,'AISC Angle Database'!K17&gt;='Steel Angle Lintel Design'!$K$40,'AISC Angle Database'!K17&lt;='Steel Angle Lintel Design'!$K$41),1,"")</f>
        <v/>
      </c>
      <c r="B17" s="44">
        <f t="shared" si="0"/>
        <v>0</v>
      </c>
      <c r="C17" s="44">
        <f t="shared" si="1"/>
        <v>0</v>
      </c>
      <c r="D17" s="42" t="e">
        <f t="shared" ca="1" si="4"/>
        <v>#NAME?</v>
      </c>
      <c r="E17" s="44" t="e">
        <f t="shared" ca="1" si="2"/>
        <v>#NAME?</v>
      </c>
      <c r="F17" s="5" t="e">
        <f t="shared" ca="1" si="3"/>
        <v>#NAME?</v>
      </c>
      <c r="G17" s="15" t="s">
        <v>45</v>
      </c>
      <c r="H17" s="15">
        <f>IF('Steel Angle Lintel Design'!$AM$16=1,1,IF('Steel Angle Lintel Design'!$AM$16=2,0,1))</f>
        <v>0</v>
      </c>
      <c r="I17" s="18">
        <v>25.7</v>
      </c>
      <c r="J17" s="15">
        <v>8</v>
      </c>
      <c r="K17" s="15">
        <v>6</v>
      </c>
      <c r="L17" s="15">
        <v>49.4</v>
      </c>
      <c r="M17" s="15">
        <v>16.2</v>
      </c>
      <c r="N17" s="15">
        <v>8.94</v>
      </c>
      <c r="O17" s="15">
        <v>24.1</v>
      </c>
      <c r="P17" s="15">
        <v>9.52</v>
      </c>
      <c r="Q17" s="15">
        <v>5.34</v>
      </c>
      <c r="R17" s="13">
        <v>0.5625</v>
      </c>
      <c r="S17" s="13">
        <v>1</v>
      </c>
      <c r="T17" s="13" t="str">
        <f>IF(J17/R17&lt;0.54*(SQRT(29000/'Steel Angle Lintel Design'!$H$31)),"Y","N")</f>
        <v>Y</v>
      </c>
      <c r="U17" s="13" t="str">
        <f>IF(J17/R17&gt;0.91*(SQRT(29000/'Steel Angle Lintel Design'!$H$31)),"Y","N")</f>
        <v>N</v>
      </c>
      <c r="V17" s="13" t="s">
        <v>46</v>
      </c>
      <c r="W17" s="13"/>
      <c r="X17" s="13">
        <v>20.6</v>
      </c>
      <c r="Y17" s="13">
        <v>265</v>
      </c>
      <c r="Z17" s="13">
        <v>147</v>
      </c>
      <c r="AA17" s="13">
        <v>10</v>
      </c>
      <c r="AB17" s="13">
        <v>156</v>
      </c>
      <c r="AC17" s="13">
        <v>87.5</v>
      </c>
      <c r="AD17" s="8"/>
    </row>
    <row r="18" spans="1:30" s="9" customFormat="1" ht="15.75">
      <c r="A18" s="43" t="str">
        <f>IF(AND(H18=1,L18&gt;='Steel Angle Lintel Design'!$M$98,'AISC Angle Database'!N18&gt;='Steel Angle Lintel Design'!$M$96,'AISC Angle Database'!J18&gt;='Steel Angle Lintel Design'!$F$40,'AISC Angle Database'!J18&lt;='Steel Angle Lintel Design'!$F$41,'AISC Angle Database'!K18&gt;='Steel Angle Lintel Design'!$K$40,'AISC Angle Database'!K18&lt;='Steel Angle Lintel Design'!$K$41),1,"")</f>
        <v/>
      </c>
      <c r="B18" s="44">
        <f t="shared" si="0"/>
        <v>0</v>
      </c>
      <c r="C18" s="44">
        <f t="shared" si="1"/>
        <v>0</v>
      </c>
      <c r="D18" s="42" t="e">
        <f t="shared" ca="1" si="4"/>
        <v>#NAME?</v>
      </c>
      <c r="E18" s="44" t="e">
        <f t="shared" ca="1" si="2"/>
        <v>#NAME?</v>
      </c>
      <c r="F18" s="5" t="e">
        <f t="shared" ca="1" si="3"/>
        <v>#NAME?</v>
      </c>
      <c r="G18" s="15" t="s">
        <v>47</v>
      </c>
      <c r="H18" s="15">
        <f>IF('Steel Angle Lintel Design'!$AM$16=1,1,IF('Steel Angle Lintel Design'!$AM$16=2,0,1))</f>
        <v>0</v>
      </c>
      <c r="I18" s="18">
        <v>23</v>
      </c>
      <c r="J18" s="15">
        <v>8</v>
      </c>
      <c r="K18" s="15">
        <v>6</v>
      </c>
      <c r="L18" s="15">
        <v>44.4</v>
      </c>
      <c r="M18" s="15">
        <v>14.6</v>
      </c>
      <c r="N18" s="15">
        <v>8.01</v>
      </c>
      <c r="O18" s="15">
        <v>21.7</v>
      </c>
      <c r="P18" s="15">
        <v>8.52</v>
      </c>
      <c r="Q18" s="15">
        <v>4.79</v>
      </c>
      <c r="R18" s="13">
        <v>0.5</v>
      </c>
      <c r="S18" s="13">
        <v>1</v>
      </c>
      <c r="T18" s="13" t="str">
        <f>IF(J18/R18&lt;0.54*(SQRT(29000/'Steel Angle Lintel Design'!$H$31)),"Y","N")</f>
        <v>N</v>
      </c>
      <c r="U18" s="13" t="str">
        <f>IF(J18/R18&gt;0.91*(SQRT(29000/'Steel Angle Lintel Design'!$H$31)),"Y","N")</f>
        <v>N</v>
      </c>
      <c r="V18" s="13" t="s">
        <v>48</v>
      </c>
      <c r="W18" s="13"/>
      <c r="X18" s="13">
        <v>18.5</v>
      </c>
      <c r="Y18" s="13">
        <v>239</v>
      </c>
      <c r="Z18" s="13">
        <v>131</v>
      </c>
      <c r="AA18" s="13">
        <v>9.0299999999999994</v>
      </c>
      <c r="AB18" s="13">
        <v>140</v>
      </c>
      <c r="AC18" s="13">
        <v>78.5</v>
      </c>
      <c r="AD18" s="8"/>
    </row>
    <row r="19" spans="1:30" s="9" customFormat="1" ht="15.75">
      <c r="A19" s="43" t="str">
        <f>IF(AND(H19=1,L19&gt;='Steel Angle Lintel Design'!$M$98,'AISC Angle Database'!N19&gt;='Steel Angle Lintel Design'!$M$96,'AISC Angle Database'!J19&gt;='Steel Angle Lintel Design'!$F$40,'AISC Angle Database'!J19&lt;='Steel Angle Lintel Design'!$F$41,'AISC Angle Database'!K19&gt;='Steel Angle Lintel Design'!$K$40,'AISC Angle Database'!K19&lt;='Steel Angle Lintel Design'!$K$41),1,"")</f>
        <v/>
      </c>
      <c r="B19" s="44">
        <f t="shared" si="0"/>
        <v>0</v>
      </c>
      <c r="C19" s="44">
        <f t="shared" si="1"/>
        <v>0</v>
      </c>
      <c r="D19" s="42" t="e">
        <f t="shared" ca="1" si="4"/>
        <v>#NAME?</v>
      </c>
      <c r="E19" s="44" t="e">
        <f t="shared" ca="1" si="2"/>
        <v>#NAME?</v>
      </c>
      <c r="F19" s="5" t="e">
        <f t="shared" ca="1" si="3"/>
        <v>#NAME?</v>
      </c>
      <c r="G19" s="15" t="s">
        <v>49</v>
      </c>
      <c r="H19" s="15">
        <f>IF('Steel Angle Lintel Design'!$AM$16=1,1,IF('Steel Angle Lintel Design'!$AM$16=2,0,1))</f>
        <v>0</v>
      </c>
      <c r="I19" s="18">
        <v>20.2</v>
      </c>
      <c r="J19" s="15">
        <v>8</v>
      </c>
      <c r="K19" s="15">
        <v>6</v>
      </c>
      <c r="L19" s="15">
        <v>39.299999999999997</v>
      </c>
      <c r="M19" s="15">
        <v>12.9</v>
      </c>
      <c r="N19" s="15">
        <v>7.06</v>
      </c>
      <c r="O19" s="15">
        <v>19.3</v>
      </c>
      <c r="P19" s="15">
        <v>7.5</v>
      </c>
      <c r="Q19" s="15">
        <v>4.2300000000000004</v>
      </c>
      <c r="R19" s="13">
        <v>0.4375</v>
      </c>
      <c r="S19" s="13">
        <v>1</v>
      </c>
      <c r="T19" s="13" t="str">
        <f>IF(J19/R19&lt;0.54*(SQRT(29000/'Steel Angle Lintel Design'!$H$31)),"Y","N")</f>
        <v>N</v>
      </c>
      <c r="U19" s="13" t="str">
        <f>IF(J19/R19&gt;0.91*(SQRT(29000/'Steel Angle Lintel Design'!$H$31)),"Y","N")</f>
        <v>N</v>
      </c>
      <c r="V19" s="13" t="s">
        <v>50</v>
      </c>
      <c r="W19" s="13"/>
      <c r="X19" s="13">
        <v>16.399999999999999</v>
      </c>
      <c r="Y19" s="13">
        <v>211</v>
      </c>
      <c r="Z19" s="13">
        <v>116</v>
      </c>
      <c r="AA19" s="13">
        <v>8.0299999999999994</v>
      </c>
      <c r="AB19" s="13">
        <v>123</v>
      </c>
      <c r="AC19" s="13">
        <v>69.3</v>
      </c>
      <c r="AD19" s="8"/>
    </row>
    <row r="20" spans="1:30" s="9" customFormat="1" ht="15.75">
      <c r="A20" s="43" t="str">
        <f>IF(AND(H20=1,L20&gt;='Steel Angle Lintel Design'!$M$98,'AISC Angle Database'!N20&gt;='Steel Angle Lintel Design'!$M$96,'AISC Angle Database'!J20&gt;='Steel Angle Lintel Design'!$F$40,'AISC Angle Database'!J20&lt;='Steel Angle Lintel Design'!$F$41,'AISC Angle Database'!K20&gt;='Steel Angle Lintel Design'!$K$40,'AISC Angle Database'!K20&lt;='Steel Angle Lintel Design'!$K$41),1,"")</f>
        <v/>
      </c>
      <c r="B20" s="44">
        <f t="shared" si="0"/>
        <v>0</v>
      </c>
      <c r="C20" s="44">
        <f t="shared" si="1"/>
        <v>0</v>
      </c>
      <c r="D20" s="42" t="e">
        <f t="shared" ca="1" si="4"/>
        <v>#NAME?</v>
      </c>
      <c r="E20" s="44" t="e">
        <f t="shared" ca="1" si="2"/>
        <v>#NAME?</v>
      </c>
      <c r="F20" s="5" t="e">
        <f t="shared" ca="1" si="3"/>
        <v>#NAME?</v>
      </c>
      <c r="G20" s="15" t="s">
        <v>51</v>
      </c>
      <c r="H20" s="15">
        <f>IF('Steel Angle Lintel Design'!$AM$16=1,1,IF('Steel Angle Lintel Design'!$AM$16=2,0,1))</f>
        <v>0</v>
      </c>
      <c r="I20" s="18">
        <v>37.409999999999997</v>
      </c>
      <c r="J20" s="15">
        <v>8</v>
      </c>
      <c r="K20" s="15">
        <v>4</v>
      </c>
      <c r="L20" s="15">
        <v>69.7</v>
      </c>
      <c r="M20" s="15">
        <v>24.3</v>
      </c>
      <c r="N20" s="15">
        <v>14</v>
      </c>
      <c r="O20" s="15">
        <v>11.6</v>
      </c>
      <c r="P20" s="15">
        <v>7.73</v>
      </c>
      <c r="Q20" s="15">
        <v>3.94</v>
      </c>
      <c r="R20" s="13">
        <v>1</v>
      </c>
      <c r="S20" s="13">
        <v>1</v>
      </c>
      <c r="T20" s="13" t="str">
        <f>IF(S20=2,"Y",IF(J20/R20&lt;0.54*(SQRT(29000/'Steel Angle Lintel Design'!$H$31)),"Y","N"))</f>
        <v>Y</v>
      </c>
      <c r="U20" s="13" t="str">
        <f>IF(J20/R20&gt;0.91*(SQRT(29000/'Steel Angle Lintel Design'!$H$31)),"Y","N")</f>
        <v>N</v>
      </c>
      <c r="V20" s="13" t="s">
        <v>52</v>
      </c>
      <c r="W20" s="13"/>
      <c r="X20" s="13">
        <v>29</v>
      </c>
      <c r="Y20" s="13">
        <v>398</v>
      </c>
      <c r="Z20" s="13">
        <v>229</v>
      </c>
      <c r="AA20" s="13">
        <v>4.83</v>
      </c>
      <c r="AB20" s="13">
        <v>127</v>
      </c>
      <c r="AC20" s="13">
        <v>64.599999999999994</v>
      </c>
      <c r="AD20" s="8"/>
    </row>
    <row r="21" spans="1:30" s="9" customFormat="1" ht="15.75">
      <c r="A21" s="43" t="str">
        <f>IF(AND(H21=1,L21&gt;='Steel Angle Lintel Design'!$M$98,'AISC Angle Database'!N21&gt;='Steel Angle Lintel Design'!$M$96,'AISC Angle Database'!J21&gt;='Steel Angle Lintel Design'!$F$40,'AISC Angle Database'!J21&lt;='Steel Angle Lintel Design'!$F$41,'AISC Angle Database'!K21&gt;='Steel Angle Lintel Design'!$K$40,'AISC Angle Database'!K21&lt;='Steel Angle Lintel Design'!$K$41),1,"")</f>
        <v/>
      </c>
      <c r="B21" s="44">
        <f t="shared" si="0"/>
        <v>0</v>
      </c>
      <c r="C21" s="44">
        <f t="shared" si="1"/>
        <v>0</v>
      </c>
      <c r="D21" s="42" t="e">
        <f t="shared" ca="1" si="4"/>
        <v>#NAME?</v>
      </c>
      <c r="E21" s="44" t="e">
        <f t="shared" ca="1" si="2"/>
        <v>#NAME?</v>
      </c>
      <c r="F21" s="5" t="e">
        <f t="shared" ca="1" si="3"/>
        <v>#NAME?</v>
      </c>
      <c r="G21" s="15" t="s">
        <v>53</v>
      </c>
      <c r="H21" s="15">
        <f>IF('Steel Angle Lintel Design'!$AM$16=1,1,IF('Steel Angle Lintel Design'!$AM$16=2,0,1))</f>
        <v>0</v>
      </c>
      <c r="I21" s="18">
        <v>33.11</v>
      </c>
      <c r="J21" s="15">
        <v>8</v>
      </c>
      <c r="K21" s="15">
        <v>4</v>
      </c>
      <c r="L21" s="15">
        <v>62.6</v>
      </c>
      <c r="M21" s="15">
        <v>21.7</v>
      </c>
      <c r="N21" s="15">
        <v>12.5</v>
      </c>
      <c r="O21" s="15">
        <v>10.5</v>
      </c>
      <c r="P21" s="15">
        <v>6.77</v>
      </c>
      <c r="Q21" s="15">
        <v>3.51</v>
      </c>
      <c r="R21" s="13">
        <v>0.875</v>
      </c>
      <c r="S21" s="13">
        <v>1</v>
      </c>
      <c r="T21" s="13" t="str">
        <f>IF(S21=2,"Y",IF(J21/R21&lt;0.54*(SQRT(29000/'Steel Angle Lintel Design'!$H$31)),"Y","N"))</f>
        <v>Y</v>
      </c>
      <c r="U21" s="13" t="str">
        <f>IF(J21/R21&gt;0.91*(SQRT(29000/'Steel Angle Lintel Design'!$H$31)),"Y","N")</f>
        <v>N</v>
      </c>
      <c r="V21" s="13" t="s">
        <v>54</v>
      </c>
      <c r="W21" s="13"/>
      <c r="X21" s="13">
        <v>26.1</v>
      </c>
      <c r="Y21" s="13">
        <v>356</v>
      </c>
      <c r="Z21" s="13">
        <v>205</v>
      </c>
      <c r="AA21" s="13">
        <v>4.37</v>
      </c>
      <c r="AB21" s="13">
        <v>111</v>
      </c>
      <c r="AC21" s="13">
        <v>57.5</v>
      </c>
      <c r="AD21" s="8"/>
    </row>
    <row r="22" spans="1:30" s="9" customFormat="1" ht="15.75">
      <c r="A22" s="43" t="str">
        <f>IF(AND(H22=1,L22&gt;='Steel Angle Lintel Design'!$M$98,'AISC Angle Database'!N22&gt;='Steel Angle Lintel Design'!$M$96,'AISC Angle Database'!J22&gt;='Steel Angle Lintel Design'!$F$40,'AISC Angle Database'!J22&lt;='Steel Angle Lintel Design'!$F$41,'AISC Angle Database'!K22&gt;='Steel Angle Lintel Design'!$K$40,'AISC Angle Database'!K22&lt;='Steel Angle Lintel Design'!$K$41),1,"")</f>
        <v/>
      </c>
      <c r="B22" s="44">
        <f t="shared" si="0"/>
        <v>0</v>
      </c>
      <c r="C22" s="44">
        <f t="shared" si="1"/>
        <v>0</v>
      </c>
      <c r="D22" s="42" t="e">
        <f t="shared" ca="1" si="4"/>
        <v>#NAME?</v>
      </c>
      <c r="E22" s="44" t="e">
        <f t="shared" ca="1" si="2"/>
        <v>#NAME?</v>
      </c>
      <c r="F22" s="5" t="e">
        <f t="shared" ca="1" si="3"/>
        <v>#NAME?</v>
      </c>
      <c r="G22" s="15" t="s">
        <v>55</v>
      </c>
      <c r="H22" s="15">
        <f>IF('Steel Angle Lintel Design'!$AM$16=1,1,IF('Steel Angle Lintel Design'!$AM$16=2,0,1))</f>
        <v>0</v>
      </c>
      <c r="I22" s="18">
        <v>28.71</v>
      </c>
      <c r="J22" s="15">
        <v>8</v>
      </c>
      <c r="K22" s="15">
        <v>4</v>
      </c>
      <c r="L22" s="15">
        <v>55</v>
      </c>
      <c r="M22" s="15">
        <v>18.899999999999999</v>
      </c>
      <c r="N22" s="15">
        <v>10.9</v>
      </c>
      <c r="O22" s="15">
        <v>9.3699999999999992</v>
      </c>
      <c r="P22" s="15">
        <v>5.82</v>
      </c>
      <c r="Q22" s="15">
        <v>3.07</v>
      </c>
      <c r="R22" s="13">
        <v>0.75</v>
      </c>
      <c r="S22" s="13">
        <v>1</v>
      </c>
      <c r="T22" s="13" t="str">
        <f>IF(S22=2,"Y",IF(J22/R22&lt;0.54*(SQRT(29000/'Steel Angle Lintel Design'!$H$31)),"Y","N"))</f>
        <v>Y</v>
      </c>
      <c r="U22" s="13" t="str">
        <f>IF(J22/R22&gt;0.91*(SQRT(29000/'Steel Angle Lintel Design'!$H$31)),"Y","N")</f>
        <v>N</v>
      </c>
      <c r="V22" s="13" t="s">
        <v>56</v>
      </c>
      <c r="W22" s="13"/>
      <c r="X22" s="13">
        <v>22.9</v>
      </c>
      <c r="Y22" s="13">
        <v>310</v>
      </c>
      <c r="Z22" s="13">
        <v>179</v>
      </c>
      <c r="AA22" s="13">
        <v>3.9</v>
      </c>
      <c r="AB22" s="13">
        <v>95.4</v>
      </c>
      <c r="AC22" s="13">
        <v>50.3</v>
      </c>
      <c r="AD22" s="8"/>
    </row>
    <row r="23" spans="1:30" s="9" customFormat="1" ht="15.75">
      <c r="A23" s="43" t="str">
        <f>IF(AND(H23=1,L23&gt;='Steel Angle Lintel Design'!$M$98,'AISC Angle Database'!N23&gt;='Steel Angle Lintel Design'!$M$96,'AISC Angle Database'!J23&gt;='Steel Angle Lintel Design'!$F$40,'AISC Angle Database'!J23&lt;='Steel Angle Lintel Design'!$F$41,'AISC Angle Database'!K23&gt;='Steel Angle Lintel Design'!$K$40,'AISC Angle Database'!K23&lt;='Steel Angle Lintel Design'!$K$41),1,"")</f>
        <v/>
      </c>
      <c r="B23" s="44">
        <f t="shared" si="0"/>
        <v>0</v>
      </c>
      <c r="C23" s="44">
        <f t="shared" si="1"/>
        <v>0</v>
      </c>
      <c r="D23" s="42" t="e">
        <f t="shared" ca="1" si="4"/>
        <v>#NAME?</v>
      </c>
      <c r="E23" s="44" t="e">
        <f t="shared" ca="1" si="2"/>
        <v>#NAME?</v>
      </c>
      <c r="F23" s="5" t="e">
        <f t="shared" ca="1" si="3"/>
        <v>#NAME?</v>
      </c>
      <c r="G23" s="15" t="s">
        <v>57</v>
      </c>
      <c r="H23" s="15">
        <f>IF('Steel Angle Lintel Design'!$AM$16=1,1,IF('Steel Angle Lintel Design'!$AM$16=2,0,1))</f>
        <v>0</v>
      </c>
      <c r="I23" s="18">
        <v>24.21</v>
      </c>
      <c r="J23" s="15">
        <v>8</v>
      </c>
      <c r="K23" s="15">
        <v>4</v>
      </c>
      <c r="L23" s="15">
        <v>47</v>
      </c>
      <c r="M23" s="15">
        <v>16.100000000000001</v>
      </c>
      <c r="N23" s="15">
        <v>9.1999999999999993</v>
      </c>
      <c r="O23" s="15">
        <v>8.11</v>
      </c>
      <c r="P23" s="15">
        <v>4.8600000000000003</v>
      </c>
      <c r="Q23" s="15">
        <v>2.62</v>
      </c>
      <c r="R23" s="13">
        <v>0.625</v>
      </c>
      <c r="S23" s="13">
        <v>1</v>
      </c>
      <c r="T23" s="13" t="str">
        <f>IF(S23=2,"Y",IF(J23/R23&lt;0.54*(SQRT(29000/'Steel Angle Lintel Design'!$H$31)),"Y","N"))</f>
        <v>Y</v>
      </c>
      <c r="U23" s="13" t="str">
        <f>IF(J23/R23&gt;0.91*(SQRT(29000/'Steel Angle Lintel Design'!$H$31)),"Y","N")</f>
        <v>N</v>
      </c>
      <c r="V23" s="13" t="s">
        <v>58</v>
      </c>
      <c r="W23" s="13"/>
      <c r="X23" s="13">
        <v>19.600000000000001</v>
      </c>
      <c r="Y23" s="13">
        <v>264</v>
      </c>
      <c r="Z23" s="13">
        <v>151</v>
      </c>
      <c r="AA23" s="13">
        <v>3.38</v>
      </c>
      <c r="AB23" s="13">
        <v>79.599999999999994</v>
      </c>
      <c r="AC23" s="13">
        <v>42.9</v>
      </c>
      <c r="AD23" s="8"/>
    </row>
    <row r="24" spans="1:30" s="9" customFormat="1" ht="15.75">
      <c r="A24" s="43" t="str">
        <f>IF(AND(H24=1,L24&gt;='Steel Angle Lintel Design'!$M$98,'AISC Angle Database'!N24&gt;='Steel Angle Lintel Design'!$M$96,'AISC Angle Database'!J24&gt;='Steel Angle Lintel Design'!$F$40,'AISC Angle Database'!J24&lt;='Steel Angle Lintel Design'!$F$41,'AISC Angle Database'!K24&gt;='Steel Angle Lintel Design'!$K$40,'AISC Angle Database'!K24&lt;='Steel Angle Lintel Design'!$K$41),1,"")</f>
        <v/>
      </c>
      <c r="B24" s="44">
        <f t="shared" si="0"/>
        <v>0</v>
      </c>
      <c r="C24" s="44">
        <f t="shared" si="1"/>
        <v>0</v>
      </c>
      <c r="D24" s="42" t="e">
        <f t="shared" ca="1" si="4"/>
        <v>#NAME?</v>
      </c>
      <c r="E24" s="44" t="e">
        <f t="shared" ca="1" si="2"/>
        <v>#NAME?</v>
      </c>
      <c r="F24" s="5" t="e">
        <f t="shared" ca="1" si="3"/>
        <v>#NAME?</v>
      </c>
      <c r="G24" s="15" t="s">
        <v>59</v>
      </c>
      <c r="H24" s="15">
        <f>IF('Steel Angle Lintel Design'!$AM$16=1,1,IF('Steel Angle Lintel Design'!$AM$16=2,0,1))</f>
        <v>0</v>
      </c>
      <c r="I24" s="18">
        <v>21.91</v>
      </c>
      <c r="J24" s="15">
        <v>8</v>
      </c>
      <c r="K24" s="15">
        <v>4</v>
      </c>
      <c r="L24" s="15">
        <v>42.9</v>
      </c>
      <c r="M24" s="15">
        <v>14.6</v>
      </c>
      <c r="N24" s="15">
        <v>8.34</v>
      </c>
      <c r="O24" s="15">
        <v>7.44</v>
      </c>
      <c r="P24" s="15">
        <v>4.3899999999999997</v>
      </c>
      <c r="Q24" s="15">
        <v>2.38</v>
      </c>
      <c r="R24" s="13">
        <v>0.5625</v>
      </c>
      <c r="S24" s="13">
        <v>1</v>
      </c>
      <c r="T24" s="13" t="str">
        <f>IF(S24=2,"Y",IF(J24/R24&lt;0.54*(SQRT(29000/'Steel Angle Lintel Design'!$H$31)),"Y","N"))</f>
        <v>Y</v>
      </c>
      <c r="U24" s="13" t="str">
        <f>IF(J24/R24&gt;0.91*(SQRT(29000/'Steel Angle Lintel Design'!$H$31)),"Y","N")</f>
        <v>N</v>
      </c>
      <c r="V24" s="13" t="s">
        <v>60</v>
      </c>
      <c r="W24" s="13"/>
      <c r="X24" s="13">
        <v>17.899999999999999</v>
      </c>
      <c r="Y24" s="13">
        <v>239</v>
      </c>
      <c r="Z24" s="13">
        <v>137</v>
      </c>
      <c r="AA24" s="13">
        <v>3.1</v>
      </c>
      <c r="AB24" s="13">
        <v>71.900000000000006</v>
      </c>
      <c r="AC24" s="13">
        <v>39</v>
      </c>
      <c r="AD24" s="8"/>
    </row>
    <row r="25" spans="1:30" s="9" customFormat="1" ht="15.75">
      <c r="A25" s="43" t="str">
        <f>IF(AND(H25=1,L25&gt;='Steel Angle Lintel Design'!$M$98,'AISC Angle Database'!N25&gt;='Steel Angle Lintel Design'!$M$96,'AISC Angle Database'!J25&gt;='Steel Angle Lintel Design'!$F$40,'AISC Angle Database'!J25&lt;='Steel Angle Lintel Design'!$F$41,'AISC Angle Database'!K25&gt;='Steel Angle Lintel Design'!$K$40,'AISC Angle Database'!K25&lt;='Steel Angle Lintel Design'!$K$41),1,"")</f>
        <v/>
      </c>
      <c r="B25" s="44">
        <f t="shared" si="0"/>
        <v>0</v>
      </c>
      <c r="C25" s="44">
        <f t="shared" si="1"/>
        <v>0</v>
      </c>
      <c r="D25" s="42" t="e">
        <f t="shared" ca="1" si="4"/>
        <v>#NAME?</v>
      </c>
      <c r="E25" s="44" t="e">
        <f t="shared" ca="1" si="2"/>
        <v>#NAME?</v>
      </c>
      <c r="F25" s="5" t="e">
        <f t="shared" ca="1" si="3"/>
        <v>#NAME?</v>
      </c>
      <c r="G25" s="15" t="s">
        <v>61</v>
      </c>
      <c r="H25" s="15">
        <f>IF('Steel Angle Lintel Design'!$AM$16=1,1,IF('Steel Angle Lintel Design'!$AM$16=2,0,1))</f>
        <v>0</v>
      </c>
      <c r="I25" s="18">
        <v>19.61</v>
      </c>
      <c r="J25" s="15">
        <v>8</v>
      </c>
      <c r="K25" s="15">
        <v>4</v>
      </c>
      <c r="L25" s="15">
        <v>38.6</v>
      </c>
      <c r="M25" s="15">
        <v>13.1</v>
      </c>
      <c r="N25" s="15">
        <v>7.48</v>
      </c>
      <c r="O25" s="15">
        <v>6.75</v>
      </c>
      <c r="P25" s="15">
        <v>3.91</v>
      </c>
      <c r="Q25" s="15">
        <v>2.15</v>
      </c>
      <c r="R25" s="13">
        <v>0.5</v>
      </c>
      <c r="S25" s="13">
        <v>1</v>
      </c>
      <c r="T25" s="13" t="str">
        <f>IF(S25=2,"Y",IF(J25/R25&lt;0.54*(SQRT(29000/'Steel Angle Lintel Design'!$H$31)),"Y","N"))</f>
        <v>N</v>
      </c>
      <c r="U25" s="13" t="str">
        <f>IF(J25/R25&gt;0.91*(SQRT(29000/'Steel Angle Lintel Design'!$H$31)),"Y","N")</f>
        <v>N</v>
      </c>
      <c r="V25" s="13" t="s">
        <v>62</v>
      </c>
      <c r="W25" s="13"/>
      <c r="X25" s="13">
        <v>16.100000000000001</v>
      </c>
      <c r="Y25" s="13">
        <v>215</v>
      </c>
      <c r="Z25" s="13">
        <v>123</v>
      </c>
      <c r="AA25" s="13">
        <v>2.81</v>
      </c>
      <c r="AB25" s="13">
        <v>64.099999999999994</v>
      </c>
      <c r="AC25" s="13">
        <v>35.200000000000003</v>
      </c>
      <c r="AD25" s="8"/>
    </row>
    <row r="26" spans="1:30" s="9" customFormat="1" ht="15.75">
      <c r="A26" s="43" t="str">
        <f>IF(AND(H26=1,L26&gt;='Steel Angle Lintel Design'!$M$98,'AISC Angle Database'!N26&gt;='Steel Angle Lintel Design'!$M$96,'AISC Angle Database'!J26&gt;='Steel Angle Lintel Design'!$F$40,'AISC Angle Database'!J26&lt;='Steel Angle Lintel Design'!$F$41,'AISC Angle Database'!K26&gt;='Steel Angle Lintel Design'!$K$40,'AISC Angle Database'!K26&lt;='Steel Angle Lintel Design'!$K$41),1,"")</f>
        <v/>
      </c>
      <c r="B26" s="44">
        <f t="shared" si="0"/>
        <v>0</v>
      </c>
      <c r="C26" s="44">
        <f t="shared" si="1"/>
        <v>0</v>
      </c>
      <c r="D26" s="42" t="e">
        <f t="shared" ca="1" si="4"/>
        <v>#NAME?</v>
      </c>
      <c r="E26" s="44" t="e">
        <f t="shared" ca="1" si="2"/>
        <v>#NAME?</v>
      </c>
      <c r="F26" s="5" t="e">
        <f t="shared" ca="1" si="3"/>
        <v>#NAME?</v>
      </c>
      <c r="G26" s="15" t="s">
        <v>63</v>
      </c>
      <c r="H26" s="15">
        <f>IF('Steel Angle Lintel Design'!$AM$16=1,1,IF('Steel Angle Lintel Design'!$AM$16=2,0,1))</f>
        <v>0</v>
      </c>
      <c r="I26" s="18">
        <v>17.21</v>
      </c>
      <c r="J26" s="15">
        <v>8</v>
      </c>
      <c r="K26" s="15">
        <v>4</v>
      </c>
      <c r="L26" s="15">
        <v>34.200000000000003</v>
      </c>
      <c r="M26" s="15">
        <v>11.6</v>
      </c>
      <c r="N26" s="15">
        <v>6.59</v>
      </c>
      <c r="O26" s="15">
        <v>6.03</v>
      </c>
      <c r="P26" s="15">
        <v>3.42</v>
      </c>
      <c r="Q26" s="15">
        <v>1.9</v>
      </c>
      <c r="R26" s="13">
        <v>0.4375</v>
      </c>
      <c r="S26" s="13">
        <v>1</v>
      </c>
      <c r="T26" s="13" t="str">
        <f>IF(S26=2,"Y",IF(J26/R26&lt;0.54*(SQRT(29000/'Steel Angle Lintel Design'!$H$31)),"Y","N"))</f>
        <v>N</v>
      </c>
      <c r="U26" s="13" t="str">
        <f>IF(J26/R26&gt;0.91*(SQRT(29000/'Steel Angle Lintel Design'!$H$31)),"Y","N")</f>
        <v>N</v>
      </c>
      <c r="V26" s="13" t="s">
        <v>64</v>
      </c>
      <c r="W26" s="13"/>
      <c r="X26" s="13">
        <v>14.2</v>
      </c>
      <c r="Y26" s="13">
        <v>190</v>
      </c>
      <c r="Z26" s="13">
        <v>108</v>
      </c>
      <c r="AA26" s="13">
        <v>2.5099999999999998</v>
      </c>
      <c r="AB26" s="13">
        <v>56</v>
      </c>
      <c r="AC26" s="13">
        <v>31.1</v>
      </c>
      <c r="AD26" s="8"/>
    </row>
    <row r="27" spans="1:30" s="9" customFormat="1" ht="15.75">
      <c r="A27" s="43" t="str">
        <f>IF(AND(H27=1,L27&gt;='Steel Angle Lintel Design'!$M$98,'AISC Angle Database'!N27&gt;='Steel Angle Lintel Design'!$M$96,'AISC Angle Database'!J27&gt;='Steel Angle Lintel Design'!$F$40,'AISC Angle Database'!J27&lt;='Steel Angle Lintel Design'!$F$41,'AISC Angle Database'!K27&gt;='Steel Angle Lintel Design'!$K$40,'AISC Angle Database'!K27&lt;='Steel Angle Lintel Design'!$K$41),1,"")</f>
        <v/>
      </c>
      <c r="B27" s="44">
        <f t="shared" si="0"/>
        <v>0</v>
      </c>
      <c r="C27" s="44">
        <f t="shared" si="1"/>
        <v>0</v>
      </c>
      <c r="D27" s="42" t="e">
        <f t="shared" ca="1" si="4"/>
        <v>#NAME?</v>
      </c>
      <c r="E27" s="44" t="e">
        <f t="shared" ca="1" si="2"/>
        <v>#NAME?</v>
      </c>
      <c r="F27" s="5" t="e">
        <f t="shared" ca="1" si="3"/>
        <v>#NAME?</v>
      </c>
      <c r="G27" s="15" t="s">
        <v>65</v>
      </c>
      <c r="H27" s="15">
        <f>IF('Steel Angle Lintel Design'!$AM$16=1,1,IF('Steel Angle Lintel Design'!$AM$16=2,0,1))</f>
        <v>0</v>
      </c>
      <c r="I27" s="18">
        <v>26.2</v>
      </c>
      <c r="J27" s="15">
        <v>7</v>
      </c>
      <c r="K27" s="15">
        <v>4</v>
      </c>
      <c r="L27" s="15">
        <v>37.799999999999997</v>
      </c>
      <c r="M27" s="15">
        <v>14.8</v>
      </c>
      <c r="N27" s="15">
        <v>8.39</v>
      </c>
      <c r="O27" s="15">
        <v>9</v>
      </c>
      <c r="P27" s="15">
        <v>5.6</v>
      </c>
      <c r="Q27" s="15">
        <v>3.01</v>
      </c>
      <c r="R27" s="13">
        <v>0.75</v>
      </c>
      <c r="S27" s="13">
        <v>1</v>
      </c>
      <c r="T27" s="13" t="str">
        <f>IF(S27=2,"Y",IF(J27/R27&lt;0.54*(SQRT(29000/'Steel Angle Lintel Design'!$H$31)),"Y","N"))</f>
        <v>Y</v>
      </c>
      <c r="U27" s="13" t="str">
        <f>IF(J27/R27&gt;0.91*(SQRT(29000/'Steel Angle Lintel Design'!$H$31)),"Y","N")</f>
        <v>N</v>
      </c>
      <c r="V27" s="13" t="s">
        <v>66</v>
      </c>
      <c r="W27" s="13"/>
      <c r="X27" s="13">
        <v>15.7</v>
      </c>
      <c r="Y27" s="13">
        <v>243</v>
      </c>
      <c r="Z27" s="13">
        <v>137</v>
      </c>
      <c r="AA27" s="13">
        <v>3.75</v>
      </c>
      <c r="AB27" s="13">
        <v>91.8</v>
      </c>
      <c r="AC27" s="13">
        <v>49.3</v>
      </c>
      <c r="AD27" s="8"/>
    </row>
    <row r="28" spans="1:30" s="9" customFormat="1" ht="15.75">
      <c r="A28" s="43" t="str">
        <f>IF(AND(H28=1,L28&gt;='Steel Angle Lintel Design'!$M$98,'AISC Angle Database'!N28&gt;='Steel Angle Lintel Design'!$M$96,'AISC Angle Database'!J28&gt;='Steel Angle Lintel Design'!$F$40,'AISC Angle Database'!J28&lt;='Steel Angle Lintel Design'!$F$41,'AISC Angle Database'!K28&gt;='Steel Angle Lintel Design'!$K$40,'AISC Angle Database'!K28&lt;='Steel Angle Lintel Design'!$K$41),1,"")</f>
        <v/>
      </c>
      <c r="B28" s="44">
        <f t="shared" si="0"/>
        <v>0</v>
      </c>
      <c r="C28" s="44">
        <f t="shared" si="1"/>
        <v>0</v>
      </c>
      <c r="D28" s="42" t="e">
        <f t="shared" ca="1" si="4"/>
        <v>#NAME?</v>
      </c>
      <c r="E28" s="44" t="e">
        <f t="shared" ca="1" si="2"/>
        <v>#NAME?</v>
      </c>
      <c r="F28" s="5" t="e">
        <f t="shared" ca="1" si="3"/>
        <v>#NAME?</v>
      </c>
      <c r="G28" s="15" t="s">
        <v>67</v>
      </c>
      <c r="H28" s="15">
        <f>IF('Steel Angle Lintel Design'!$AM$16=1,1,IF('Steel Angle Lintel Design'!$AM$16=2,0,1))</f>
        <v>0</v>
      </c>
      <c r="I28" s="18">
        <v>22.1</v>
      </c>
      <c r="J28" s="15">
        <v>7</v>
      </c>
      <c r="K28" s="15">
        <v>4</v>
      </c>
      <c r="L28" s="15">
        <v>32.4</v>
      </c>
      <c r="M28" s="15">
        <v>12.5</v>
      </c>
      <c r="N28" s="15">
        <v>7.12</v>
      </c>
      <c r="O28" s="15">
        <v>7.79</v>
      </c>
      <c r="P28" s="15">
        <v>4.6900000000000004</v>
      </c>
      <c r="Q28" s="15">
        <v>2.56</v>
      </c>
      <c r="R28" s="13">
        <v>0.625</v>
      </c>
      <c r="S28" s="13">
        <v>1</v>
      </c>
      <c r="T28" s="13" t="str">
        <f>IF(S28=2,"Y",IF(J28/R28&lt;0.54*(SQRT(29000/'Steel Angle Lintel Design'!$H$31)),"Y","N"))</f>
        <v>Y</v>
      </c>
      <c r="U28" s="13" t="str">
        <f>IF(J28/R28&gt;0.91*(SQRT(29000/'Steel Angle Lintel Design'!$H$31)),"Y","N")</f>
        <v>N</v>
      </c>
      <c r="V28" s="13" t="s">
        <v>68</v>
      </c>
      <c r="W28" s="13"/>
      <c r="X28" s="13">
        <v>13.5</v>
      </c>
      <c r="Y28" s="13">
        <v>205</v>
      </c>
      <c r="Z28" s="13">
        <v>117</v>
      </c>
      <c r="AA28" s="13">
        <v>3.24</v>
      </c>
      <c r="AB28" s="13">
        <v>76.900000000000006</v>
      </c>
      <c r="AC28" s="13">
        <v>42</v>
      </c>
      <c r="AD28" s="8"/>
    </row>
    <row r="29" spans="1:30" s="9" customFormat="1" ht="15.75">
      <c r="A29" s="43" t="str">
        <f>IF(AND(H29=1,L29&gt;='Steel Angle Lintel Design'!$M$98,'AISC Angle Database'!N29&gt;='Steel Angle Lintel Design'!$M$96,'AISC Angle Database'!J29&gt;='Steel Angle Lintel Design'!$F$40,'AISC Angle Database'!J29&lt;='Steel Angle Lintel Design'!$F$41,'AISC Angle Database'!K29&gt;='Steel Angle Lintel Design'!$K$40,'AISC Angle Database'!K29&lt;='Steel Angle Lintel Design'!$K$41),1,"")</f>
        <v/>
      </c>
      <c r="B29" s="44">
        <f t="shared" si="0"/>
        <v>0</v>
      </c>
      <c r="C29" s="44">
        <f t="shared" si="1"/>
        <v>0</v>
      </c>
      <c r="D29" s="42" t="e">
        <f t="shared" ca="1" si="4"/>
        <v>#NAME?</v>
      </c>
      <c r="E29" s="44" t="e">
        <f t="shared" ca="1" si="2"/>
        <v>#NAME?</v>
      </c>
      <c r="F29" s="5" t="e">
        <f t="shared" ca="1" si="3"/>
        <v>#NAME?</v>
      </c>
      <c r="G29" s="15" t="s">
        <v>69</v>
      </c>
      <c r="H29" s="15">
        <f>IF('Steel Angle Lintel Design'!$AM$16=1,1,IF('Steel Angle Lintel Design'!$AM$16=2,0,1))</f>
        <v>0</v>
      </c>
      <c r="I29" s="18">
        <v>17.899999999999999</v>
      </c>
      <c r="J29" s="15">
        <v>7</v>
      </c>
      <c r="K29" s="15">
        <v>4</v>
      </c>
      <c r="L29" s="15">
        <v>26.6</v>
      </c>
      <c r="M29" s="15">
        <v>10.199999999999999</v>
      </c>
      <c r="N29" s="15">
        <v>5.79</v>
      </c>
      <c r="O29" s="15">
        <v>6.48</v>
      </c>
      <c r="P29" s="15">
        <v>3.77</v>
      </c>
      <c r="Q29" s="15">
        <v>2.1</v>
      </c>
      <c r="R29" s="13">
        <v>0.5</v>
      </c>
      <c r="S29" s="13">
        <v>1</v>
      </c>
      <c r="T29" s="13" t="str">
        <f>IF(S29=2,"Y",IF(J29/R29&lt;0.54*(SQRT(29000/'Steel Angle Lintel Design'!$H$31)),"Y","N"))</f>
        <v>Y</v>
      </c>
      <c r="U29" s="13" t="str">
        <f>IF(J29/R29&gt;0.91*(SQRT(29000/'Steel Angle Lintel Design'!$H$31)),"Y","N")</f>
        <v>N</v>
      </c>
      <c r="V29" s="13" t="s">
        <v>70</v>
      </c>
      <c r="W29" s="13"/>
      <c r="X29" s="13">
        <v>11.1</v>
      </c>
      <c r="Y29" s="13">
        <v>167</v>
      </c>
      <c r="Z29" s="13">
        <v>94.9</v>
      </c>
      <c r="AA29" s="13">
        <v>2.7</v>
      </c>
      <c r="AB29" s="13">
        <v>61.8</v>
      </c>
      <c r="AC29" s="13">
        <v>34.4</v>
      </c>
      <c r="AD29" s="8"/>
    </row>
    <row r="30" spans="1:30" s="9" customFormat="1" ht="15.75">
      <c r="A30" s="43" t="str">
        <f>IF(AND(H30=1,L30&gt;='Steel Angle Lintel Design'!$M$98,'AISC Angle Database'!N30&gt;='Steel Angle Lintel Design'!$M$96,'AISC Angle Database'!J30&gt;='Steel Angle Lintel Design'!$F$40,'AISC Angle Database'!J30&lt;='Steel Angle Lintel Design'!$F$41,'AISC Angle Database'!K30&gt;='Steel Angle Lintel Design'!$K$40,'AISC Angle Database'!K30&lt;='Steel Angle Lintel Design'!$K$41),1,"")</f>
        <v/>
      </c>
      <c r="B30" s="44">
        <f t="shared" si="0"/>
        <v>0</v>
      </c>
      <c r="C30" s="44">
        <f t="shared" si="1"/>
        <v>0</v>
      </c>
      <c r="D30" s="42" t="e">
        <f t="shared" ca="1" si="4"/>
        <v>#NAME?</v>
      </c>
      <c r="E30" s="44" t="e">
        <f t="shared" ca="1" si="2"/>
        <v>#NAME?</v>
      </c>
      <c r="F30" s="5" t="e">
        <f t="shared" ca="1" si="3"/>
        <v>#NAME?</v>
      </c>
      <c r="G30" s="15" t="s">
        <v>71</v>
      </c>
      <c r="H30" s="15">
        <f>IF('Steel Angle Lintel Design'!$AM$16=1,1,IF('Steel Angle Lintel Design'!$AM$16=2,0,1))</f>
        <v>0</v>
      </c>
      <c r="I30" s="18">
        <v>15.71</v>
      </c>
      <c r="J30" s="15">
        <v>7</v>
      </c>
      <c r="K30" s="15">
        <v>4</v>
      </c>
      <c r="L30" s="15">
        <v>23.6</v>
      </c>
      <c r="M30" s="15">
        <v>9.0299999999999994</v>
      </c>
      <c r="N30" s="15">
        <v>5.1100000000000003</v>
      </c>
      <c r="O30" s="15">
        <v>5.79</v>
      </c>
      <c r="P30" s="15">
        <v>3.31</v>
      </c>
      <c r="Q30" s="15">
        <v>1.86</v>
      </c>
      <c r="R30" s="13">
        <v>0.4375</v>
      </c>
      <c r="S30" s="13">
        <v>1</v>
      </c>
      <c r="T30" s="13" t="str">
        <f>IF(S30=2,"Y",IF(J30/R30&lt;0.54*(SQRT(29000/'Steel Angle Lintel Design'!$H$31)),"Y","N"))</f>
        <v>N</v>
      </c>
      <c r="U30" s="13" t="str">
        <f>IF(J30/R30&gt;0.91*(SQRT(29000/'Steel Angle Lintel Design'!$H$31)),"Y","N")</f>
        <v>N</v>
      </c>
      <c r="V30" s="13" t="s">
        <v>72</v>
      </c>
      <c r="W30" s="13"/>
      <c r="X30" s="13">
        <v>9.82</v>
      </c>
      <c r="Y30" s="13">
        <v>148</v>
      </c>
      <c r="Z30" s="13">
        <v>83.7</v>
      </c>
      <c r="AA30" s="13">
        <v>2.41</v>
      </c>
      <c r="AB30" s="13">
        <v>54.2</v>
      </c>
      <c r="AC30" s="13">
        <v>30.5</v>
      </c>
      <c r="AD30" s="8"/>
    </row>
    <row r="31" spans="1:30" s="9" customFormat="1" ht="15.75">
      <c r="A31" s="43" t="str">
        <f>IF(AND(H31=1,L31&gt;='Steel Angle Lintel Design'!$M$98,'AISC Angle Database'!N31&gt;='Steel Angle Lintel Design'!$M$96,'AISC Angle Database'!J31&gt;='Steel Angle Lintel Design'!$F$40,'AISC Angle Database'!J31&lt;='Steel Angle Lintel Design'!$F$41,'AISC Angle Database'!K31&gt;='Steel Angle Lintel Design'!$K$40,'AISC Angle Database'!K31&lt;='Steel Angle Lintel Design'!$K$41),1,"")</f>
        <v/>
      </c>
      <c r="B31" s="44">
        <f t="shared" si="0"/>
        <v>0</v>
      </c>
      <c r="C31" s="44">
        <f t="shared" si="1"/>
        <v>0</v>
      </c>
      <c r="D31" s="42" t="e">
        <f t="shared" ca="1" si="4"/>
        <v>#NAME?</v>
      </c>
      <c r="E31" s="44" t="e">
        <f t="shared" ca="1" si="2"/>
        <v>#NAME?</v>
      </c>
      <c r="F31" s="5" t="e">
        <f t="shared" ca="1" si="3"/>
        <v>#NAME?</v>
      </c>
      <c r="G31" s="15" t="s">
        <v>73</v>
      </c>
      <c r="H31" s="15">
        <f>IF('Steel Angle Lintel Design'!$AM$16=1,1,IF('Steel Angle Lintel Design'!$AM$16=2,0,1))</f>
        <v>0</v>
      </c>
      <c r="I31" s="18">
        <v>13.62</v>
      </c>
      <c r="J31" s="15">
        <v>7</v>
      </c>
      <c r="K31" s="15">
        <v>4</v>
      </c>
      <c r="L31" s="15">
        <v>20.5</v>
      </c>
      <c r="M31" s="15">
        <v>7.81</v>
      </c>
      <c r="N31" s="15">
        <v>4.42</v>
      </c>
      <c r="O31" s="15">
        <v>5.0599999999999996</v>
      </c>
      <c r="P31" s="15">
        <v>2.84</v>
      </c>
      <c r="Q31" s="15">
        <v>1.61</v>
      </c>
      <c r="R31" s="13">
        <v>0.375</v>
      </c>
      <c r="S31" s="13">
        <v>1</v>
      </c>
      <c r="T31" s="13" t="str">
        <f>IF(S31=2,"Y",IF(J31/R31&lt;0.54*(SQRT(29000/'Steel Angle Lintel Design'!$H$31)),"Y","N"))</f>
        <v>N</v>
      </c>
      <c r="U31" s="13" t="str">
        <f>IF(J31/R31&gt;0.91*(SQRT(29000/'Steel Angle Lintel Design'!$H$31)),"Y","N")</f>
        <v>N</v>
      </c>
      <c r="V31" s="13" t="s">
        <v>74</v>
      </c>
      <c r="W31" s="13"/>
      <c r="X31" s="13">
        <v>8.5299999999999994</v>
      </c>
      <c r="Y31" s="13">
        <v>128</v>
      </c>
      <c r="Z31" s="13">
        <v>72.400000000000006</v>
      </c>
      <c r="AA31" s="13">
        <v>2.11</v>
      </c>
      <c r="AB31" s="13">
        <v>46.5</v>
      </c>
      <c r="AC31" s="13">
        <v>26.4</v>
      </c>
      <c r="AD31" s="8"/>
    </row>
    <row r="32" spans="1:30" s="9" customFormat="1" ht="15.75">
      <c r="A32" s="43" t="str">
        <f>IF(AND(H32=1,L32&gt;='Steel Angle Lintel Design'!$M$98,'AISC Angle Database'!N32&gt;='Steel Angle Lintel Design'!$M$96,'AISC Angle Database'!J32&gt;='Steel Angle Lintel Design'!$F$40,'AISC Angle Database'!J32&lt;='Steel Angle Lintel Design'!$F$41,'AISC Angle Database'!K32&gt;='Steel Angle Lintel Design'!$K$40,'AISC Angle Database'!K32&lt;='Steel Angle Lintel Design'!$K$41),1,"")</f>
        <v/>
      </c>
      <c r="B32" s="44">
        <f t="shared" si="0"/>
        <v>0</v>
      </c>
      <c r="C32" s="44">
        <f t="shared" si="1"/>
        <v>0</v>
      </c>
      <c r="D32" s="42" t="e">
        <f t="shared" ca="1" si="4"/>
        <v>#NAME?</v>
      </c>
      <c r="E32" s="44" t="e">
        <f t="shared" ca="1" si="2"/>
        <v>#NAME?</v>
      </c>
      <c r="F32" s="5" t="e">
        <f t="shared" ca="1" si="3"/>
        <v>#NAME?</v>
      </c>
      <c r="G32" s="15" t="s">
        <v>75</v>
      </c>
      <c r="H32" s="15">
        <f>IF('Steel Angle Lintel Design'!$AM$16=1,1,IF('Steel Angle Lintel Design'!$AM$16=2,0,1))</f>
        <v>0</v>
      </c>
      <c r="I32" s="18">
        <v>37.4</v>
      </c>
      <c r="J32" s="15">
        <v>6</v>
      </c>
      <c r="K32" s="15">
        <v>6</v>
      </c>
      <c r="L32" s="15">
        <v>35.4</v>
      </c>
      <c r="M32" s="15">
        <v>15.4</v>
      </c>
      <c r="N32" s="15">
        <v>8.5500000000000007</v>
      </c>
      <c r="O32" s="15">
        <v>35.4</v>
      </c>
      <c r="P32" s="15">
        <v>15.4</v>
      </c>
      <c r="Q32" s="15">
        <v>8.5500000000000007</v>
      </c>
      <c r="R32" s="13">
        <v>1</v>
      </c>
      <c r="S32" s="13">
        <v>1</v>
      </c>
      <c r="T32" s="13" t="str">
        <f>IF(S32=2,"Y",IF(J32/R32&lt;0.54*(SQRT(29000/'Steel Angle Lintel Design'!$H$31)),"Y","N"))</f>
        <v>Y</v>
      </c>
      <c r="U32" s="13" t="str">
        <f>IF(J32/R32&gt;0.91*(SQRT(29000/'Steel Angle Lintel Design'!$H$31)),"Y","N")</f>
        <v>N</v>
      </c>
      <c r="V32" s="13" t="s">
        <v>76</v>
      </c>
      <c r="W32" s="13"/>
      <c r="X32" s="13">
        <v>14.7</v>
      </c>
      <c r="Y32" s="13">
        <v>252</v>
      </c>
      <c r="Z32" s="13">
        <v>140</v>
      </c>
      <c r="AA32" s="13">
        <v>14.7</v>
      </c>
      <c r="AB32" s="13">
        <v>252</v>
      </c>
      <c r="AC32" s="13">
        <v>140</v>
      </c>
      <c r="AD32" s="8"/>
    </row>
    <row r="33" spans="1:30" s="9" customFormat="1" ht="15.75">
      <c r="A33" s="43" t="str">
        <f>IF(AND(H33=1,L33&gt;='Steel Angle Lintel Design'!$M$98,'AISC Angle Database'!N33&gt;='Steel Angle Lintel Design'!$M$96,'AISC Angle Database'!J33&gt;='Steel Angle Lintel Design'!$F$40,'AISC Angle Database'!J33&lt;='Steel Angle Lintel Design'!$F$41,'AISC Angle Database'!K33&gt;='Steel Angle Lintel Design'!$K$40,'AISC Angle Database'!K33&lt;='Steel Angle Lintel Design'!$K$41),1,"")</f>
        <v/>
      </c>
      <c r="B33" s="44">
        <f t="shared" si="0"/>
        <v>0</v>
      </c>
      <c r="C33" s="44">
        <f t="shared" si="1"/>
        <v>0</v>
      </c>
      <c r="D33" s="42" t="e">
        <f t="shared" ca="1" si="4"/>
        <v>#NAME?</v>
      </c>
      <c r="E33" s="44" t="e">
        <f t="shared" ca="1" si="2"/>
        <v>#NAME?</v>
      </c>
      <c r="F33" s="5" t="e">
        <f t="shared" ca="1" si="3"/>
        <v>#NAME?</v>
      </c>
      <c r="G33" s="15" t="s">
        <v>77</v>
      </c>
      <c r="H33" s="15">
        <f>IF('Steel Angle Lintel Design'!$AM$16=1,1,IF('Steel Angle Lintel Design'!$AM$16=2,0,1))</f>
        <v>0</v>
      </c>
      <c r="I33" s="18">
        <v>33.1</v>
      </c>
      <c r="J33" s="15">
        <v>6</v>
      </c>
      <c r="K33" s="15">
        <v>6</v>
      </c>
      <c r="L33" s="15">
        <v>31.9</v>
      </c>
      <c r="M33" s="15">
        <v>13.7</v>
      </c>
      <c r="N33" s="15">
        <v>7.61</v>
      </c>
      <c r="O33" s="15">
        <v>31.9</v>
      </c>
      <c r="P33" s="15">
        <v>13.7</v>
      </c>
      <c r="Q33" s="15">
        <v>7.61</v>
      </c>
      <c r="R33" s="13">
        <v>0.875</v>
      </c>
      <c r="S33" s="13">
        <v>1</v>
      </c>
      <c r="T33" s="13" t="str">
        <f>IF(S33=2,"Y",IF(J33/R33&lt;0.54*(SQRT(29000/'Steel Angle Lintel Design'!$H$31)),"Y","N"))</f>
        <v>Y</v>
      </c>
      <c r="U33" s="13" t="str">
        <f>IF(J33/R33&gt;0.91*(SQRT(29000/'Steel Angle Lintel Design'!$H$31)),"Y","N")</f>
        <v>N</v>
      </c>
      <c r="V33" s="13" t="s">
        <v>78</v>
      </c>
      <c r="W33" s="13"/>
      <c r="X33" s="13">
        <v>13.3</v>
      </c>
      <c r="Y33" s="13">
        <v>225</v>
      </c>
      <c r="Z33" s="13">
        <v>125</v>
      </c>
      <c r="AA33" s="13">
        <v>13.3</v>
      </c>
      <c r="AB33" s="13">
        <v>225</v>
      </c>
      <c r="AC33" s="13">
        <v>125</v>
      </c>
      <c r="AD33" s="8"/>
    </row>
    <row r="34" spans="1:30" s="9" customFormat="1" ht="15.75">
      <c r="A34" s="43" t="str">
        <f>IF(AND(H34=1,L34&gt;='Steel Angle Lintel Design'!$M$98,'AISC Angle Database'!N34&gt;='Steel Angle Lintel Design'!$M$96,'AISC Angle Database'!J34&gt;='Steel Angle Lintel Design'!$F$40,'AISC Angle Database'!J34&lt;='Steel Angle Lintel Design'!$F$41,'AISC Angle Database'!K34&gt;='Steel Angle Lintel Design'!$K$40,'AISC Angle Database'!K34&lt;='Steel Angle Lintel Design'!$K$41),1,"")</f>
        <v/>
      </c>
      <c r="B34" s="44">
        <f t="shared" si="0"/>
        <v>0</v>
      </c>
      <c r="C34" s="44">
        <f t="shared" si="1"/>
        <v>0</v>
      </c>
      <c r="D34" s="42" t="e">
        <f t="shared" ca="1" si="4"/>
        <v>#NAME?</v>
      </c>
      <c r="E34" s="44" t="e">
        <f t="shared" ca="1" si="2"/>
        <v>#NAME?</v>
      </c>
      <c r="F34" s="5" t="e">
        <f t="shared" ca="1" si="3"/>
        <v>#NAME?</v>
      </c>
      <c r="G34" s="15" t="s">
        <v>79</v>
      </c>
      <c r="H34" s="15">
        <f>IF('Steel Angle Lintel Design'!$AM$16=1,1,IF('Steel Angle Lintel Design'!$AM$16=2,0,1))</f>
        <v>0</v>
      </c>
      <c r="I34" s="18">
        <v>28.7</v>
      </c>
      <c r="J34" s="15">
        <v>6</v>
      </c>
      <c r="K34" s="15">
        <v>6</v>
      </c>
      <c r="L34" s="15">
        <v>28.1</v>
      </c>
      <c r="M34" s="15">
        <v>11.9</v>
      </c>
      <c r="N34" s="15">
        <v>6.64</v>
      </c>
      <c r="O34" s="15">
        <v>28.1</v>
      </c>
      <c r="P34" s="15">
        <v>11.9</v>
      </c>
      <c r="Q34" s="15">
        <v>6.64</v>
      </c>
      <c r="R34" s="13">
        <v>0.75</v>
      </c>
      <c r="S34" s="13">
        <v>1</v>
      </c>
      <c r="T34" s="13" t="str">
        <f>IF(S34=2,"Y",IF(J34/R34&lt;0.54*(SQRT(29000/'Steel Angle Lintel Design'!$H$31)),"Y","N"))</f>
        <v>Y</v>
      </c>
      <c r="U34" s="13" t="str">
        <f>IF(J34/R34&gt;0.91*(SQRT(29000/'Steel Angle Lintel Design'!$H$31)),"Y","N")</f>
        <v>N</v>
      </c>
      <c r="V34" s="13" t="s">
        <v>80</v>
      </c>
      <c r="W34" s="13"/>
      <c r="X34" s="13">
        <v>11.7</v>
      </c>
      <c r="Y34" s="13">
        <v>195</v>
      </c>
      <c r="Z34" s="13">
        <v>109</v>
      </c>
      <c r="AA34" s="13">
        <v>11.7</v>
      </c>
      <c r="AB34" s="13">
        <v>195</v>
      </c>
      <c r="AC34" s="13">
        <v>109</v>
      </c>
      <c r="AD34" s="8"/>
    </row>
    <row r="35" spans="1:30" s="9" customFormat="1" ht="15.75">
      <c r="A35" s="43" t="str">
        <f>IF(AND(H35=1,L35&gt;='Steel Angle Lintel Design'!$M$98,'AISC Angle Database'!N35&gt;='Steel Angle Lintel Design'!$M$96,'AISC Angle Database'!J35&gt;='Steel Angle Lintel Design'!$F$40,'AISC Angle Database'!J35&lt;='Steel Angle Lintel Design'!$F$41,'AISC Angle Database'!K35&gt;='Steel Angle Lintel Design'!$K$40,'AISC Angle Database'!K35&lt;='Steel Angle Lintel Design'!$K$41),1,"")</f>
        <v/>
      </c>
      <c r="B35" s="44">
        <f t="shared" si="0"/>
        <v>0</v>
      </c>
      <c r="C35" s="44">
        <f t="shared" si="1"/>
        <v>0</v>
      </c>
      <c r="D35" s="42" t="e">
        <f t="shared" ca="1" si="4"/>
        <v>#NAME?</v>
      </c>
      <c r="E35" s="44" t="e">
        <f t="shared" ca="1" si="2"/>
        <v>#NAME?</v>
      </c>
      <c r="F35" s="5" t="e">
        <f t="shared" ca="1" si="3"/>
        <v>#NAME?</v>
      </c>
      <c r="G35" s="15" t="s">
        <v>81</v>
      </c>
      <c r="H35" s="15">
        <f>IF('Steel Angle Lintel Design'!$AM$16=1,1,IF('Steel Angle Lintel Design'!$AM$16=2,0,1))</f>
        <v>0</v>
      </c>
      <c r="I35" s="18">
        <v>24.2</v>
      </c>
      <c r="J35" s="15">
        <v>6</v>
      </c>
      <c r="K35" s="15">
        <v>6</v>
      </c>
      <c r="L35" s="15">
        <v>24.1</v>
      </c>
      <c r="M35" s="15">
        <v>10.1</v>
      </c>
      <c r="N35" s="15">
        <v>5.64</v>
      </c>
      <c r="O35" s="15">
        <v>24.1</v>
      </c>
      <c r="P35" s="15">
        <v>10.1</v>
      </c>
      <c r="Q35" s="15">
        <v>5.64</v>
      </c>
      <c r="R35" s="13">
        <v>0.625</v>
      </c>
      <c r="S35" s="13">
        <v>1</v>
      </c>
      <c r="T35" s="13" t="str">
        <f>IF(S35=2,"Y",IF(J35/R35&lt;0.54*(SQRT(29000/'Steel Angle Lintel Design'!$H$31)),"Y","N"))</f>
        <v>Y</v>
      </c>
      <c r="U35" s="13" t="str">
        <f>IF(J35/R35&gt;0.91*(SQRT(29000/'Steel Angle Lintel Design'!$H$31)),"Y","N")</f>
        <v>N</v>
      </c>
      <c r="V35" s="13" t="s">
        <v>82</v>
      </c>
      <c r="W35" s="13"/>
      <c r="X35" s="13">
        <v>10</v>
      </c>
      <c r="Y35" s="13">
        <v>166</v>
      </c>
      <c r="Z35" s="13">
        <v>92.4</v>
      </c>
      <c r="AA35" s="13">
        <v>10</v>
      </c>
      <c r="AB35" s="13">
        <v>166</v>
      </c>
      <c r="AC35" s="13">
        <v>92.4</v>
      </c>
      <c r="AD35" s="8"/>
    </row>
    <row r="36" spans="1:30" s="9" customFormat="1" ht="15.75">
      <c r="A36" s="43" t="str">
        <f>IF(AND(H36=1,L36&gt;='Steel Angle Lintel Design'!$M$98,'AISC Angle Database'!N36&gt;='Steel Angle Lintel Design'!$M$96,'AISC Angle Database'!J36&gt;='Steel Angle Lintel Design'!$F$40,'AISC Angle Database'!J36&lt;='Steel Angle Lintel Design'!$F$41,'AISC Angle Database'!K36&gt;='Steel Angle Lintel Design'!$K$40,'AISC Angle Database'!K36&lt;='Steel Angle Lintel Design'!$K$41),1,"")</f>
        <v/>
      </c>
      <c r="B36" s="44">
        <f t="shared" si="0"/>
        <v>0</v>
      </c>
      <c r="C36" s="44">
        <f t="shared" si="1"/>
        <v>0</v>
      </c>
      <c r="D36" s="42" t="e">
        <f t="shared" ca="1" si="4"/>
        <v>#NAME?</v>
      </c>
      <c r="E36" s="44" t="e">
        <f t="shared" ca="1" si="2"/>
        <v>#NAME?</v>
      </c>
      <c r="F36" s="5" t="e">
        <f t="shared" ca="1" si="3"/>
        <v>#NAME?</v>
      </c>
      <c r="G36" s="15" t="s">
        <v>83</v>
      </c>
      <c r="H36" s="15">
        <f>IF('Steel Angle Lintel Design'!$AM$16=1,1,IF('Steel Angle Lintel Design'!$AM$16=2,0,1))</f>
        <v>0</v>
      </c>
      <c r="I36" s="18">
        <v>21.9</v>
      </c>
      <c r="J36" s="15">
        <v>6</v>
      </c>
      <c r="K36" s="15">
        <v>6</v>
      </c>
      <c r="L36" s="15">
        <v>22</v>
      </c>
      <c r="M36" s="15">
        <v>9.18</v>
      </c>
      <c r="N36" s="15">
        <v>5.12</v>
      </c>
      <c r="O36" s="15">
        <v>22</v>
      </c>
      <c r="P36" s="15">
        <v>9.17</v>
      </c>
      <c r="Q36" s="15">
        <v>5.12</v>
      </c>
      <c r="R36" s="13">
        <v>0.5625</v>
      </c>
      <c r="S36" s="13">
        <v>1</v>
      </c>
      <c r="T36" s="13" t="str">
        <f>IF(S36=2,"Y",IF(J36/R36&lt;0.54*(SQRT(29000/'Steel Angle Lintel Design'!$H$31)),"Y","N"))</f>
        <v>Y</v>
      </c>
      <c r="U36" s="13" t="str">
        <f>IF(J36/R36&gt;0.91*(SQRT(29000/'Steel Angle Lintel Design'!$H$31)),"Y","N")</f>
        <v>N</v>
      </c>
      <c r="V36" s="13" t="s">
        <v>84</v>
      </c>
      <c r="W36" s="13"/>
      <c r="X36" s="13">
        <v>9.16</v>
      </c>
      <c r="Y36" s="13">
        <v>150</v>
      </c>
      <c r="Z36" s="13">
        <v>83.9</v>
      </c>
      <c r="AA36" s="13">
        <v>9.16</v>
      </c>
      <c r="AB36" s="13">
        <v>150</v>
      </c>
      <c r="AC36" s="13">
        <v>83.9</v>
      </c>
      <c r="AD36" s="8"/>
    </row>
    <row r="37" spans="1:30" s="9" customFormat="1" ht="15.75">
      <c r="A37" s="43" t="str">
        <f>IF(AND(H37=1,L37&gt;='Steel Angle Lintel Design'!$M$98,'AISC Angle Database'!N37&gt;='Steel Angle Lintel Design'!$M$96,'AISC Angle Database'!J37&gt;='Steel Angle Lintel Design'!$F$40,'AISC Angle Database'!J37&lt;='Steel Angle Lintel Design'!$F$41,'AISC Angle Database'!K37&gt;='Steel Angle Lintel Design'!$K$40,'AISC Angle Database'!K37&lt;='Steel Angle Lintel Design'!$K$41),1,"")</f>
        <v/>
      </c>
      <c r="B37" s="44">
        <f t="shared" si="0"/>
        <v>0</v>
      </c>
      <c r="C37" s="44">
        <f t="shared" si="1"/>
        <v>0</v>
      </c>
      <c r="D37" s="42" t="e">
        <f t="shared" ca="1" si="4"/>
        <v>#NAME?</v>
      </c>
      <c r="E37" s="44" t="e">
        <f t="shared" ca="1" si="2"/>
        <v>#NAME?</v>
      </c>
      <c r="F37" s="5" t="e">
        <f t="shared" ca="1" si="3"/>
        <v>#NAME?</v>
      </c>
      <c r="G37" s="15" t="s">
        <v>85</v>
      </c>
      <c r="H37" s="15">
        <f>IF('Steel Angle Lintel Design'!$AM$16=1,1,IF('Steel Angle Lintel Design'!$AM$16=2,0,1))</f>
        <v>0</v>
      </c>
      <c r="I37" s="18">
        <v>19.59</v>
      </c>
      <c r="J37" s="15">
        <v>6</v>
      </c>
      <c r="K37" s="15">
        <v>6</v>
      </c>
      <c r="L37" s="15">
        <v>19.899999999999999</v>
      </c>
      <c r="M37" s="15">
        <v>8.2200000000000006</v>
      </c>
      <c r="N37" s="15">
        <v>4.59</v>
      </c>
      <c r="O37" s="15">
        <v>19.899999999999999</v>
      </c>
      <c r="P37" s="15">
        <v>8.2200000000000006</v>
      </c>
      <c r="Q37" s="15">
        <v>4.59</v>
      </c>
      <c r="R37" s="13">
        <v>0.5</v>
      </c>
      <c r="S37" s="13">
        <v>1</v>
      </c>
      <c r="T37" s="13" t="str">
        <f>IF(S37=2,"Y",IF(J37/R37&lt;0.54*(SQRT(29000/'Steel Angle Lintel Design'!$H$31)),"Y","N"))</f>
        <v>Y</v>
      </c>
      <c r="U37" s="13" t="str">
        <f>IF(J37/R37&gt;0.91*(SQRT(29000/'Steel Angle Lintel Design'!$H$31)),"Y","N")</f>
        <v>N</v>
      </c>
      <c r="V37" s="13" t="s">
        <v>86</v>
      </c>
      <c r="W37" s="13"/>
      <c r="X37" s="13">
        <v>8.2799999999999994</v>
      </c>
      <c r="Y37" s="13">
        <v>135</v>
      </c>
      <c r="Z37" s="13">
        <v>75.2</v>
      </c>
      <c r="AA37" s="13">
        <v>8.2799999999999994</v>
      </c>
      <c r="AB37" s="13">
        <v>135</v>
      </c>
      <c r="AC37" s="13">
        <v>75.2</v>
      </c>
      <c r="AD37" s="8"/>
    </row>
    <row r="38" spans="1:30" s="9" customFormat="1" ht="15.75">
      <c r="A38" s="43" t="str">
        <f>IF(AND(H38=1,L38&gt;='Steel Angle Lintel Design'!$M$98,'AISC Angle Database'!N38&gt;='Steel Angle Lintel Design'!$M$96,'AISC Angle Database'!J38&gt;='Steel Angle Lintel Design'!$F$40,'AISC Angle Database'!J38&lt;='Steel Angle Lintel Design'!$F$41,'AISC Angle Database'!K38&gt;='Steel Angle Lintel Design'!$K$40,'AISC Angle Database'!K38&lt;='Steel Angle Lintel Design'!$K$41),1,"")</f>
        <v/>
      </c>
      <c r="B38" s="44">
        <f t="shared" si="0"/>
        <v>0</v>
      </c>
      <c r="C38" s="44">
        <f t="shared" si="1"/>
        <v>0</v>
      </c>
      <c r="D38" s="42" t="e">
        <f ca="1">_xlfn.RANK.EQ(C38,$C$6:$C$333)</f>
        <v>#NAME?</v>
      </c>
      <c r="E38" s="44" t="e">
        <f t="shared" ca="1" si="2"/>
        <v>#NAME?</v>
      </c>
      <c r="F38" s="5" t="e">
        <f t="shared" ca="1" si="3"/>
        <v>#NAME?</v>
      </c>
      <c r="G38" s="15" t="s">
        <v>87</v>
      </c>
      <c r="H38" s="15">
        <f>IF('Steel Angle Lintel Design'!$AM$16=1,1,IF('Steel Angle Lintel Design'!$AM$16=2,0,1))</f>
        <v>0</v>
      </c>
      <c r="I38" s="18">
        <v>17.2</v>
      </c>
      <c r="J38" s="15">
        <v>6</v>
      </c>
      <c r="K38" s="15">
        <v>6</v>
      </c>
      <c r="L38" s="15">
        <v>17.600000000000001</v>
      </c>
      <c r="M38" s="15">
        <v>7.25</v>
      </c>
      <c r="N38" s="15">
        <v>4.0599999999999996</v>
      </c>
      <c r="O38" s="15">
        <v>17.600000000000001</v>
      </c>
      <c r="P38" s="15">
        <v>7.25</v>
      </c>
      <c r="Q38" s="15">
        <v>4.0599999999999996</v>
      </c>
      <c r="R38" s="13">
        <v>0.4375</v>
      </c>
      <c r="S38" s="13">
        <v>1</v>
      </c>
      <c r="T38" s="13" t="str">
        <f>IF(S38=2,"Y",IF(J38/R38&lt;0.54*(SQRT(29000/'Steel Angle Lintel Design'!$H$31)),"Y","N"))</f>
        <v>Y</v>
      </c>
      <c r="U38" s="13" t="str">
        <f>IF(J38/R38&gt;0.91*(SQRT(29000/'Steel Angle Lintel Design'!$H$31)),"Y","N")</f>
        <v>N</v>
      </c>
      <c r="V38" s="13" t="s">
        <v>88</v>
      </c>
      <c r="W38" s="13"/>
      <c r="X38" s="13">
        <v>7.33</v>
      </c>
      <c r="Y38" s="13">
        <v>119</v>
      </c>
      <c r="Z38" s="13">
        <v>66.5</v>
      </c>
      <c r="AA38" s="13">
        <v>7.33</v>
      </c>
      <c r="AB38" s="13">
        <v>119</v>
      </c>
      <c r="AC38" s="13">
        <v>66.5</v>
      </c>
      <c r="AD38" s="8"/>
    </row>
    <row r="39" spans="1:30" s="9" customFormat="1" ht="15.75">
      <c r="A39" s="43" t="str">
        <f>IF(AND(H39=1,L39&gt;='Steel Angle Lintel Design'!$M$98,'AISC Angle Database'!N39&gt;='Steel Angle Lintel Design'!$M$96,'AISC Angle Database'!J39&gt;='Steel Angle Lintel Design'!$F$40,'AISC Angle Database'!J39&lt;='Steel Angle Lintel Design'!$F$41,'AISC Angle Database'!K39&gt;='Steel Angle Lintel Design'!$K$40,'AISC Angle Database'!K39&lt;='Steel Angle Lintel Design'!$K$41),1,"")</f>
        <v/>
      </c>
      <c r="B39" s="44">
        <f t="shared" si="0"/>
        <v>0</v>
      </c>
      <c r="C39" s="44">
        <f t="shared" si="1"/>
        <v>0</v>
      </c>
      <c r="D39" s="42" t="e">
        <f t="shared" ca="1" si="4"/>
        <v>#NAME?</v>
      </c>
      <c r="E39" s="44" t="e">
        <f t="shared" ca="1" si="2"/>
        <v>#NAME?</v>
      </c>
      <c r="F39" s="5" t="e">
        <f t="shared" ca="1" si="3"/>
        <v>#NAME?</v>
      </c>
      <c r="G39" s="15" t="s">
        <v>89</v>
      </c>
      <c r="H39" s="15">
        <f>IF('Steel Angle Lintel Design'!$AM$16=1,1,IF('Steel Angle Lintel Design'!$AM$16=2,0,1))</f>
        <v>0</v>
      </c>
      <c r="I39" s="18">
        <v>14.9</v>
      </c>
      <c r="J39" s="15">
        <v>6</v>
      </c>
      <c r="K39" s="15">
        <v>6</v>
      </c>
      <c r="L39" s="15">
        <v>15.4</v>
      </c>
      <c r="M39" s="15">
        <v>6.27</v>
      </c>
      <c r="N39" s="15">
        <v>3.51</v>
      </c>
      <c r="O39" s="15">
        <v>15.4</v>
      </c>
      <c r="P39" s="15">
        <v>6.26</v>
      </c>
      <c r="Q39" s="15">
        <v>3.51</v>
      </c>
      <c r="R39" s="13">
        <v>0.375</v>
      </c>
      <c r="S39" s="13">
        <v>1</v>
      </c>
      <c r="T39" s="13" t="str">
        <f>IF(S39=2,"Y",IF(J39/R39&lt;0.54*(SQRT(29000/'Steel Angle Lintel Design'!$H$31)),"Y","N"))</f>
        <v>N</v>
      </c>
      <c r="U39" s="13" t="str">
        <f>IF(J39/R39&gt;0.91*(SQRT(29000/'Steel Angle Lintel Design'!$H$31)),"Y","N")</f>
        <v>N</v>
      </c>
      <c r="V39" s="13" t="s">
        <v>90</v>
      </c>
      <c r="W39" s="13"/>
      <c r="X39" s="13">
        <v>6.41</v>
      </c>
      <c r="Y39" s="13">
        <v>103</v>
      </c>
      <c r="Z39" s="13">
        <v>57.5</v>
      </c>
      <c r="AA39" s="13">
        <v>6.41</v>
      </c>
      <c r="AB39" s="13">
        <v>103</v>
      </c>
      <c r="AC39" s="13">
        <v>57.5</v>
      </c>
      <c r="AD39" s="8"/>
    </row>
    <row r="40" spans="1:30" s="9" customFormat="1" ht="15.75">
      <c r="A40" s="43" t="str">
        <f>IF(AND(H40=1,L40&gt;='Steel Angle Lintel Design'!$M$98,'AISC Angle Database'!N40&gt;='Steel Angle Lintel Design'!$M$96,'AISC Angle Database'!J40&gt;='Steel Angle Lintel Design'!$F$40,'AISC Angle Database'!J40&lt;='Steel Angle Lintel Design'!$F$41,'AISC Angle Database'!K40&gt;='Steel Angle Lintel Design'!$K$40,'AISC Angle Database'!K40&lt;='Steel Angle Lintel Design'!$K$41),1,"")</f>
        <v/>
      </c>
      <c r="B40" s="44">
        <f t="shared" si="0"/>
        <v>0</v>
      </c>
      <c r="C40" s="44">
        <f t="shared" si="1"/>
        <v>0</v>
      </c>
      <c r="D40" s="42" t="e">
        <f t="shared" ca="1" si="4"/>
        <v>#NAME?</v>
      </c>
      <c r="E40" s="44" t="e">
        <f t="shared" ca="1" si="2"/>
        <v>#NAME?</v>
      </c>
      <c r="F40" s="5" t="e">
        <f t="shared" ca="1" si="3"/>
        <v>#NAME?</v>
      </c>
      <c r="G40" s="15" t="s">
        <v>91</v>
      </c>
      <c r="H40" s="15">
        <f>IF('Steel Angle Lintel Design'!$AM$16=1,1,IF('Steel Angle Lintel Design'!$AM$16=2,0,1))</f>
        <v>0</v>
      </c>
      <c r="I40" s="19">
        <v>12.4</v>
      </c>
      <c r="J40" s="15">
        <v>6</v>
      </c>
      <c r="K40" s="15">
        <v>6</v>
      </c>
      <c r="L40" s="24">
        <v>13</v>
      </c>
      <c r="M40" s="15">
        <v>5.26</v>
      </c>
      <c r="N40" s="15">
        <v>2.95</v>
      </c>
      <c r="O40" s="15">
        <v>13</v>
      </c>
      <c r="P40" s="15">
        <v>5.26</v>
      </c>
      <c r="Q40" s="15">
        <v>2.95</v>
      </c>
      <c r="R40" s="13">
        <v>0.3125</v>
      </c>
      <c r="S40" s="13">
        <v>1</v>
      </c>
      <c r="T40" s="13" t="str">
        <f>IF(S40=2,"Y",IF(J40/R40&lt;0.54*(SQRT(29000/'Steel Angle Lintel Design'!$H$31)),"Y","N"))</f>
        <v>N</v>
      </c>
      <c r="U40" s="13" t="str">
        <f>IF(J40/R40&gt;0.91*(SQRT(29000/'Steel Angle Lintel Design'!$H$31)),"Y","N")</f>
        <v>N</v>
      </c>
      <c r="V40" s="13" t="s">
        <v>92</v>
      </c>
      <c r="W40" s="13"/>
      <c r="X40" s="13">
        <v>5.41</v>
      </c>
      <c r="Y40" s="13">
        <v>86.2</v>
      </c>
      <c r="Z40" s="13">
        <v>48.3</v>
      </c>
      <c r="AA40" s="13">
        <v>5.41</v>
      </c>
      <c r="AB40" s="13">
        <v>86.2</v>
      </c>
      <c r="AC40" s="13">
        <v>48.3</v>
      </c>
      <c r="AD40" s="8"/>
    </row>
    <row r="41" spans="1:30" s="8" customFormat="1" ht="15.75">
      <c r="A41" s="43" t="str">
        <f>IF(AND(H41=1,L41&gt;='Steel Angle Lintel Design'!$M$98,'AISC Angle Database'!N41&gt;='Steel Angle Lintel Design'!$M$96,'AISC Angle Database'!J41&gt;='Steel Angle Lintel Design'!$F$40,'AISC Angle Database'!J41&lt;='Steel Angle Lintel Design'!$F$41,'AISC Angle Database'!K41&gt;='Steel Angle Lintel Design'!$K$40,'AISC Angle Database'!K41&lt;='Steel Angle Lintel Design'!$K$41),1,"")</f>
        <v/>
      </c>
      <c r="B41" s="44">
        <f t="shared" si="0"/>
        <v>0</v>
      </c>
      <c r="C41" s="44">
        <f t="shared" si="1"/>
        <v>0</v>
      </c>
      <c r="D41" s="42" t="e">
        <f t="shared" ca="1" si="4"/>
        <v>#NAME?</v>
      </c>
      <c r="E41" s="44" t="e">
        <f t="shared" ca="1" si="2"/>
        <v>#NAME?</v>
      </c>
      <c r="F41" s="5" t="e">
        <f t="shared" ca="1" si="3"/>
        <v>#NAME?</v>
      </c>
      <c r="G41" s="15" t="s">
        <v>93</v>
      </c>
      <c r="H41" s="15">
        <f>IF('Steel Angle Lintel Design'!$AM$16=1,1,IF('Steel Angle Lintel Design'!$AM$16=2,0,1))</f>
        <v>0</v>
      </c>
      <c r="I41" s="18">
        <v>27.21</v>
      </c>
      <c r="J41" s="15">
        <v>6</v>
      </c>
      <c r="K41" s="15">
        <v>4</v>
      </c>
      <c r="L41" s="15">
        <v>27.7</v>
      </c>
      <c r="M41" s="15">
        <v>12.7</v>
      </c>
      <c r="N41" s="15">
        <v>7.13</v>
      </c>
      <c r="O41" s="15">
        <v>9.6999999999999993</v>
      </c>
      <c r="P41" s="15">
        <v>6.26</v>
      </c>
      <c r="Q41" s="15">
        <v>3.37</v>
      </c>
      <c r="R41" s="13">
        <v>0.875</v>
      </c>
      <c r="S41" s="13">
        <v>1</v>
      </c>
      <c r="T41" s="13" t="str">
        <f>IF(S41=2,"Y",IF(J41/R41&lt;0.54*(SQRT(29000/'Steel Angle Lintel Design'!$H$31)),"Y","N"))</f>
        <v>Y</v>
      </c>
      <c r="U41" s="13" t="str">
        <f>IF(J41/R41&gt;0.91*(SQRT(29000/'Steel Angle Lintel Design'!$H$31)),"Y","N")</f>
        <v>N</v>
      </c>
      <c r="V41" s="13" t="s">
        <v>94</v>
      </c>
      <c r="W41" s="13"/>
      <c r="X41" s="13">
        <v>11.5</v>
      </c>
      <c r="Y41" s="13">
        <v>208</v>
      </c>
      <c r="Z41" s="13">
        <v>117</v>
      </c>
      <c r="AA41" s="13">
        <v>4.04</v>
      </c>
      <c r="AB41" s="13">
        <v>103</v>
      </c>
      <c r="AC41" s="13">
        <v>55.2</v>
      </c>
    </row>
    <row r="42" spans="1:30" s="9" customFormat="1" ht="15.75">
      <c r="A42" s="43" t="str">
        <f>IF(AND(H42=1,L42&gt;='Steel Angle Lintel Design'!$M$98,'AISC Angle Database'!N42&gt;='Steel Angle Lintel Design'!$M$96,'AISC Angle Database'!J42&gt;='Steel Angle Lintel Design'!$F$40,'AISC Angle Database'!J42&lt;='Steel Angle Lintel Design'!$F$41,'AISC Angle Database'!K42&gt;='Steel Angle Lintel Design'!$K$40,'AISC Angle Database'!K42&lt;='Steel Angle Lintel Design'!$K$41),1,"")</f>
        <v/>
      </c>
      <c r="B42" s="44">
        <f t="shared" si="0"/>
        <v>0</v>
      </c>
      <c r="C42" s="44">
        <f t="shared" si="1"/>
        <v>0</v>
      </c>
      <c r="D42" s="42" t="e">
        <f t="shared" ca="1" si="4"/>
        <v>#NAME?</v>
      </c>
      <c r="E42" s="44" t="e">
        <f t="shared" ca="1" si="2"/>
        <v>#NAME?</v>
      </c>
      <c r="F42" s="5" t="e">
        <f t="shared" ca="1" si="3"/>
        <v>#NAME?</v>
      </c>
      <c r="G42" s="15" t="s">
        <v>95</v>
      </c>
      <c r="H42" s="15">
        <f>IF('Steel Angle Lintel Design'!$AM$16=1,1,IF('Steel Angle Lintel Design'!$AM$16=2,0,1))</f>
        <v>0</v>
      </c>
      <c r="I42" s="18">
        <v>23.1</v>
      </c>
      <c r="J42" s="15">
        <v>6</v>
      </c>
      <c r="K42" s="15">
        <v>4</v>
      </c>
      <c r="L42" s="15">
        <v>24.5</v>
      </c>
      <c r="M42" s="15">
        <v>11.1</v>
      </c>
      <c r="N42" s="15">
        <v>6.23</v>
      </c>
      <c r="O42" s="15">
        <v>8.6300000000000008</v>
      </c>
      <c r="P42" s="15">
        <v>5.42</v>
      </c>
      <c r="Q42" s="15">
        <v>2.95</v>
      </c>
      <c r="R42" s="13">
        <v>0.75</v>
      </c>
      <c r="S42" s="13">
        <v>1</v>
      </c>
      <c r="T42" s="13" t="str">
        <f>IF(S42=2,"Y",IF(J42/R42&lt;0.54*(SQRT(29000/'Steel Angle Lintel Design'!$H$31)),"Y","N"))</f>
        <v>Y</v>
      </c>
      <c r="U42" s="13" t="str">
        <f>IF(J42/R42&gt;0.91*(SQRT(29000/'Steel Angle Lintel Design'!$H$31)),"Y","N")</f>
        <v>N</v>
      </c>
      <c r="V42" s="13" t="s">
        <v>96</v>
      </c>
      <c r="W42" s="13"/>
      <c r="X42" s="13">
        <v>10.199999999999999</v>
      </c>
      <c r="Y42" s="13">
        <v>182</v>
      </c>
      <c r="Z42" s="13">
        <v>102</v>
      </c>
      <c r="AA42" s="13">
        <v>3.59</v>
      </c>
      <c r="AB42" s="13">
        <v>88.8</v>
      </c>
      <c r="AC42" s="13">
        <v>48.3</v>
      </c>
      <c r="AD42" s="8"/>
    </row>
    <row r="43" spans="1:30" s="9" customFormat="1" ht="15.75">
      <c r="A43" s="43" t="str">
        <f>IF(AND(H43=1,L43&gt;='Steel Angle Lintel Design'!$M$98,'AISC Angle Database'!N43&gt;='Steel Angle Lintel Design'!$M$96,'AISC Angle Database'!J43&gt;='Steel Angle Lintel Design'!$F$40,'AISC Angle Database'!J43&lt;='Steel Angle Lintel Design'!$F$41,'AISC Angle Database'!K43&gt;='Steel Angle Lintel Design'!$K$40,'AISC Angle Database'!K43&lt;='Steel Angle Lintel Design'!$K$41),1,"")</f>
        <v/>
      </c>
      <c r="B43" s="44">
        <f t="shared" si="0"/>
        <v>0</v>
      </c>
      <c r="C43" s="44">
        <f t="shared" si="1"/>
        <v>0</v>
      </c>
      <c r="D43" s="42" t="e">
        <f t="shared" ca="1" si="4"/>
        <v>#NAME?</v>
      </c>
      <c r="E43" s="44" t="e">
        <f t="shared" ca="1" si="2"/>
        <v>#NAME?</v>
      </c>
      <c r="F43" s="5" t="e">
        <f t="shared" ca="1" si="3"/>
        <v>#NAME?</v>
      </c>
      <c r="G43" s="15" t="s">
        <v>97</v>
      </c>
      <c r="H43" s="15">
        <f>IF('Steel Angle Lintel Design'!$AM$16=1,1,IF('Steel Angle Lintel Design'!$AM$16=2,0,1))</f>
        <v>0</v>
      </c>
      <c r="I43" s="18">
        <v>20.010000000000002</v>
      </c>
      <c r="J43" s="15">
        <v>6</v>
      </c>
      <c r="K43" s="15">
        <v>4</v>
      </c>
      <c r="L43" s="15">
        <v>21</v>
      </c>
      <c r="M43" s="15">
        <v>9.44</v>
      </c>
      <c r="N43" s="15">
        <v>5.29</v>
      </c>
      <c r="O43" s="15">
        <v>7.48</v>
      </c>
      <c r="P43" s="15">
        <v>4.5599999999999996</v>
      </c>
      <c r="Q43" s="15">
        <v>2.52</v>
      </c>
      <c r="R43" s="13">
        <v>0.625</v>
      </c>
      <c r="S43" s="13">
        <v>1</v>
      </c>
      <c r="T43" s="13" t="str">
        <f>IF(S43=2,"Y",IF(J43/R43&lt;0.54*(SQRT(29000/'Steel Angle Lintel Design'!$H$31)),"Y","N"))</f>
        <v>Y</v>
      </c>
      <c r="U43" s="13" t="str">
        <f>IF(J43/R43&gt;0.91*(SQRT(29000/'Steel Angle Lintel Design'!$H$31)),"Y","N")</f>
        <v>N</v>
      </c>
      <c r="V43" s="13" t="s">
        <v>98</v>
      </c>
      <c r="W43" s="13"/>
      <c r="X43" s="13">
        <v>8.74</v>
      </c>
      <c r="Y43" s="13">
        <v>155</v>
      </c>
      <c r="Z43" s="13">
        <v>86.7</v>
      </c>
      <c r="AA43" s="13">
        <v>3.11</v>
      </c>
      <c r="AB43" s="13">
        <v>74.7</v>
      </c>
      <c r="AC43" s="13">
        <v>41.3</v>
      </c>
      <c r="AD43" s="8"/>
    </row>
    <row r="44" spans="1:30" s="9" customFormat="1" ht="15.75">
      <c r="A44" s="43" t="str">
        <f>IF(AND(H44=1,L44&gt;='Steel Angle Lintel Design'!$M$98,'AISC Angle Database'!N44&gt;='Steel Angle Lintel Design'!$M$96,'AISC Angle Database'!J44&gt;='Steel Angle Lintel Design'!$F$40,'AISC Angle Database'!J44&lt;='Steel Angle Lintel Design'!$F$41,'AISC Angle Database'!K44&gt;='Steel Angle Lintel Design'!$K$40,'AISC Angle Database'!K44&lt;='Steel Angle Lintel Design'!$K$41),1,"")</f>
        <v/>
      </c>
      <c r="B44" s="44">
        <f t="shared" si="0"/>
        <v>0</v>
      </c>
      <c r="C44" s="44">
        <f t="shared" si="1"/>
        <v>0</v>
      </c>
      <c r="D44" s="42" t="e">
        <f t="shared" ca="1" si="4"/>
        <v>#NAME?</v>
      </c>
      <c r="E44" s="44" t="e">
        <f t="shared" ca="1" si="2"/>
        <v>#NAME?</v>
      </c>
      <c r="F44" s="5" t="e">
        <f t="shared" ca="1" si="3"/>
        <v>#NAME?</v>
      </c>
      <c r="G44" s="15" t="s">
        <v>99</v>
      </c>
      <c r="H44" s="15">
        <f>IF('Steel Angle Lintel Design'!$AM$16=1,1,IF('Steel Angle Lintel Design'!$AM$16=2,0,1))</f>
        <v>0</v>
      </c>
      <c r="I44" s="18">
        <v>18.100000000000001</v>
      </c>
      <c r="J44" s="15">
        <v>6</v>
      </c>
      <c r="K44" s="15">
        <v>4</v>
      </c>
      <c r="L44" s="15">
        <v>19.2</v>
      </c>
      <c r="M44" s="15">
        <v>8.59</v>
      </c>
      <c r="N44" s="15">
        <v>4.8099999999999996</v>
      </c>
      <c r="O44" s="15">
        <v>6.86</v>
      </c>
      <c r="P44" s="15">
        <v>4.13</v>
      </c>
      <c r="Q44" s="15">
        <v>2.29</v>
      </c>
      <c r="R44" s="13">
        <v>0.5625</v>
      </c>
      <c r="S44" s="13">
        <v>1</v>
      </c>
      <c r="T44" s="13" t="str">
        <f>IF(S44=2,"Y",IF(J44/R44&lt;0.54*(SQRT(29000/'Steel Angle Lintel Design'!$H$31)),"Y","N"))</f>
        <v>Y</v>
      </c>
      <c r="U44" s="13" t="str">
        <f>IF(J44/R44&gt;0.91*(SQRT(29000/'Steel Angle Lintel Design'!$H$31)),"Y","N")</f>
        <v>N</v>
      </c>
      <c r="V44" s="13" t="s">
        <v>100</v>
      </c>
      <c r="W44" s="13"/>
      <c r="X44" s="13">
        <v>7.99</v>
      </c>
      <c r="Y44" s="13">
        <v>141</v>
      </c>
      <c r="Z44" s="13">
        <v>78.8</v>
      </c>
      <c r="AA44" s="13">
        <v>2.86</v>
      </c>
      <c r="AB44" s="13">
        <v>67.7</v>
      </c>
      <c r="AC44" s="13">
        <v>37.5</v>
      </c>
      <c r="AD44" s="8"/>
    </row>
    <row r="45" spans="1:30" s="9" customFormat="1" ht="15.75">
      <c r="A45" s="43" t="str">
        <f>IF(AND(H45=1,L45&gt;='Steel Angle Lintel Design'!$M$98,'AISC Angle Database'!N45&gt;='Steel Angle Lintel Design'!$M$96,'AISC Angle Database'!J45&gt;='Steel Angle Lintel Design'!$F$40,'AISC Angle Database'!J45&lt;='Steel Angle Lintel Design'!$F$41,'AISC Angle Database'!K45&gt;='Steel Angle Lintel Design'!$K$40,'AISC Angle Database'!K45&lt;='Steel Angle Lintel Design'!$K$41),1,"")</f>
        <v/>
      </c>
      <c r="B45" s="44">
        <f t="shared" si="0"/>
        <v>0</v>
      </c>
      <c r="C45" s="44">
        <f t="shared" si="1"/>
        <v>0</v>
      </c>
      <c r="D45" s="42" t="e">
        <f t="shared" ca="1" si="4"/>
        <v>#NAME?</v>
      </c>
      <c r="E45" s="44" t="e">
        <f t="shared" ca="1" si="2"/>
        <v>#NAME?</v>
      </c>
      <c r="F45" s="5" t="e">
        <f t="shared" ca="1" si="3"/>
        <v>#NAME?</v>
      </c>
      <c r="G45" s="15" t="s">
        <v>101</v>
      </c>
      <c r="H45" s="15">
        <f>IF('Steel Angle Lintel Design'!$AM$16=1,1,IF('Steel Angle Lintel Design'!$AM$16=2,0,1))</f>
        <v>0</v>
      </c>
      <c r="I45" s="18">
        <v>16.21</v>
      </c>
      <c r="J45" s="15">
        <v>6</v>
      </c>
      <c r="K45" s="15">
        <v>4</v>
      </c>
      <c r="L45" s="15">
        <v>17.3</v>
      </c>
      <c r="M45" s="15">
        <v>7.71</v>
      </c>
      <c r="N45" s="15">
        <v>4.3099999999999996</v>
      </c>
      <c r="O45" s="15">
        <v>6.22</v>
      </c>
      <c r="P45" s="15">
        <v>3.69</v>
      </c>
      <c r="Q45" s="15">
        <v>2.06</v>
      </c>
      <c r="R45" s="13">
        <v>0.5</v>
      </c>
      <c r="S45" s="13">
        <v>1</v>
      </c>
      <c r="T45" s="13" t="str">
        <f>IF(S45=2,"Y",IF(J45/R45&lt;0.54*(SQRT(29000/'Steel Angle Lintel Design'!$H$31)),"Y","N"))</f>
        <v>Y</v>
      </c>
      <c r="U45" s="13" t="str">
        <f>IF(J45/R45&gt;0.91*(SQRT(29000/'Steel Angle Lintel Design'!$H$31)),"Y","N")</f>
        <v>N</v>
      </c>
      <c r="V45" s="13" t="s">
        <v>102</v>
      </c>
      <c r="W45" s="13"/>
      <c r="X45" s="13">
        <v>7.2</v>
      </c>
      <c r="Y45" s="13">
        <v>126</v>
      </c>
      <c r="Z45" s="13">
        <v>70.599999999999994</v>
      </c>
      <c r="AA45" s="13">
        <v>2.59</v>
      </c>
      <c r="AB45" s="13">
        <v>60.5</v>
      </c>
      <c r="AC45" s="13">
        <v>33.799999999999997</v>
      </c>
      <c r="AD45" s="8"/>
    </row>
    <row r="46" spans="1:30" s="9" customFormat="1" ht="15.75">
      <c r="A46" s="43" t="str">
        <f>IF(AND(H46=1,L46&gt;='Steel Angle Lintel Design'!$M$98,'AISC Angle Database'!N46&gt;='Steel Angle Lintel Design'!$M$96,'AISC Angle Database'!J46&gt;='Steel Angle Lintel Design'!$F$40,'AISC Angle Database'!J46&lt;='Steel Angle Lintel Design'!$F$41,'AISC Angle Database'!K46&gt;='Steel Angle Lintel Design'!$K$40,'AISC Angle Database'!K46&lt;='Steel Angle Lintel Design'!$K$41),1,"")</f>
        <v/>
      </c>
      <c r="B46" s="44">
        <f t="shared" si="0"/>
        <v>0</v>
      </c>
      <c r="C46" s="44">
        <f t="shared" si="1"/>
        <v>0</v>
      </c>
      <c r="D46" s="42" t="e">
        <f t="shared" ca="1" si="4"/>
        <v>#NAME?</v>
      </c>
      <c r="E46" s="44" t="e">
        <f t="shared" ca="1" si="2"/>
        <v>#NAME?</v>
      </c>
      <c r="F46" s="5" t="e">
        <f t="shared" ca="1" si="3"/>
        <v>#NAME?</v>
      </c>
      <c r="G46" s="15" t="s">
        <v>103</v>
      </c>
      <c r="H46" s="15">
        <f>IF('Steel Angle Lintel Design'!$AM$16=1,1,IF('Steel Angle Lintel Design'!$AM$16=2,0,1))</f>
        <v>0</v>
      </c>
      <c r="I46" s="18">
        <v>14.31</v>
      </c>
      <c r="J46" s="15">
        <v>6</v>
      </c>
      <c r="K46" s="15">
        <v>4</v>
      </c>
      <c r="L46" s="15">
        <v>15.4</v>
      </c>
      <c r="M46" s="15">
        <v>6.81</v>
      </c>
      <c r="N46" s="15">
        <v>3.81</v>
      </c>
      <c r="O46" s="15">
        <v>5.56</v>
      </c>
      <c r="P46" s="15">
        <v>3.24</v>
      </c>
      <c r="Q46" s="15">
        <v>1.83</v>
      </c>
      <c r="R46" s="13">
        <v>0.4375</v>
      </c>
      <c r="S46" s="13">
        <v>1</v>
      </c>
      <c r="T46" s="13" t="str">
        <f>IF(S46=2,"Y",IF(J46/R46&lt;0.54*(SQRT(29000/'Steel Angle Lintel Design'!$H$31)),"Y","N"))</f>
        <v>Y</v>
      </c>
      <c r="U46" s="13" t="str">
        <f>IF(J46/R46&gt;0.91*(SQRT(29000/'Steel Angle Lintel Design'!$H$31)),"Y","N")</f>
        <v>N</v>
      </c>
      <c r="V46" s="13" t="s">
        <v>104</v>
      </c>
      <c r="W46" s="13"/>
      <c r="X46" s="13">
        <v>6.41</v>
      </c>
      <c r="Y46" s="13">
        <v>112</v>
      </c>
      <c r="Z46" s="13">
        <v>62.4</v>
      </c>
      <c r="AA46" s="13">
        <v>2.31</v>
      </c>
      <c r="AB46" s="13">
        <v>53.1</v>
      </c>
      <c r="AC46" s="13">
        <v>30</v>
      </c>
      <c r="AD46" s="8"/>
    </row>
    <row r="47" spans="1:30" s="9" customFormat="1" ht="15.75">
      <c r="A47" s="43" t="str">
        <f>IF(AND(H47=1,L47&gt;='Steel Angle Lintel Design'!$M$98,'AISC Angle Database'!N47&gt;='Steel Angle Lintel Design'!$M$96,'AISC Angle Database'!J47&gt;='Steel Angle Lintel Design'!$F$40,'AISC Angle Database'!J47&lt;='Steel Angle Lintel Design'!$F$41,'AISC Angle Database'!K47&gt;='Steel Angle Lintel Design'!$K$40,'AISC Angle Database'!K47&lt;='Steel Angle Lintel Design'!$K$41),1,"")</f>
        <v/>
      </c>
      <c r="B47" s="44">
        <f t="shared" si="0"/>
        <v>0</v>
      </c>
      <c r="C47" s="44">
        <f t="shared" si="1"/>
        <v>0</v>
      </c>
      <c r="D47" s="42" t="e">
        <f t="shared" ca="1" si="4"/>
        <v>#NAME?</v>
      </c>
      <c r="E47" s="44" t="e">
        <f t="shared" ca="1" si="2"/>
        <v>#NAME?</v>
      </c>
      <c r="F47" s="5" t="e">
        <f t="shared" ca="1" si="3"/>
        <v>#NAME?</v>
      </c>
      <c r="G47" s="15" t="s">
        <v>105</v>
      </c>
      <c r="H47" s="15">
        <f>IF('Steel Angle Lintel Design'!$AM$16=1,1,IF('Steel Angle Lintel Design'!$AM$16=2,0,1))</f>
        <v>0</v>
      </c>
      <c r="I47" s="18">
        <v>12.31</v>
      </c>
      <c r="J47" s="15">
        <v>6</v>
      </c>
      <c r="K47" s="15">
        <v>4</v>
      </c>
      <c r="L47" s="15">
        <v>13.4</v>
      </c>
      <c r="M47" s="15">
        <v>5.89</v>
      </c>
      <c r="N47" s="15">
        <v>3.3</v>
      </c>
      <c r="O47" s="15">
        <v>4.8600000000000003</v>
      </c>
      <c r="P47" s="15">
        <v>2.79</v>
      </c>
      <c r="Q47" s="15">
        <v>1.58</v>
      </c>
      <c r="R47" s="13">
        <v>0.375</v>
      </c>
      <c r="S47" s="13">
        <v>1</v>
      </c>
      <c r="T47" s="13" t="str">
        <f>IF(S47=2,"Y",IF(J47/R47&lt;0.54*(SQRT(29000/'Steel Angle Lintel Design'!$H$31)),"Y","N"))</f>
        <v>N</v>
      </c>
      <c r="U47" s="13" t="str">
        <f>IF(J47/R47&gt;0.91*(SQRT(29000/'Steel Angle Lintel Design'!$H$31)),"Y","N")</f>
        <v>N</v>
      </c>
      <c r="V47" s="13" t="s">
        <v>106</v>
      </c>
      <c r="W47" s="13"/>
      <c r="X47" s="13">
        <v>5.58</v>
      </c>
      <c r="Y47" s="13">
        <v>96.5</v>
      </c>
      <c r="Z47" s="13">
        <v>54.1</v>
      </c>
      <c r="AA47" s="13">
        <v>2.02</v>
      </c>
      <c r="AB47" s="13">
        <v>45.7</v>
      </c>
      <c r="AC47" s="13">
        <v>25.9</v>
      </c>
      <c r="AD47" s="8"/>
    </row>
    <row r="48" spans="1:30" s="9" customFormat="1" ht="15.75">
      <c r="A48" s="43" t="str">
        <f>IF(AND(H48=1,L48&gt;='Steel Angle Lintel Design'!$M$98,'AISC Angle Database'!N48&gt;='Steel Angle Lintel Design'!$M$96,'AISC Angle Database'!J48&gt;='Steel Angle Lintel Design'!$F$40,'AISC Angle Database'!J48&lt;='Steel Angle Lintel Design'!$F$41,'AISC Angle Database'!K48&gt;='Steel Angle Lintel Design'!$K$40,'AISC Angle Database'!K48&lt;='Steel Angle Lintel Design'!$K$41),1,"")</f>
        <v/>
      </c>
      <c r="B48" s="44">
        <f t="shared" si="0"/>
        <v>0</v>
      </c>
      <c r="C48" s="44">
        <f t="shared" si="1"/>
        <v>0</v>
      </c>
      <c r="D48" s="42" t="e">
        <f t="shared" ca="1" si="4"/>
        <v>#NAME?</v>
      </c>
      <c r="E48" s="44" t="e">
        <f t="shared" ca="1" si="2"/>
        <v>#NAME?</v>
      </c>
      <c r="F48" s="5" t="e">
        <f t="shared" ca="1" si="3"/>
        <v>#NAME?</v>
      </c>
      <c r="G48" s="15" t="s">
        <v>107</v>
      </c>
      <c r="H48" s="15">
        <f>IF('Steel Angle Lintel Design'!$AM$16=1,1,IF('Steel Angle Lintel Design'!$AM$16=2,0,1))</f>
        <v>0</v>
      </c>
      <c r="I48" s="18">
        <v>10.31</v>
      </c>
      <c r="J48" s="15">
        <v>6</v>
      </c>
      <c r="K48" s="15">
        <v>4</v>
      </c>
      <c r="L48" s="15">
        <v>11.4</v>
      </c>
      <c r="M48" s="15">
        <v>4.96</v>
      </c>
      <c r="N48" s="15">
        <v>2.77</v>
      </c>
      <c r="O48" s="15">
        <v>4.13</v>
      </c>
      <c r="P48" s="15">
        <v>2.33</v>
      </c>
      <c r="Q48" s="15">
        <v>1.34</v>
      </c>
      <c r="R48" s="13">
        <v>0.3125</v>
      </c>
      <c r="S48" s="13">
        <v>1</v>
      </c>
      <c r="T48" s="13" t="str">
        <f>IF(S48=2,"Y",IF(J48/R48&lt;0.54*(SQRT(29000/'Steel Angle Lintel Design'!$H$31)),"Y","N"))</f>
        <v>N</v>
      </c>
      <c r="U48" s="13" t="str">
        <f>IF(J48/R48&gt;0.91*(SQRT(29000/'Steel Angle Lintel Design'!$H$31)),"Y","N")</f>
        <v>N</v>
      </c>
      <c r="V48" s="13" t="s">
        <v>108</v>
      </c>
      <c r="W48" s="13"/>
      <c r="X48" s="13">
        <v>4.75</v>
      </c>
      <c r="Y48" s="13">
        <v>81.3</v>
      </c>
      <c r="Z48" s="13">
        <v>45.4</v>
      </c>
      <c r="AA48" s="13">
        <v>1.72</v>
      </c>
      <c r="AB48" s="13">
        <v>38.200000000000003</v>
      </c>
      <c r="AC48" s="13">
        <v>22</v>
      </c>
      <c r="AD48" s="8"/>
    </row>
    <row r="49" spans="1:30" s="9" customFormat="1" ht="15.75">
      <c r="A49" s="43" t="str">
        <f>IF(AND(H49=1,L49&gt;='Steel Angle Lintel Design'!$M$98,'AISC Angle Database'!N49&gt;='Steel Angle Lintel Design'!$M$96,'AISC Angle Database'!J49&gt;='Steel Angle Lintel Design'!$F$40,'AISC Angle Database'!J49&lt;='Steel Angle Lintel Design'!$F$41,'AISC Angle Database'!K49&gt;='Steel Angle Lintel Design'!$K$40,'AISC Angle Database'!K49&lt;='Steel Angle Lintel Design'!$K$41),1,"")</f>
        <v/>
      </c>
      <c r="B49" s="44">
        <f t="shared" si="0"/>
        <v>0</v>
      </c>
      <c r="C49" s="44">
        <f t="shared" si="1"/>
        <v>0</v>
      </c>
      <c r="D49" s="42" t="e">
        <f t="shared" ca="1" si="4"/>
        <v>#NAME?</v>
      </c>
      <c r="E49" s="44" t="e">
        <f t="shared" ca="1" si="2"/>
        <v>#NAME?</v>
      </c>
      <c r="F49" s="5" t="e">
        <f t="shared" ca="1" si="3"/>
        <v>#NAME?</v>
      </c>
      <c r="G49" s="15" t="s">
        <v>109</v>
      </c>
      <c r="H49" s="15">
        <f>IF('Steel Angle Lintel Design'!$AM$16=1,1,IF('Steel Angle Lintel Design'!$AM$16=2,0,1))</f>
        <v>0</v>
      </c>
      <c r="I49" s="18">
        <v>15.3</v>
      </c>
      <c r="J49" s="15">
        <v>6</v>
      </c>
      <c r="K49" s="15">
        <v>3.5</v>
      </c>
      <c r="L49" s="15">
        <v>16.600000000000001</v>
      </c>
      <c r="M49" s="15">
        <v>7.49</v>
      </c>
      <c r="N49" s="15">
        <v>4.2300000000000004</v>
      </c>
      <c r="O49" s="15">
        <v>4.24</v>
      </c>
      <c r="P49" s="15">
        <v>2.88</v>
      </c>
      <c r="Q49" s="15">
        <v>1.59</v>
      </c>
      <c r="R49" s="13">
        <v>0.5</v>
      </c>
      <c r="S49" s="13">
        <v>1</v>
      </c>
      <c r="T49" s="13" t="str">
        <f>IF(S49=2,"Y",IF(J49/R49&lt;0.54*(SQRT(29000/'Steel Angle Lintel Design'!$H$31)),"Y","N"))</f>
        <v>Y</v>
      </c>
      <c r="U49" s="13" t="str">
        <f>IF(J49/R49&gt;0.91*(SQRT(29000/'Steel Angle Lintel Design'!$H$31)),"Y","N")</f>
        <v>N</v>
      </c>
      <c r="V49" s="13" t="s">
        <v>110</v>
      </c>
      <c r="W49" s="13"/>
      <c r="X49" s="13">
        <v>6.91</v>
      </c>
      <c r="Y49" s="13">
        <v>123</v>
      </c>
      <c r="Z49" s="13">
        <v>69.3</v>
      </c>
      <c r="AA49" s="13">
        <v>1.76</v>
      </c>
      <c r="AB49" s="13">
        <v>47.2</v>
      </c>
      <c r="AC49" s="13">
        <v>26.1</v>
      </c>
      <c r="AD49" s="8"/>
    </row>
    <row r="50" spans="1:30" s="9" customFormat="1" ht="15.75">
      <c r="A50" s="43" t="str">
        <f>IF(AND(H50=1,L50&gt;='Steel Angle Lintel Design'!$M$98,'AISC Angle Database'!N50&gt;='Steel Angle Lintel Design'!$M$96,'AISC Angle Database'!J50&gt;='Steel Angle Lintel Design'!$F$40,'AISC Angle Database'!J50&lt;='Steel Angle Lintel Design'!$F$41,'AISC Angle Database'!K50&gt;='Steel Angle Lintel Design'!$K$40,'AISC Angle Database'!K50&lt;='Steel Angle Lintel Design'!$K$41),1,"")</f>
        <v/>
      </c>
      <c r="B50" s="44">
        <f t="shared" si="0"/>
        <v>0</v>
      </c>
      <c r="C50" s="44">
        <f t="shared" si="1"/>
        <v>0</v>
      </c>
      <c r="D50" s="42" t="e">
        <f t="shared" ca="1" si="4"/>
        <v>#NAME?</v>
      </c>
      <c r="E50" s="44" t="e">
        <f t="shared" ca="1" si="2"/>
        <v>#NAME?</v>
      </c>
      <c r="F50" s="5" t="e">
        <f t="shared" ca="1" si="3"/>
        <v>#NAME?</v>
      </c>
      <c r="G50" s="15" t="s">
        <v>111</v>
      </c>
      <c r="H50" s="15">
        <f>IF('Steel Angle Lintel Design'!$AM$16=1,1,IF('Steel Angle Lintel Design'!$AM$16=2,0,1))</f>
        <v>0</v>
      </c>
      <c r="I50" s="18">
        <v>11.7</v>
      </c>
      <c r="J50" s="15">
        <v>6</v>
      </c>
      <c r="K50" s="15">
        <v>3.5</v>
      </c>
      <c r="L50" s="15">
        <v>12.9</v>
      </c>
      <c r="M50" s="15">
        <v>5.74</v>
      </c>
      <c r="N50" s="15">
        <v>3.23</v>
      </c>
      <c r="O50" s="15">
        <v>3.33</v>
      </c>
      <c r="P50" s="15">
        <v>2.1800000000000002</v>
      </c>
      <c r="Q50" s="15">
        <v>1.22</v>
      </c>
      <c r="R50" s="13">
        <v>0.375</v>
      </c>
      <c r="S50" s="13">
        <v>1</v>
      </c>
      <c r="T50" s="13" t="str">
        <f>IF(S50=2,"Y",IF(J50/R50&lt;0.54*(SQRT(29000/'Steel Angle Lintel Design'!$H$31)),"Y","N"))</f>
        <v>N</v>
      </c>
      <c r="U50" s="13" t="str">
        <f>IF(J50/R50&gt;0.91*(SQRT(29000/'Steel Angle Lintel Design'!$H$31)),"Y","N")</f>
        <v>N</v>
      </c>
      <c r="V50" s="13" t="s">
        <v>112</v>
      </c>
      <c r="W50" s="13"/>
      <c r="X50" s="13">
        <v>5.37</v>
      </c>
      <c r="Y50" s="13">
        <v>94.1</v>
      </c>
      <c r="Z50" s="13">
        <v>52.9</v>
      </c>
      <c r="AA50" s="13">
        <v>1.39</v>
      </c>
      <c r="AB50" s="13">
        <v>35.700000000000003</v>
      </c>
      <c r="AC50" s="13">
        <v>20</v>
      </c>
      <c r="AD50" s="8"/>
    </row>
    <row r="51" spans="1:30" s="9" customFormat="1" ht="15.75">
      <c r="A51" s="43" t="str">
        <f>IF(AND(H51=1,L51&gt;='Steel Angle Lintel Design'!$M$98,'AISC Angle Database'!N51&gt;='Steel Angle Lintel Design'!$M$96,'AISC Angle Database'!J51&gt;='Steel Angle Lintel Design'!$F$40,'AISC Angle Database'!J51&lt;='Steel Angle Lintel Design'!$F$41,'AISC Angle Database'!K51&gt;='Steel Angle Lintel Design'!$K$40,'AISC Angle Database'!K51&lt;='Steel Angle Lintel Design'!$K$41),1,"")</f>
        <v/>
      </c>
      <c r="B51" s="44">
        <f t="shared" si="0"/>
        <v>0</v>
      </c>
      <c r="C51" s="44">
        <f t="shared" si="1"/>
        <v>0</v>
      </c>
      <c r="D51" s="42" t="e">
        <f t="shared" ca="1" si="4"/>
        <v>#NAME?</v>
      </c>
      <c r="E51" s="44" t="e">
        <f t="shared" ca="1" si="2"/>
        <v>#NAME?</v>
      </c>
      <c r="F51" s="5" t="e">
        <f t="shared" ca="1" si="3"/>
        <v>#NAME?</v>
      </c>
      <c r="G51" s="15" t="s">
        <v>113</v>
      </c>
      <c r="H51" s="15">
        <f>IF('Steel Angle Lintel Design'!$AM$16=1,1,IF('Steel Angle Lintel Design'!$AM$16=2,0,1))</f>
        <v>0</v>
      </c>
      <c r="I51" s="18">
        <v>9.84</v>
      </c>
      <c r="J51" s="15">
        <v>6</v>
      </c>
      <c r="K51" s="15">
        <v>3.5</v>
      </c>
      <c r="L51" s="15">
        <v>10.9</v>
      </c>
      <c r="M51" s="15">
        <v>4.84</v>
      </c>
      <c r="N51" s="15">
        <v>2.72</v>
      </c>
      <c r="O51" s="15">
        <v>2.84</v>
      </c>
      <c r="P51" s="15">
        <v>1.82</v>
      </c>
      <c r="Q51" s="15">
        <v>1.03</v>
      </c>
      <c r="R51" s="13">
        <v>0.3125</v>
      </c>
      <c r="S51" s="13">
        <v>1</v>
      </c>
      <c r="T51" s="13" t="str">
        <f>IF(S51=2,"Y",IF(J51/R51&lt;0.54*(SQRT(29000/'Steel Angle Lintel Design'!$H$31)),"Y","N"))</f>
        <v>N</v>
      </c>
      <c r="U51" s="13" t="str">
        <f>IF(J51/R51&gt;0.91*(SQRT(29000/'Steel Angle Lintel Design'!$H$31)),"Y","N")</f>
        <v>N</v>
      </c>
      <c r="V51" s="13" t="s">
        <v>114</v>
      </c>
      <c r="W51" s="13"/>
      <c r="X51" s="13">
        <v>4.54</v>
      </c>
      <c r="Y51" s="13">
        <v>79.3</v>
      </c>
      <c r="Z51" s="13">
        <v>44.6</v>
      </c>
      <c r="AA51" s="13">
        <v>1.18</v>
      </c>
      <c r="AB51" s="13">
        <v>29.8</v>
      </c>
      <c r="AC51" s="13">
        <v>16.899999999999999</v>
      </c>
      <c r="AD51" s="8"/>
    </row>
    <row r="52" spans="1:30" s="9" customFormat="1" ht="15.75">
      <c r="A52" s="43" t="str">
        <f>IF(AND(H52=1,L52&gt;='Steel Angle Lintel Design'!$M$98,'AISC Angle Database'!N52&gt;='Steel Angle Lintel Design'!$M$96,'AISC Angle Database'!J52&gt;='Steel Angle Lintel Design'!$F$40,'AISC Angle Database'!J52&lt;='Steel Angle Lintel Design'!$F$41,'AISC Angle Database'!K52&gt;='Steel Angle Lintel Design'!$K$40,'AISC Angle Database'!K52&lt;='Steel Angle Lintel Design'!$K$41),1,"")</f>
        <v/>
      </c>
      <c r="B52" s="44">
        <f t="shared" si="0"/>
        <v>0</v>
      </c>
      <c r="C52" s="44">
        <f t="shared" si="1"/>
        <v>0</v>
      </c>
      <c r="D52" s="42" t="e">
        <f t="shared" ca="1" si="4"/>
        <v>#NAME?</v>
      </c>
      <c r="E52" s="44" t="e">
        <f t="shared" ca="1" si="2"/>
        <v>#NAME?</v>
      </c>
      <c r="F52" s="5" t="e">
        <f t="shared" ca="1" si="3"/>
        <v>#NAME?</v>
      </c>
      <c r="G52" s="15" t="s">
        <v>115</v>
      </c>
      <c r="H52" s="15">
        <f>IF('Steel Angle Lintel Design'!$AM$16=1,1,IF('Steel Angle Lintel Design'!$AM$16=2,0,1))</f>
        <v>0</v>
      </c>
      <c r="I52" s="18">
        <v>27.2</v>
      </c>
      <c r="J52" s="15">
        <v>5</v>
      </c>
      <c r="K52" s="15">
        <v>5</v>
      </c>
      <c r="L52" s="15">
        <v>17.8</v>
      </c>
      <c r="M52" s="15">
        <v>9.31</v>
      </c>
      <c r="N52" s="15">
        <v>5.16</v>
      </c>
      <c r="O52" s="15">
        <v>17.8</v>
      </c>
      <c r="P52" s="15">
        <v>9.3000000000000007</v>
      </c>
      <c r="Q52" s="15">
        <v>5.16</v>
      </c>
      <c r="R52" s="13">
        <v>0.875</v>
      </c>
      <c r="S52" s="13">
        <v>1</v>
      </c>
      <c r="T52" s="13" t="str">
        <f>IF(S52=2,"Y",IF(J52/R52&lt;0.54*(SQRT(29000/'Steel Angle Lintel Design'!$H$31)),"Y","N"))</f>
        <v>Y</v>
      </c>
      <c r="U52" s="13" t="str">
        <f>IF(J52/R52&gt;0.91*(SQRT(29000/'Steel Angle Lintel Design'!$H$31)),"Y","N")</f>
        <v>N</v>
      </c>
      <c r="V52" s="13" t="s">
        <v>116</v>
      </c>
      <c r="W52" s="13"/>
      <c r="X52" s="13">
        <v>7.41</v>
      </c>
      <c r="Y52" s="13">
        <v>153</v>
      </c>
      <c r="Z52" s="13">
        <v>84.6</v>
      </c>
      <c r="AA52" s="13">
        <v>7.41</v>
      </c>
      <c r="AB52" s="13">
        <v>152</v>
      </c>
      <c r="AC52" s="13">
        <v>84.6</v>
      </c>
      <c r="AD52" s="8"/>
    </row>
    <row r="53" spans="1:30" s="9" customFormat="1" ht="15.75">
      <c r="A53" s="43" t="str">
        <f>IF(AND(H53=1,L53&gt;='Steel Angle Lintel Design'!$M$98,'AISC Angle Database'!N53&gt;='Steel Angle Lintel Design'!$M$96,'AISC Angle Database'!J53&gt;='Steel Angle Lintel Design'!$F$40,'AISC Angle Database'!J53&lt;='Steel Angle Lintel Design'!$F$41,'AISC Angle Database'!K53&gt;='Steel Angle Lintel Design'!$K$40,'AISC Angle Database'!K53&lt;='Steel Angle Lintel Design'!$K$41),1,"")</f>
        <v/>
      </c>
      <c r="B53" s="44">
        <f t="shared" si="0"/>
        <v>0</v>
      </c>
      <c r="C53" s="44">
        <f t="shared" si="1"/>
        <v>0</v>
      </c>
      <c r="D53" s="42" t="e">
        <f t="shared" ca="1" si="4"/>
        <v>#NAME?</v>
      </c>
      <c r="E53" s="44" t="e">
        <f t="shared" ca="1" si="2"/>
        <v>#NAME?</v>
      </c>
      <c r="F53" s="5" t="e">
        <f t="shared" ca="1" si="3"/>
        <v>#NAME?</v>
      </c>
      <c r="G53" s="15" t="s">
        <v>117</v>
      </c>
      <c r="H53" s="15">
        <f>IF('Steel Angle Lintel Design'!$AM$16=1,1,IF('Steel Angle Lintel Design'!$AM$16=2,0,1))</f>
        <v>0</v>
      </c>
      <c r="I53" s="18">
        <v>23.6</v>
      </c>
      <c r="J53" s="15">
        <v>5</v>
      </c>
      <c r="K53" s="15">
        <v>5</v>
      </c>
      <c r="L53" s="15">
        <v>15.7</v>
      </c>
      <c r="M53" s="15">
        <v>8.14</v>
      </c>
      <c r="N53" s="15">
        <v>4.5199999999999996</v>
      </c>
      <c r="O53" s="15">
        <v>15.7</v>
      </c>
      <c r="P53" s="15">
        <v>8.14</v>
      </c>
      <c r="Q53" s="15">
        <v>4.5199999999999996</v>
      </c>
      <c r="R53" s="13">
        <v>0.75</v>
      </c>
      <c r="S53" s="13">
        <v>1</v>
      </c>
      <c r="T53" s="13" t="str">
        <f>IF(S53=2,"Y",IF(J53/R53&lt;0.54*(SQRT(29000/'Steel Angle Lintel Design'!$H$31)),"Y","N"))</f>
        <v>Y</v>
      </c>
      <c r="U53" s="13" t="str">
        <f>IF(J53/R53&gt;0.91*(SQRT(29000/'Steel Angle Lintel Design'!$H$31)),"Y","N")</f>
        <v>N</v>
      </c>
      <c r="V53" s="13" t="s">
        <v>118</v>
      </c>
      <c r="W53" s="13"/>
      <c r="X53" s="13">
        <v>6.53</v>
      </c>
      <c r="Y53" s="13">
        <v>133</v>
      </c>
      <c r="Z53" s="13">
        <v>74.099999999999994</v>
      </c>
      <c r="AA53" s="13">
        <v>6.53</v>
      </c>
      <c r="AB53" s="13">
        <v>133</v>
      </c>
      <c r="AC53" s="13">
        <v>74.099999999999994</v>
      </c>
      <c r="AD53" s="8"/>
    </row>
    <row r="54" spans="1:30" s="9" customFormat="1" ht="15.75">
      <c r="A54" s="43" t="str">
        <f>IF(AND(H54=1,L54&gt;='Steel Angle Lintel Design'!$M$98,'AISC Angle Database'!N54&gt;='Steel Angle Lintel Design'!$M$96,'AISC Angle Database'!J54&gt;='Steel Angle Lintel Design'!$F$40,'AISC Angle Database'!J54&lt;='Steel Angle Lintel Design'!$F$41,'AISC Angle Database'!K54&gt;='Steel Angle Lintel Design'!$K$40,'AISC Angle Database'!K54&lt;='Steel Angle Lintel Design'!$K$41),1,"")</f>
        <v/>
      </c>
      <c r="B54" s="44">
        <f t="shared" si="0"/>
        <v>0</v>
      </c>
      <c r="C54" s="44">
        <f t="shared" si="1"/>
        <v>0</v>
      </c>
      <c r="D54" s="42" t="e">
        <f t="shared" ca="1" si="4"/>
        <v>#NAME?</v>
      </c>
      <c r="E54" s="44" t="e">
        <f t="shared" ca="1" si="2"/>
        <v>#NAME?</v>
      </c>
      <c r="F54" s="5" t="e">
        <f t="shared" ca="1" si="3"/>
        <v>#NAME?</v>
      </c>
      <c r="G54" s="15" t="s">
        <v>119</v>
      </c>
      <c r="H54" s="15">
        <f>IF('Steel Angle Lintel Design'!$AM$16=1,1,IF('Steel Angle Lintel Design'!$AM$16=2,0,1))</f>
        <v>0</v>
      </c>
      <c r="I54" s="18">
        <v>20</v>
      </c>
      <c r="J54" s="15">
        <v>5</v>
      </c>
      <c r="K54" s="15">
        <v>5</v>
      </c>
      <c r="L54" s="15">
        <v>13.6</v>
      </c>
      <c r="M54" s="15">
        <v>6.93</v>
      </c>
      <c r="N54" s="15">
        <v>3.85</v>
      </c>
      <c r="O54" s="15">
        <v>13.6</v>
      </c>
      <c r="P54" s="15">
        <v>6.92</v>
      </c>
      <c r="Q54" s="15">
        <v>3.85</v>
      </c>
      <c r="R54" s="13">
        <v>0.625</v>
      </c>
      <c r="S54" s="13">
        <v>1</v>
      </c>
      <c r="T54" s="13" t="str">
        <f>IF(S54=2,"Y",IF(J54/R54&lt;0.54*(SQRT(29000/'Steel Angle Lintel Design'!$H$31)),"Y","N"))</f>
        <v>Y</v>
      </c>
      <c r="U54" s="13" t="str">
        <f>IF(J54/R54&gt;0.91*(SQRT(29000/'Steel Angle Lintel Design'!$H$31)),"Y","N")</f>
        <v>N</v>
      </c>
      <c r="V54" s="13" t="s">
        <v>120</v>
      </c>
      <c r="W54" s="13"/>
      <c r="X54" s="13">
        <v>5.66</v>
      </c>
      <c r="Y54" s="13">
        <v>114</v>
      </c>
      <c r="Z54" s="13">
        <v>63.1</v>
      </c>
      <c r="AA54" s="13">
        <v>5.66</v>
      </c>
      <c r="AB54" s="13">
        <v>113</v>
      </c>
      <c r="AC54" s="13">
        <v>63.1</v>
      </c>
      <c r="AD54" s="8"/>
    </row>
    <row r="55" spans="1:30" s="9" customFormat="1" ht="15.75">
      <c r="A55" s="43" t="str">
        <f>IF(AND(H55=1,L55&gt;='Steel Angle Lintel Design'!$M$98,'AISC Angle Database'!N55&gt;='Steel Angle Lintel Design'!$M$96,'AISC Angle Database'!J55&gt;='Steel Angle Lintel Design'!$F$40,'AISC Angle Database'!J55&lt;='Steel Angle Lintel Design'!$F$41,'AISC Angle Database'!K55&gt;='Steel Angle Lintel Design'!$K$40,'AISC Angle Database'!K55&lt;='Steel Angle Lintel Design'!$K$41),1,"")</f>
        <v/>
      </c>
      <c r="B55" s="44">
        <f t="shared" si="0"/>
        <v>0</v>
      </c>
      <c r="C55" s="44">
        <f t="shared" si="1"/>
        <v>0</v>
      </c>
      <c r="D55" s="42" t="e">
        <f t="shared" ca="1" si="4"/>
        <v>#NAME?</v>
      </c>
      <c r="E55" s="44" t="e">
        <f t="shared" ca="1" si="2"/>
        <v>#NAME?</v>
      </c>
      <c r="F55" s="5" t="e">
        <f t="shared" ca="1" si="3"/>
        <v>#NAME?</v>
      </c>
      <c r="G55" s="15" t="s">
        <v>121</v>
      </c>
      <c r="H55" s="15">
        <f>IF('Steel Angle Lintel Design'!$AM$16=1,1,IF('Steel Angle Lintel Design'!$AM$16=2,0,1))</f>
        <v>0</v>
      </c>
      <c r="I55" s="18">
        <v>16.2</v>
      </c>
      <c r="J55" s="15">
        <v>5</v>
      </c>
      <c r="K55" s="15">
        <v>5</v>
      </c>
      <c r="L55" s="24">
        <v>11.29</v>
      </c>
      <c r="M55" s="15">
        <v>5.66</v>
      </c>
      <c r="N55" s="15">
        <v>3.15</v>
      </c>
      <c r="O55" s="15">
        <v>11.3</v>
      </c>
      <c r="P55" s="15">
        <v>5.66</v>
      </c>
      <c r="Q55" s="15">
        <v>3.15</v>
      </c>
      <c r="R55" s="13">
        <v>0.5</v>
      </c>
      <c r="S55" s="13">
        <v>1</v>
      </c>
      <c r="T55" s="13" t="str">
        <f>IF(S55=2,"Y",IF(J55/R55&lt;0.54*(SQRT(29000/'Steel Angle Lintel Design'!$H$31)),"Y","N"))</f>
        <v>Y</v>
      </c>
      <c r="U55" s="13" t="str">
        <f>IF(J55/R55&gt;0.91*(SQRT(29000/'Steel Angle Lintel Design'!$H$31)),"Y","N")</f>
        <v>N</v>
      </c>
      <c r="V55" s="13" t="s">
        <v>122</v>
      </c>
      <c r="W55" s="13"/>
      <c r="X55" s="13">
        <v>4.7</v>
      </c>
      <c r="Y55" s="13">
        <v>92.8</v>
      </c>
      <c r="Z55" s="13">
        <v>51.6</v>
      </c>
      <c r="AA55" s="13">
        <v>4.7</v>
      </c>
      <c r="AB55" s="13">
        <v>92.8</v>
      </c>
      <c r="AC55" s="13">
        <v>51.6</v>
      </c>
      <c r="AD55" s="8"/>
    </row>
    <row r="56" spans="1:30" s="9" customFormat="1" ht="15.75">
      <c r="A56" s="43" t="str">
        <f>IF(AND(H56=1,L56&gt;='Steel Angle Lintel Design'!$M$98,'AISC Angle Database'!N56&gt;='Steel Angle Lintel Design'!$M$96,'AISC Angle Database'!J56&gt;='Steel Angle Lintel Design'!$F$40,'AISC Angle Database'!J56&lt;='Steel Angle Lintel Design'!$F$41,'AISC Angle Database'!K56&gt;='Steel Angle Lintel Design'!$K$40,'AISC Angle Database'!K56&lt;='Steel Angle Lintel Design'!$K$41),1,"")</f>
        <v/>
      </c>
      <c r="B56" s="44">
        <f t="shared" si="0"/>
        <v>0</v>
      </c>
      <c r="C56" s="44">
        <f t="shared" si="1"/>
        <v>0</v>
      </c>
      <c r="D56" s="42" t="e">
        <f t="shared" ca="1" si="4"/>
        <v>#NAME?</v>
      </c>
      <c r="E56" s="44" t="e">
        <f t="shared" ca="1" si="2"/>
        <v>#NAME?</v>
      </c>
      <c r="F56" s="5" t="e">
        <f t="shared" ca="1" si="3"/>
        <v>#NAME?</v>
      </c>
      <c r="G56" s="15" t="s">
        <v>123</v>
      </c>
      <c r="H56" s="15">
        <f>IF('Steel Angle Lintel Design'!$AM$16=1,1,IF('Steel Angle Lintel Design'!$AM$16=2,0,1))</f>
        <v>0</v>
      </c>
      <c r="I56" s="18">
        <v>14.3</v>
      </c>
      <c r="J56" s="15">
        <v>5</v>
      </c>
      <c r="K56" s="15">
        <v>5</v>
      </c>
      <c r="L56" s="15">
        <v>10</v>
      </c>
      <c r="M56" s="15">
        <v>5</v>
      </c>
      <c r="N56" s="15">
        <v>2.78</v>
      </c>
      <c r="O56" s="15">
        <v>10</v>
      </c>
      <c r="P56" s="15">
        <v>5</v>
      </c>
      <c r="Q56" s="15">
        <v>2.78</v>
      </c>
      <c r="R56" s="13">
        <v>0.4375</v>
      </c>
      <c r="S56" s="13">
        <v>1</v>
      </c>
      <c r="T56" s="13" t="str">
        <f>IF(S56=2,"Y",IF(J56/R56&lt;0.54*(SQRT(29000/'Steel Angle Lintel Design'!$H$31)),"Y","N"))</f>
        <v>Y</v>
      </c>
      <c r="U56" s="13" t="str">
        <f>IF(J56/R56&gt;0.91*(SQRT(29000/'Steel Angle Lintel Design'!$H$31)),"Y","N")</f>
        <v>N</v>
      </c>
      <c r="V56" s="13" t="s">
        <v>124</v>
      </c>
      <c r="W56" s="13"/>
      <c r="X56" s="13">
        <v>4.16</v>
      </c>
      <c r="Y56" s="13">
        <v>81.900000000000006</v>
      </c>
      <c r="Z56" s="13">
        <v>45.6</v>
      </c>
      <c r="AA56" s="13">
        <v>4.16</v>
      </c>
      <c r="AB56" s="13">
        <v>81.900000000000006</v>
      </c>
      <c r="AC56" s="13">
        <v>45.6</v>
      </c>
      <c r="AD56" s="8"/>
    </row>
    <row r="57" spans="1:30" s="9" customFormat="1" ht="15.75">
      <c r="A57" s="43" t="str">
        <f>IF(AND(H57=1,L57&gt;='Steel Angle Lintel Design'!$M$98,'AISC Angle Database'!N57&gt;='Steel Angle Lintel Design'!$M$96,'AISC Angle Database'!J57&gt;='Steel Angle Lintel Design'!$F$40,'AISC Angle Database'!J57&lt;='Steel Angle Lintel Design'!$F$41,'AISC Angle Database'!K57&gt;='Steel Angle Lintel Design'!$K$40,'AISC Angle Database'!K57&lt;='Steel Angle Lintel Design'!$K$41),1,"")</f>
        <v/>
      </c>
      <c r="B57" s="44">
        <f t="shared" si="0"/>
        <v>0</v>
      </c>
      <c r="C57" s="44">
        <f t="shared" si="1"/>
        <v>0</v>
      </c>
      <c r="D57" s="42" t="e">
        <f t="shared" ca="1" si="4"/>
        <v>#NAME?</v>
      </c>
      <c r="E57" s="44" t="e">
        <f t="shared" ca="1" si="2"/>
        <v>#NAME?</v>
      </c>
      <c r="F57" s="5" t="e">
        <f t="shared" ca="1" si="3"/>
        <v>#NAME?</v>
      </c>
      <c r="G57" s="15" t="s">
        <v>125</v>
      </c>
      <c r="H57" s="15">
        <f>IF('Steel Angle Lintel Design'!$AM$16=1,1,IF('Steel Angle Lintel Design'!$AM$16=2,0,1))</f>
        <v>0</v>
      </c>
      <c r="I57" s="18">
        <v>12.3</v>
      </c>
      <c r="J57" s="15">
        <v>5</v>
      </c>
      <c r="K57" s="15">
        <v>5</v>
      </c>
      <c r="L57" s="15">
        <v>8.76</v>
      </c>
      <c r="M57" s="15">
        <v>4.33</v>
      </c>
      <c r="N57" s="15">
        <v>2.41</v>
      </c>
      <c r="O57" s="15">
        <v>8.76</v>
      </c>
      <c r="P57" s="15">
        <v>4.33</v>
      </c>
      <c r="Q57" s="15">
        <v>2.41</v>
      </c>
      <c r="R57" s="13">
        <v>0.375</v>
      </c>
      <c r="S57" s="13">
        <v>1</v>
      </c>
      <c r="T57" s="13" t="str">
        <f>IF(S57=2,"Y",IF(J57/R57&lt;0.54*(SQRT(29000/'Steel Angle Lintel Design'!$H$31)),"Y","N"))</f>
        <v>Y</v>
      </c>
      <c r="U57" s="13" t="str">
        <f>IF(J57/R57&gt;0.91*(SQRT(29000/'Steel Angle Lintel Design'!$H$31)),"Y","N")</f>
        <v>N</v>
      </c>
      <c r="V57" s="13" t="s">
        <v>126</v>
      </c>
      <c r="W57" s="13"/>
      <c r="X57" s="13">
        <v>3.65</v>
      </c>
      <c r="Y57" s="13">
        <v>71</v>
      </c>
      <c r="Z57" s="13">
        <v>39.5</v>
      </c>
      <c r="AA57" s="13">
        <v>3.65</v>
      </c>
      <c r="AB57" s="13">
        <v>71</v>
      </c>
      <c r="AC57" s="13">
        <v>39.5</v>
      </c>
      <c r="AD57" s="8"/>
    </row>
    <row r="58" spans="1:30" s="9" customFormat="1" ht="15.75">
      <c r="A58" s="43" t="str">
        <f>IF(AND(H58=1,L58&gt;='Steel Angle Lintel Design'!$M$98,'AISC Angle Database'!N58&gt;='Steel Angle Lintel Design'!$M$96,'AISC Angle Database'!J58&gt;='Steel Angle Lintel Design'!$F$40,'AISC Angle Database'!J58&lt;='Steel Angle Lintel Design'!$F$41,'AISC Angle Database'!K58&gt;='Steel Angle Lintel Design'!$K$40,'AISC Angle Database'!K58&lt;='Steel Angle Lintel Design'!$K$41),1,"")</f>
        <v/>
      </c>
      <c r="B58" s="44">
        <f t="shared" si="0"/>
        <v>0</v>
      </c>
      <c r="C58" s="44">
        <f t="shared" si="1"/>
        <v>0</v>
      </c>
      <c r="D58" s="42" t="e">
        <f t="shared" ca="1" si="4"/>
        <v>#NAME?</v>
      </c>
      <c r="E58" s="44" t="e">
        <f t="shared" ca="1" si="2"/>
        <v>#NAME?</v>
      </c>
      <c r="F58" s="5" t="e">
        <f t="shared" ca="1" si="3"/>
        <v>#NAME?</v>
      </c>
      <c r="G58" s="15" t="s">
        <v>127</v>
      </c>
      <c r="H58" s="15">
        <f>IF('Steel Angle Lintel Design'!$AM$16=1,1,IF('Steel Angle Lintel Design'!$AM$16=2,0,1))</f>
        <v>0</v>
      </c>
      <c r="I58" s="18">
        <v>10.3</v>
      </c>
      <c r="J58" s="15">
        <v>5</v>
      </c>
      <c r="K58" s="15">
        <v>5</v>
      </c>
      <c r="L58" s="15">
        <v>7.44</v>
      </c>
      <c r="M58" s="15">
        <v>3.65</v>
      </c>
      <c r="N58" s="15">
        <v>2.04</v>
      </c>
      <c r="O58" s="15">
        <v>7.44</v>
      </c>
      <c r="P58" s="15">
        <v>3.65</v>
      </c>
      <c r="Q58" s="15">
        <v>2.04</v>
      </c>
      <c r="R58" s="13">
        <v>0.3125</v>
      </c>
      <c r="S58" s="13">
        <v>1</v>
      </c>
      <c r="T58" s="13" t="str">
        <f>IF(S58=2,"Y",IF(J58/R58&lt;0.54*(SQRT(29000/'Steel Angle Lintel Design'!$H$31)),"Y","N"))</f>
        <v>N</v>
      </c>
      <c r="U58" s="13" t="str">
        <f>IF(J58/R58&gt;0.91*(SQRT(29000/'Steel Angle Lintel Design'!$H$31)),"Y","N")</f>
        <v>N</v>
      </c>
      <c r="V58" s="13" t="s">
        <v>128</v>
      </c>
      <c r="W58" s="13"/>
      <c r="X58" s="13">
        <v>3.1</v>
      </c>
      <c r="Y58" s="13">
        <v>59.8</v>
      </c>
      <c r="Z58" s="13">
        <v>33.4</v>
      </c>
      <c r="AA58" s="13">
        <v>3.1</v>
      </c>
      <c r="AB58" s="13">
        <v>59.8</v>
      </c>
      <c r="AC58" s="13">
        <v>33.4</v>
      </c>
      <c r="AD58" s="8"/>
    </row>
    <row r="59" spans="1:30" s="9" customFormat="1" ht="15.75">
      <c r="A59" s="43" t="str">
        <f>IF(AND(H59=1,L59&gt;='Steel Angle Lintel Design'!$M$98,'AISC Angle Database'!N59&gt;='Steel Angle Lintel Design'!$M$96,'AISC Angle Database'!J59&gt;='Steel Angle Lintel Design'!$F$40,'AISC Angle Database'!J59&lt;='Steel Angle Lintel Design'!$F$41,'AISC Angle Database'!K59&gt;='Steel Angle Lintel Design'!$K$40,'AISC Angle Database'!K59&lt;='Steel Angle Lintel Design'!$K$41),1,"")</f>
        <v/>
      </c>
      <c r="B59" s="44">
        <f t="shared" si="0"/>
        <v>0</v>
      </c>
      <c r="C59" s="44">
        <f t="shared" si="1"/>
        <v>0</v>
      </c>
      <c r="D59" s="42" t="e">
        <f t="shared" ca="1" si="4"/>
        <v>#NAME?</v>
      </c>
      <c r="E59" s="44" t="e">
        <f t="shared" ca="1" si="2"/>
        <v>#NAME?</v>
      </c>
      <c r="F59" s="5" t="e">
        <f t="shared" ca="1" si="3"/>
        <v>#NAME?</v>
      </c>
      <c r="G59" s="15" t="s">
        <v>129</v>
      </c>
      <c r="H59" s="15">
        <f>IF('Steel Angle Lintel Design'!$AM$16=1,1,IF('Steel Angle Lintel Design'!$AM$16=2,0,1))</f>
        <v>0</v>
      </c>
      <c r="I59" s="18">
        <v>19.8</v>
      </c>
      <c r="J59" s="15">
        <v>5</v>
      </c>
      <c r="K59" s="15">
        <v>3.5</v>
      </c>
      <c r="L59" s="15">
        <v>13.9</v>
      </c>
      <c r="M59" s="15">
        <v>7.6</v>
      </c>
      <c r="N59" s="15">
        <v>4.26</v>
      </c>
      <c r="O59" s="15">
        <v>5.52</v>
      </c>
      <c r="P59" s="15">
        <v>4.07</v>
      </c>
      <c r="Q59" s="15">
        <v>2.2000000000000002</v>
      </c>
      <c r="R59" s="13">
        <v>0.75</v>
      </c>
      <c r="S59" s="13">
        <v>1</v>
      </c>
      <c r="T59" s="13" t="str">
        <f>IF(S59=2,"Y",IF(J59/R59&lt;0.54*(SQRT(29000/'Steel Angle Lintel Design'!$H$31)),"Y","N"))</f>
        <v>Y</v>
      </c>
      <c r="U59" s="13" t="str">
        <f>IF(J59/R59&gt;0.91*(SQRT(29000/'Steel Angle Lintel Design'!$H$31)),"Y","N")</f>
        <v>N</v>
      </c>
      <c r="V59" s="13" t="s">
        <v>130</v>
      </c>
      <c r="W59" s="13"/>
      <c r="X59" s="13">
        <v>5.79</v>
      </c>
      <c r="Y59" s="13">
        <v>125</v>
      </c>
      <c r="Z59" s="13">
        <v>69.8</v>
      </c>
      <c r="AA59" s="13">
        <v>2.2999999999999998</v>
      </c>
      <c r="AB59" s="13">
        <v>66.7</v>
      </c>
      <c r="AC59" s="13">
        <v>36.1</v>
      </c>
      <c r="AD59" s="8"/>
    </row>
    <row r="60" spans="1:30" s="9" customFormat="1" ht="15.75">
      <c r="A60" s="43" t="str">
        <f>IF(AND(H60=1,L60&gt;='Steel Angle Lintel Design'!$M$98,'AISC Angle Database'!N60&gt;='Steel Angle Lintel Design'!$M$96,'AISC Angle Database'!J60&gt;='Steel Angle Lintel Design'!$F$40,'AISC Angle Database'!J60&lt;='Steel Angle Lintel Design'!$F$41,'AISC Angle Database'!K60&gt;='Steel Angle Lintel Design'!$K$40,'AISC Angle Database'!K60&lt;='Steel Angle Lintel Design'!$K$41),1,"")</f>
        <v/>
      </c>
      <c r="B60" s="44">
        <f t="shared" si="0"/>
        <v>0</v>
      </c>
      <c r="C60" s="44">
        <f t="shared" si="1"/>
        <v>0</v>
      </c>
      <c r="D60" s="42" t="e">
        <f t="shared" ca="1" si="4"/>
        <v>#NAME?</v>
      </c>
      <c r="E60" s="44" t="e">
        <f t="shared" ca="1" si="2"/>
        <v>#NAME?</v>
      </c>
      <c r="F60" s="5" t="e">
        <f t="shared" ca="1" si="3"/>
        <v>#NAME?</v>
      </c>
      <c r="G60" s="15" t="s">
        <v>131</v>
      </c>
      <c r="H60" s="15">
        <f>IF('Steel Angle Lintel Design'!$AM$16=1,1,IF('Steel Angle Lintel Design'!$AM$16=2,0,1))</f>
        <v>0</v>
      </c>
      <c r="I60" s="18">
        <v>16.8</v>
      </c>
      <c r="J60" s="15">
        <v>5</v>
      </c>
      <c r="K60" s="15">
        <v>3.5</v>
      </c>
      <c r="L60" s="15">
        <v>12</v>
      </c>
      <c r="M60" s="15">
        <v>6.5</v>
      </c>
      <c r="N60" s="15">
        <v>3.63</v>
      </c>
      <c r="O60" s="15">
        <v>4.8</v>
      </c>
      <c r="P60" s="15">
        <v>3.43</v>
      </c>
      <c r="Q60" s="15">
        <v>1.88</v>
      </c>
      <c r="R60" s="13">
        <v>0.625</v>
      </c>
      <c r="S60" s="13">
        <v>1</v>
      </c>
      <c r="T60" s="13" t="str">
        <f>IF(S60=2,"Y",IF(J60/R60&lt;0.54*(SQRT(29000/'Steel Angle Lintel Design'!$H$31)),"Y","N"))</f>
        <v>Y</v>
      </c>
      <c r="U60" s="13" t="str">
        <f>IF(J60/R60&gt;0.91*(SQRT(29000/'Steel Angle Lintel Design'!$H$31)),"Y","N")</f>
        <v>N</v>
      </c>
      <c r="V60" s="13" t="s">
        <v>132</v>
      </c>
      <c r="W60" s="13"/>
      <c r="X60" s="13">
        <v>4.99</v>
      </c>
      <c r="Y60" s="13">
        <v>107</v>
      </c>
      <c r="Z60" s="13">
        <v>59.5</v>
      </c>
      <c r="AA60" s="13">
        <v>2</v>
      </c>
      <c r="AB60" s="13">
        <v>56.2</v>
      </c>
      <c r="AC60" s="13">
        <v>30.8</v>
      </c>
      <c r="AD60" s="8"/>
    </row>
    <row r="61" spans="1:30" s="9" customFormat="1" ht="15.75">
      <c r="A61" s="43" t="str">
        <f>IF(AND(H61=1,L61&gt;='Steel Angle Lintel Design'!$M$98,'AISC Angle Database'!N61&gt;='Steel Angle Lintel Design'!$M$96,'AISC Angle Database'!J61&gt;='Steel Angle Lintel Design'!$F$40,'AISC Angle Database'!J61&lt;='Steel Angle Lintel Design'!$F$41,'AISC Angle Database'!K61&gt;='Steel Angle Lintel Design'!$K$40,'AISC Angle Database'!K61&lt;='Steel Angle Lintel Design'!$K$41),1,"")</f>
        <v/>
      </c>
      <c r="B61" s="44">
        <f t="shared" si="0"/>
        <v>0</v>
      </c>
      <c r="C61" s="44">
        <f t="shared" si="1"/>
        <v>0</v>
      </c>
      <c r="D61" s="42" t="e">
        <f t="shared" ca="1" si="4"/>
        <v>#NAME?</v>
      </c>
      <c r="E61" s="44" t="e">
        <f t="shared" ca="1" si="2"/>
        <v>#NAME?</v>
      </c>
      <c r="F61" s="5" t="e">
        <f t="shared" ca="1" si="3"/>
        <v>#NAME?</v>
      </c>
      <c r="G61" s="15" t="s">
        <v>133</v>
      </c>
      <c r="H61" s="15">
        <f>IF('Steel Angle Lintel Design'!$AM$16=1,1,IF('Steel Angle Lintel Design'!$AM$16=2,0,1))</f>
        <v>0</v>
      </c>
      <c r="I61" s="18">
        <v>13.61</v>
      </c>
      <c r="J61" s="15">
        <v>5</v>
      </c>
      <c r="K61" s="15">
        <v>3.5</v>
      </c>
      <c r="L61" s="15">
        <v>10</v>
      </c>
      <c r="M61" s="15">
        <v>5.33</v>
      </c>
      <c r="N61" s="15">
        <v>2.97</v>
      </c>
      <c r="O61" s="15">
        <v>4.0199999999999996</v>
      </c>
      <c r="P61" s="15">
        <v>2.79</v>
      </c>
      <c r="Q61" s="15">
        <v>1.55</v>
      </c>
      <c r="R61" s="13">
        <v>0.5</v>
      </c>
      <c r="S61" s="13">
        <v>1</v>
      </c>
      <c r="T61" s="13" t="str">
        <f>IF(S61=2,"Y",IF(J61/R61&lt;0.54*(SQRT(29000/'Steel Angle Lintel Design'!$H$31)),"Y","N"))</f>
        <v>Y</v>
      </c>
      <c r="U61" s="13" t="str">
        <f>IF(J61/R61&gt;0.91*(SQRT(29000/'Steel Angle Lintel Design'!$H$31)),"Y","N")</f>
        <v>N</v>
      </c>
      <c r="V61" s="13" t="s">
        <v>134</v>
      </c>
      <c r="W61" s="13"/>
      <c r="X61" s="13">
        <v>4.1500000000000004</v>
      </c>
      <c r="Y61" s="13">
        <v>87.3</v>
      </c>
      <c r="Z61" s="13">
        <v>48.7</v>
      </c>
      <c r="AA61" s="13">
        <v>1.67</v>
      </c>
      <c r="AB61" s="13">
        <v>45.7</v>
      </c>
      <c r="AC61" s="13">
        <v>25.4</v>
      </c>
      <c r="AD61" s="8"/>
    </row>
    <row r="62" spans="1:30" s="9" customFormat="1" ht="15.75">
      <c r="A62" s="43" t="str">
        <f>IF(AND(H62=1,L62&gt;='Steel Angle Lintel Design'!$M$98,'AISC Angle Database'!N62&gt;='Steel Angle Lintel Design'!$M$96,'AISC Angle Database'!J62&gt;='Steel Angle Lintel Design'!$F$40,'AISC Angle Database'!J62&lt;='Steel Angle Lintel Design'!$F$41,'AISC Angle Database'!K62&gt;='Steel Angle Lintel Design'!$K$40,'AISC Angle Database'!K62&lt;='Steel Angle Lintel Design'!$K$41),1,"")</f>
        <v/>
      </c>
      <c r="B62" s="44">
        <f t="shared" si="0"/>
        <v>0</v>
      </c>
      <c r="C62" s="44">
        <f t="shared" si="1"/>
        <v>0</v>
      </c>
      <c r="D62" s="42" t="e">
        <f t="shared" ca="1" si="4"/>
        <v>#NAME?</v>
      </c>
      <c r="E62" s="44" t="e">
        <f t="shared" ca="1" si="2"/>
        <v>#NAME?</v>
      </c>
      <c r="F62" s="5" t="e">
        <f t="shared" ca="1" si="3"/>
        <v>#NAME?</v>
      </c>
      <c r="G62" s="15" t="s">
        <v>135</v>
      </c>
      <c r="H62" s="15">
        <f>IF('Steel Angle Lintel Design'!$AM$16=1,1,IF('Steel Angle Lintel Design'!$AM$16=2,0,1))</f>
        <v>0</v>
      </c>
      <c r="I62" s="18">
        <v>10.4</v>
      </c>
      <c r="J62" s="15">
        <v>5</v>
      </c>
      <c r="K62" s="15">
        <v>3.5</v>
      </c>
      <c r="L62" s="15">
        <v>7.75</v>
      </c>
      <c r="M62" s="15">
        <v>4.09</v>
      </c>
      <c r="N62" s="15">
        <v>2.2799999999999998</v>
      </c>
      <c r="O62" s="15">
        <v>3.15</v>
      </c>
      <c r="P62" s="15">
        <v>2.12</v>
      </c>
      <c r="Q62" s="15">
        <v>1.19</v>
      </c>
      <c r="R62" s="13">
        <v>0.375</v>
      </c>
      <c r="S62" s="13">
        <v>1</v>
      </c>
      <c r="T62" s="13" t="str">
        <f>IF(S62=2,"Y",IF(J62/R62&lt;0.54*(SQRT(29000/'Steel Angle Lintel Design'!$H$31)),"Y","N"))</f>
        <v>Y</v>
      </c>
      <c r="U62" s="13" t="str">
        <f>IF(J62/R62&gt;0.91*(SQRT(29000/'Steel Angle Lintel Design'!$H$31)),"Y","N")</f>
        <v>N</v>
      </c>
      <c r="V62" s="13" t="s">
        <v>136</v>
      </c>
      <c r="W62" s="13"/>
      <c r="X62" s="13">
        <v>3.23</v>
      </c>
      <c r="Y62" s="13">
        <v>67</v>
      </c>
      <c r="Z62" s="13">
        <v>37.4</v>
      </c>
      <c r="AA62" s="13">
        <v>1.31</v>
      </c>
      <c r="AB62" s="13">
        <v>34.700000000000003</v>
      </c>
      <c r="AC62" s="13">
        <v>19.5</v>
      </c>
      <c r="AD62" s="8"/>
    </row>
    <row r="63" spans="1:30" s="9" customFormat="1" ht="15.75">
      <c r="A63" s="43" t="str">
        <f>IF(AND(H63=1,L63&gt;='Steel Angle Lintel Design'!$M$98,'AISC Angle Database'!N63&gt;='Steel Angle Lintel Design'!$M$96,'AISC Angle Database'!J63&gt;='Steel Angle Lintel Design'!$F$40,'AISC Angle Database'!J63&lt;='Steel Angle Lintel Design'!$F$41,'AISC Angle Database'!K63&gt;='Steel Angle Lintel Design'!$K$40,'AISC Angle Database'!K63&lt;='Steel Angle Lintel Design'!$K$41),1,"")</f>
        <v/>
      </c>
      <c r="B63" s="44">
        <f t="shared" si="0"/>
        <v>0</v>
      </c>
      <c r="C63" s="44">
        <f t="shared" si="1"/>
        <v>0</v>
      </c>
      <c r="D63" s="42" t="e">
        <f t="shared" ca="1" si="4"/>
        <v>#NAME?</v>
      </c>
      <c r="E63" s="44" t="e">
        <f t="shared" ca="1" si="2"/>
        <v>#NAME?</v>
      </c>
      <c r="F63" s="5" t="e">
        <f t="shared" ca="1" si="3"/>
        <v>#NAME?</v>
      </c>
      <c r="G63" s="15" t="s">
        <v>137</v>
      </c>
      <c r="H63" s="15">
        <f>IF('Steel Angle Lintel Design'!$AM$16=1,1,IF('Steel Angle Lintel Design'!$AM$16=2,0,1))</f>
        <v>0</v>
      </c>
      <c r="I63" s="18">
        <v>8.6999999999999993</v>
      </c>
      <c r="J63" s="15">
        <v>5</v>
      </c>
      <c r="K63" s="15">
        <v>3.5</v>
      </c>
      <c r="L63" s="15">
        <v>6.58</v>
      </c>
      <c r="M63" s="15">
        <v>3.45</v>
      </c>
      <c r="N63" s="15">
        <v>1.92</v>
      </c>
      <c r="O63" s="15">
        <v>2.69</v>
      </c>
      <c r="P63" s="15">
        <v>1.77</v>
      </c>
      <c r="Q63" s="15">
        <v>1.01</v>
      </c>
      <c r="R63" s="13">
        <v>0.3125</v>
      </c>
      <c r="S63" s="13">
        <v>1</v>
      </c>
      <c r="T63" s="13" t="str">
        <f>IF(S63=2,"Y",IF(J63/R63&lt;0.54*(SQRT(29000/'Steel Angle Lintel Design'!$H$31)),"Y","N"))</f>
        <v>N</v>
      </c>
      <c r="U63" s="13" t="str">
        <f>IF(J63/R63&gt;0.91*(SQRT(29000/'Steel Angle Lintel Design'!$H$31)),"Y","N")</f>
        <v>N</v>
      </c>
      <c r="V63" s="13" t="s">
        <v>138</v>
      </c>
      <c r="W63" s="13"/>
      <c r="X63" s="13">
        <v>2.74</v>
      </c>
      <c r="Y63" s="13">
        <v>56.5</v>
      </c>
      <c r="Z63" s="13">
        <v>31.5</v>
      </c>
      <c r="AA63" s="13">
        <v>1.1200000000000001</v>
      </c>
      <c r="AB63" s="13">
        <v>29</v>
      </c>
      <c r="AC63" s="13">
        <v>16.600000000000001</v>
      </c>
      <c r="AD63" s="8"/>
    </row>
    <row r="64" spans="1:30" s="9" customFormat="1" ht="15.75">
      <c r="A64" s="43" t="str">
        <f>IF(AND(H64=1,L64&gt;='Steel Angle Lintel Design'!$M$98,'AISC Angle Database'!N64&gt;='Steel Angle Lintel Design'!$M$96,'AISC Angle Database'!J64&gt;='Steel Angle Lintel Design'!$F$40,'AISC Angle Database'!J64&lt;='Steel Angle Lintel Design'!$F$41,'AISC Angle Database'!K64&gt;='Steel Angle Lintel Design'!$K$40,'AISC Angle Database'!K64&lt;='Steel Angle Lintel Design'!$K$41),1,"")</f>
        <v/>
      </c>
      <c r="B64" s="44">
        <f t="shared" si="0"/>
        <v>0</v>
      </c>
      <c r="C64" s="44">
        <f t="shared" si="1"/>
        <v>0</v>
      </c>
      <c r="D64" s="42" t="e">
        <f t="shared" ca="1" si="4"/>
        <v>#NAME?</v>
      </c>
      <c r="E64" s="44" t="e">
        <f t="shared" ca="1" si="2"/>
        <v>#NAME?</v>
      </c>
      <c r="F64" s="5" t="e">
        <f t="shared" ca="1" si="3"/>
        <v>#NAME?</v>
      </c>
      <c r="G64" s="15" t="s">
        <v>139</v>
      </c>
      <c r="H64" s="15">
        <f>IF('Steel Angle Lintel Design'!$AM$16=1,1,IF('Steel Angle Lintel Design'!$AM$16=2,0,1))</f>
        <v>0</v>
      </c>
      <c r="I64" s="18">
        <v>7</v>
      </c>
      <c r="J64" s="15">
        <v>5</v>
      </c>
      <c r="K64" s="15">
        <v>3.5</v>
      </c>
      <c r="L64" s="15">
        <v>5.36</v>
      </c>
      <c r="M64" s="15">
        <v>2.78</v>
      </c>
      <c r="N64" s="15">
        <v>1.55</v>
      </c>
      <c r="O64" s="15">
        <v>2.2000000000000002</v>
      </c>
      <c r="P64" s="15">
        <v>1.42</v>
      </c>
      <c r="Q64" s="15">
        <v>0.81599999999999995</v>
      </c>
      <c r="R64" s="13">
        <v>0.25</v>
      </c>
      <c r="S64" s="13">
        <v>1</v>
      </c>
      <c r="T64" s="13" t="str">
        <f>IF(S64=2,"Y",IF(J64/R64&lt;0.54*(SQRT(29000/'Steel Angle Lintel Design'!$H$31)),"Y","N"))</f>
        <v>N</v>
      </c>
      <c r="U64" s="13" t="str">
        <f>IF(J64/R64&gt;0.91*(SQRT(29000/'Steel Angle Lintel Design'!$H$31)),"Y","N")</f>
        <v>N</v>
      </c>
      <c r="V64" s="13" t="s">
        <v>140</v>
      </c>
      <c r="W64" s="13"/>
      <c r="X64" s="13">
        <v>2.23</v>
      </c>
      <c r="Y64" s="13">
        <v>45.6</v>
      </c>
      <c r="Z64" s="13">
        <v>25.4</v>
      </c>
      <c r="AA64" s="13">
        <v>0.91600000000000004</v>
      </c>
      <c r="AB64" s="13">
        <v>23.3</v>
      </c>
      <c r="AC64" s="13">
        <v>13.4</v>
      </c>
      <c r="AD64" s="8"/>
    </row>
    <row r="65" spans="1:30" s="9" customFormat="1" ht="15.75">
      <c r="A65" s="43" t="str">
        <f>IF(AND(H65=1,L65&gt;='Steel Angle Lintel Design'!$M$98,'AISC Angle Database'!N65&gt;='Steel Angle Lintel Design'!$M$96,'AISC Angle Database'!J65&gt;='Steel Angle Lintel Design'!$F$40,'AISC Angle Database'!J65&lt;='Steel Angle Lintel Design'!$F$41,'AISC Angle Database'!K65&gt;='Steel Angle Lintel Design'!$K$40,'AISC Angle Database'!K65&lt;='Steel Angle Lintel Design'!$K$41),1,"")</f>
        <v/>
      </c>
      <c r="B65" s="44">
        <f t="shared" si="0"/>
        <v>0</v>
      </c>
      <c r="C65" s="44">
        <f t="shared" si="1"/>
        <v>0</v>
      </c>
      <c r="D65" s="42" t="e">
        <f t="shared" ca="1" si="4"/>
        <v>#NAME?</v>
      </c>
      <c r="E65" s="44" t="e">
        <f t="shared" ca="1" si="2"/>
        <v>#NAME?</v>
      </c>
      <c r="F65" s="5" t="e">
        <f t="shared" ca="1" si="3"/>
        <v>#NAME?</v>
      </c>
      <c r="G65" s="15" t="s">
        <v>141</v>
      </c>
      <c r="H65" s="15">
        <f>IF('Steel Angle Lintel Design'!$AM$16=1,1,IF('Steel Angle Lintel Design'!$AM$16=2,0,1))</f>
        <v>0</v>
      </c>
      <c r="I65" s="18">
        <v>12.81</v>
      </c>
      <c r="J65" s="15">
        <v>5</v>
      </c>
      <c r="K65" s="15">
        <v>3</v>
      </c>
      <c r="L65" s="15">
        <v>9.43</v>
      </c>
      <c r="M65" s="15">
        <v>5.12</v>
      </c>
      <c r="N65" s="15">
        <v>2.89</v>
      </c>
      <c r="O65" s="15">
        <v>2.5499999999999998</v>
      </c>
      <c r="P65" s="15">
        <v>2.08</v>
      </c>
      <c r="Q65" s="15">
        <v>1.1299999999999999</v>
      </c>
      <c r="R65" s="13">
        <v>0.5</v>
      </c>
      <c r="S65" s="13">
        <v>1</v>
      </c>
      <c r="T65" s="13" t="str">
        <f>IF(S65=2,"Y",IF(J65/R65&lt;0.54*(SQRT(29000/'Steel Angle Lintel Design'!$H$31)),"Y","N"))</f>
        <v>Y</v>
      </c>
      <c r="U65" s="13" t="str">
        <f>IF(J65/R65&gt;0.91*(SQRT(29000/'Steel Angle Lintel Design'!$H$31)),"Y","N")</f>
        <v>N</v>
      </c>
      <c r="V65" s="13" t="s">
        <v>142</v>
      </c>
      <c r="W65" s="13"/>
      <c r="X65" s="13">
        <v>3.93</v>
      </c>
      <c r="Y65" s="13">
        <v>83.9</v>
      </c>
      <c r="Z65" s="13">
        <v>47.4</v>
      </c>
      <c r="AA65" s="13">
        <v>1.06</v>
      </c>
      <c r="AB65" s="13">
        <v>34.1</v>
      </c>
      <c r="AC65" s="13">
        <v>18.5</v>
      </c>
      <c r="AD65" s="8"/>
    </row>
    <row r="66" spans="1:30" s="9" customFormat="1" ht="15.75">
      <c r="A66" s="43" t="str">
        <f>IF(AND(H66=1,L66&gt;='Steel Angle Lintel Design'!$M$98,'AISC Angle Database'!N66&gt;='Steel Angle Lintel Design'!$M$96,'AISC Angle Database'!J66&gt;='Steel Angle Lintel Design'!$F$40,'AISC Angle Database'!J66&lt;='Steel Angle Lintel Design'!$F$41,'AISC Angle Database'!K66&gt;='Steel Angle Lintel Design'!$K$40,'AISC Angle Database'!K66&lt;='Steel Angle Lintel Design'!$K$41),1,"")</f>
        <v/>
      </c>
      <c r="B66" s="44">
        <f t="shared" si="0"/>
        <v>0</v>
      </c>
      <c r="C66" s="44">
        <f t="shared" si="1"/>
        <v>0</v>
      </c>
      <c r="D66" s="42" t="e">
        <f t="shared" ca="1" si="4"/>
        <v>#NAME?</v>
      </c>
      <c r="E66" s="44" t="e">
        <f t="shared" ca="1" si="2"/>
        <v>#NAME?</v>
      </c>
      <c r="F66" s="5" t="e">
        <f t="shared" ca="1" si="3"/>
        <v>#NAME?</v>
      </c>
      <c r="G66" s="15" t="s">
        <v>143</v>
      </c>
      <c r="H66" s="15">
        <f>IF('Steel Angle Lintel Design'!$AM$16=1,1,IF('Steel Angle Lintel Design'!$AM$16=2,0,1))</f>
        <v>0</v>
      </c>
      <c r="I66" s="18">
        <v>11.31</v>
      </c>
      <c r="J66" s="15">
        <v>5</v>
      </c>
      <c r="K66" s="15">
        <v>3</v>
      </c>
      <c r="L66" s="15">
        <v>8.41</v>
      </c>
      <c r="M66" s="15">
        <v>4.53</v>
      </c>
      <c r="N66" s="15">
        <v>2.56</v>
      </c>
      <c r="O66" s="15">
        <v>2.29</v>
      </c>
      <c r="P66" s="15">
        <v>1.82</v>
      </c>
      <c r="Q66" s="15">
        <v>1</v>
      </c>
      <c r="R66" s="13">
        <v>0.4375</v>
      </c>
      <c r="S66" s="13">
        <v>1</v>
      </c>
      <c r="T66" s="13" t="str">
        <f>IF(S66=2,"Y",IF(J66/R66&lt;0.54*(SQRT(29000/'Steel Angle Lintel Design'!$H$31)),"Y","N"))</f>
        <v>Y</v>
      </c>
      <c r="U66" s="13" t="str">
        <f>IF(J66/R66&gt;0.91*(SQRT(29000/'Steel Angle Lintel Design'!$H$31)),"Y","N")</f>
        <v>N</v>
      </c>
      <c r="V66" s="13" t="s">
        <v>144</v>
      </c>
      <c r="W66" s="13"/>
      <c r="X66" s="13">
        <v>3.5</v>
      </c>
      <c r="Y66" s="13">
        <v>74.2</v>
      </c>
      <c r="Z66" s="13">
        <v>42</v>
      </c>
      <c r="AA66" s="13">
        <v>0.95299999999999996</v>
      </c>
      <c r="AB66" s="13">
        <v>29.8</v>
      </c>
      <c r="AC66" s="13">
        <v>16.399999999999999</v>
      </c>
      <c r="AD66" s="8"/>
    </row>
    <row r="67" spans="1:30" s="9" customFormat="1" ht="15.75">
      <c r="A67" s="43" t="str">
        <f>IF(AND(H67=1,L67&gt;='Steel Angle Lintel Design'!$M$98,'AISC Angle Database'!N67&gt;='Steel Angle Lintel Design'!$M$96,'AISC Angle Database'!J67&gt;='Steel Angle Lintel Design'!$F$40,'AISC Angle Database'!J67&lt;='Steel Angle Lintel Design'!$F$41,'AISC Angle Database'!K67&gt;='Steel Angle Lintel Design'!$K$40,'AISC Angle Database'!K67&lt;='Steel Angle Lintel Design'!$K$41),1,"")</f>
        <v/>
      </c>
      <c r="B67" s="44">
        <f t="shared" si="0"/>
        <v>0</v>
      </c>
      <c r="C67" s="44">
        <f t="shared" si="1"/>
        <v>0</v>
      </c>
      <c r="D67" s="42" t="e">
        <f t="shared" ca="1" si="4"/>
        <v>#NAME?</v>
      </c>
      <c r="E67" s="44" t="e">
        <f t="shared" ca="1" si="2"/>
        <v>#NAME?</v>
      </c>
      <c r="F67" s="5" t="e">
        <f t="shared" ca="1" si="3"/>
        <v>#NAME?</v>
      </c>
      <c r="G67" s="15" t="s">
        <v>145</v>
      </c>
      <c r="H67" s="15">
        <f>IF('Steel Angle Lintel Design'!$AM$16=1,1,IF('Steel Angle Lintel Design'!$AM$16=2,0,1))</f>
        <v>0</v>
      </c>
      <c r="I67" s="18">
        <v>9.82</v>
      </c>
      <c r="J67" s="15">
        <v>5</v>
      </c>
      <c r="K67" s="15">
        <v>3</v>
      </c>
      <c r="L67" s="15">
        <v>7.35</v>
      </c>
      <c r="M67" s="15">
        <v>3.93</v>
      </c>
      <c r="N67" s="15">
        <v>2.2200000000000002</v>
      </c>
      <c r="O67" s="15">
        <v>2.0099999999999998</v>
      </c>
      <c r="P67" s="15">
        <v>1.57</v>
      </c>
      <c r="Q67" s="15">
        <v>0.874</v>
      </c>
      <c r="R67" s="13">
        <v>0.375</v>
      </c>
      <c r="S67" s="13">
        <v>1</v>
      </c>
      <c r="T67" s="13" t="str">
        <f>IF(S67=2,"Y",IF(J67/R67&lt;0.54*(SQRT(29000/'Steel Angle Lintel Design'!$H$31)),"Y","N"))</f>
        <v>Y</v>
      </c>
      <c r="U67" s="13" t="str">
        <f>IF(J67/R67&gt;0.91*(SQRT(29000/'Steel Angle Lintel Design'!$H$31)),"Y","N")</f>
        <v>N</v>
      </c>
      <c r="V67" s="13" t="s">
        <v>146</v>
      </c>
      <c r="W67" s="13"/>
      <c r="X67" s="13">
        <v>3.06</v>
      </c>
      <c r="Y67" s="13">
        <v>64.400000000000006</v>
      </c>
      <c r="Z67" s="13">
        <v>36.4</v>
      </c>
      <c r="AA67" s="13">
        <v>0.83699999999999997</v>
      </c>
      <c r="AB67" s="13">
        <v>25.7</v>
      </c>
      <c r="AC67" s="13">
        <v>14.3</v>
      </c>
      <c r="AD67" s="8"/>
    </row>
    <row r="68" spans="1:30" s="9" customFormat="1" ht="15.75">
      <c r="A68" s="43" t="str">
        <f>IF(AND(H68=1,L68&gt;='Steel Angle Lintel Design'!$M$98,'AISC Angle Database'!N68&gt;='Steel Angle Lintel Design'!$M$96,'AISC Angle Database'!J68&gt;='Steel Angle Lintel Design'!$F$40,'AISC Angle Database'!J68&lt;='Steel Angle Lintel Design'!$F$41,'AISC Angle Database'!K68&gt;='Steel Angle Lintel Design'!$K$40,'AISC Angle Database'!K68&lt;='Steel Angle Lintel Design'!$K$41),1,"")</f>
        <v/>
      </c>
      <c r="B68" s="44">
        <f t="shared" si="0"/>
        <v>0</v>
      </c>
      <c r="C68" s="44">
        <f t="shared" si="1"/>
        <v>0</v>
      </c>
      <c r="D68" s="42" t="e">
        <f t="shared" ca="1" si="4"/>
        <v>#NAME?</v>
      </c>
      <c r="E68" s="44" t="e">
        <f t="shared" ca="1" si="2"/>
        <v>#NAME?</v>
      </c>
      <c r="F68" s="5" t="e">
        <f t="shared" ca="1" si="3"/>
        <v>#NAME?</v>
      </c>
      <c r="G68" s="15" t="s">
        <v>147</v>
      </c>
      <c r="H68" s="15">
        <f>IF('Steel Angle Lintel Design'!$AM$16=1,1,IF('Steel Angle Lintel Design'!$AM$16=2,0,1))</f>
        <v>0</v>
      </c>
      <c r="I68" s="18">
        <v>8.2100000000000009</v>
      </c>
      <c r="J68" s="15">
        <v>5</v>
      </c>
      <c r="K68" s="15">
        <v>3</v>
      </c>
      <c r="L68" s="15">
        <v>6.24</v>
      </c>
      <c r="M68" s="15">
        <v>3.32</v>
      </c>
      <c r="N68" s="15">
        <v>1.87</v>
      </c>
      <c r="O68" s="15">
        <v>1.72</v>
      </c>
      <c r="P68" s="15">
        <v>1.31</v>
      </c>
      <c r="Q68" s="15">
        <v>0.73899999999999999</v>
      </c>
      <c r="R68" s="13">
        <v>0.3125</v>
      </c>
      <c r="S68" s="13">
        <v>1</v>
      </c>
      <c r="T68" s="13" t="str">
        <f>IF(S68=2,"Y",IF(J68/R68&lt;0.54*(SQRT(29000/'Steel Angle Lintel Design'!$H$31)),"Y","N"))</f>
        <v>N</v>
      </c>
      <c r="U68" s="13" t="str">
        <f>IF(J68/R68&gt;0.91*(SQRT(29000/'Steel Angle Lintel Design'!$H$31)),"Y","N")</f>
        <v>N</v>
      </c>
      <c r="V68" s="13" t="s">
        <v>148</v>
      </c>
      <c r="W68" s="13"/>
      <c r="X68" s="13">
        <v>2.6</v>
      </c>
      <c r="Y68" s="13">
        <v>54.4</v>
      </c>
      <c r="Z68" s="13">
        <v>30.6</v>
      </c>
      <c r="AA68" s="13">
        <v>0.71599999999999997</v>
      </c>
      <c r="AB68" s="13">
        <v>21.5</v>
      </c>
      <c r="AC68" s="13">
        <v>12.1</v>
      </c>
      <c r="AD68" s="8"/>
    </row>
    <row r="69" spans="1:30" s="9" customFormat="1" ht="15.75">
      <c r="A69" s="43" t="str">
        <f>IF(AND(H69=1,L69&gt;='Steel Angle Lintel Design'!$M$98,'AISC Angle Database'!N69&gt;='Steel Angle Lintel Design'!$M$96,'AISC Angle Database'!J69&gt;='Steel Angle Lintel Design'!$F$40,'AISC Angle Database'!J69&lt;='Steel Angle Lintel Design'!$F$41,'AISC Angle Database'!K69&gt;='Steel Angle Lintel Design'!$K$40,'AISC Angle Database'!K69&lt;='Steel Angle Lintel Design'!$K$41),1,"")</f>
        <v/>
      </c>
      <c r="B69" s="44">
        <f t="shared" si="0"/>
        <v>0</v>
      </c>
      <c r="C69" s="44">
        <f t="shared" si="1"/>
        <v>0</v>
      </c>
      <c r="D69" s="42" t="e">
        <f t="shared" ca="1" si="4"/>
        <v>#NAME?</v>
      </c>
      <c r="E69" s="44" t="e">
        <f t="shared" ca="1" si="2"/>
        <v>#NAME?</v>
      </c>
      <c r="F69" s="5" t="e">
        <f t="shared" ca="1" si="3"/>
        <v>#NAME?</v>
      </c>
      <c r="G69" s="15" t="s">
        <v>149</v>
      </c>
      <c r="H69" s="15">
        <f>IF('Steel Angle Lintel Design'!$AM$16=1,1,IF('Steel Angle Lintel Design'!$AM$16=2,0,1))</f>
        <v>0</v>
      </c>
      <c r="I69" s="18">
        <v>6.62</v>
      </c>
      <c r="J69" s="15">
        <v>5</v>
      </c>
      <c r="K69" s="15">
        <v>3</v>
      </c>
      <c r="L69" s="15">
        <v>5.09</v>
      </c>
      <c r="M69" s="15">
        <v>2.68</v>
      </c>
      <c r="N69" s="15">
        <v>1.51</v>
      </c>
      <c r="O69" s="15">
        <v>1.41</v>
      </c>
      <c r="P69" s="15">
        <v>1.05</v>
      </c>
      <c r="Q69" s="15">
        <v>0.6</v>
      </c>
      <c r="R69" s="13">
        <v>0.25</v>
      </c>
      <c r="S69" s="13">
        <v>1</v>
      </c>
      <c r="T69" s="13" t="str">
        <f>IF(S69=2,"Y",IF(J69/R69&lt;0.54*(SQRT(29000/'Steel Angle Lintel Design'!$H$31)),"Y","N"))</f>
        <v>N</v>
      </c>
      <c r="U69" s="13" t="str">
        <f>IF(J69/R69&gt;0.91*(SQRT(29000/'Steel Angle Lintel Design'!$H$31)),"Y","N")</f>
        <v>N</v>
      </c>
      <c r="V69" s="13" t="s">
        <v>150</v>
      </c>
      <c r="W69" s="13"/>
      <c r="X69" s="13">
        <v>2.12</v>
      </c>
      <c r="Y69" s="13">
        <v>43.9</v>
      </c>
      <c r="Z69" s="13">
        <v>24.7</v>
      </c>
      <c r="AA69" s="13">
        <v>0.58699999999999997</v>
      </c>
      <c r="AB69" s="13">
        <v>17.2</v>
      </c>
      <c r="AC69" s="13">
        <v>9.83</v>
      </c>
      <c r="AD69" s="8"/>
    </row>
    <row r="70" spans="1:30" s="9" customFormat="1" ht="15.75">
      <c r="A70" s="43" t="str">
        <f>IF(AND(H70=1,L70&gt;='Steel Angle Lintel Design'!$M$98,'AISC Angle Database'!N70&gt;='Steel Angle Lintel Design'!$M$96,'AISC Angle Database'!J70&gt;='Steel Angle Lintel Design'!$F$40,'AISC Angle Database'!J70&lt;='Steel Angle Lintel Design'!$F$41,'AISC Angle Database'!K70&gt;='Steel Angle Lintel Design'!$K$40,'AISC Angle Database'!K70&lt;='Steel Angle Lintel Design'!$K$41),1,"")</f>
        <v/>
      </c>
      <c r="B70" s="44">
        <f t="shared" ref="B70:B133" si="5">IF(A70=1,B69+1,B69)</f>
        <v>0</v>
      </c>
      <c r="C70" s="44">
        <f t="shared" ref="C70:C133" si="6">IF(A70=1,I70,0)</f>
        <v>0</v>
      </c>
      <c r="D70" s="42" t="e">
        <f t="shared" ca="1" si="4"/>
        <v>#NAME?</v>
      </c>
      <c r="E70" s="44" t="e">
        <f t="shared" ref="E70:E133" ca="1" si="7">D70-D$335</f>
        <v>#NAME?</v>
      </c>
      <c r="F70" s="5" t="e">
        <f t="shared" ref="F70:F133" ca="1" si="8">E70*-1</f>
        <v>#NAME?</v>
      </c>
      <c r="G70" s="15" t="s">
        <v>151</v>
      </c>
      <c r="H70" s="15">
        <f>IF('Steel Angle Lintel Design'!$AM$16=1,1,IF('Steel Angle Lintel Design'!$AM$16=2,0,1))</f>
        <v>0</v>
      </c>
      <c r="I70" s="18">
        <v>18.5</v>
      </c>
      <c r="J70" s="15">
        <v>4</v>
      </c>
      <c r="K70" s="15">
        <v>4</v>
      </c>
      <c r="L70" s="15">
        <v>7.62</v>
      </c>
      <c r="M70" s="15">
        <v>5.0199999999999996</v>
      </c>
      <c r="N70" s="15">
        <v>2.79</v>
      </c>
      <c r="O70" s="15">
        <v>7.62</v>
      </c>
      <c r="P70" s="15">
        <v>5.01</v>
      </c>
      <c r="Q70" s="15">
        <v>2.79</v>
      </c>
      <c r="R70" s="13">
        <v>0.75</v>
      </c>
      <c r="S70" s="13">
        <v>1</v>
      </c>
      <c r="T70" s="13" t="str">
        <f>IF(S70=2,"Y",IF(J70/R70&lt;0.54*(SQRT(29000/'Steel Angle Lintel Design'!$H$31)),"Y","N"))</f>
        <v>Y</v>
      </c>
      <c r="U70" s="13" t="str">
        <f>IF(J70/R70&gt;0.91*(SQRT(29000/'Steel Angle Lintel Design'!$H$31)),"Y","N")</f>
        <v>N</v>
      </c>
      <c r="V70" s="13" t="s">
        <v>152</v>
      </c>
      <c r="W70" s="13"/>
      <c r="X70" s="13">
        <v>3.17</v>
      </c>
      <c r="Y70" s="13">
        <v>82.3</v>
      </c>
      <c r="Z70" s="13">
        <v>45.7</v>
      </c>
      <c r="AA70" s="13">
        <v>3.17</v>
      </c>
      <c r="AB70" s="13">
        <v>82.1</v>
      </c>
      <c r="AC70" s="13">
        <v>45.7</v>
      </c>
      <c r="AD70" s="8"/>
    </row>
    <row r="71" spans="1:30" s="9" customFormat="1" ht="15.75">
      <c r="A71" s="43" t="str">
        <f>IF(AND(H71=1,L71&gt;='Steel Angle Lintel Design'!$M$98,'AISC Angle Database'!N71&gt;='Steel Angle Lintel Design'!$M$96,'AISC Angle Database'!J71&gt;='Steel Angle Lintel Design'!$F$40,'AISC Angle Database'!J71&lt;='Steel Angle Lintel Design'!$F$41,'AISC Angle Database'!K71&gt;='Steel Angle Lintel Design'!$K$40,'AISC Angle Database'!K71&lt;='Steel Angle Lintel Design'!$K$41),1,"")</f>
        <v/>
      </c>
      <c r="B71" s="44">
        <f t="shared" si="5"/>
        <v>0</v>
      </c>
      <c r="C71" s="44">
        <f t="shared" si="6"/>
        <v>0</v>
      </c>
      <c r="D71" s="42" t="e">
        <f t="shared" ref="D71:D133" ca="1" si="9">_xlfn.RANK.EQ(C71,$C$6:$C$333)</f>
        <v>#NAME?</v>
      </c>
      <c r="E71" s="44" t="e">
        <f t="shared" ca="1" si="7"/>
        <v>#NAME?</v>
      </c>
      <c r="F71" s="5" t="e">
        <f t="shared" ca="1" si="8"/>
        <v>#NAME?</v>
      </c>
      <c r="G71" s="15" t="s">
        <v>153</v>
      </c>
      <c r="H71" s="15">
        <f>IF('Steel Angle Lintel Design'!$AM$16=1,1,IF('Steel Angle Lintel Design'!$AM$16=2,0,1))</f>
        <v>0</v>
      </c>
      <c r="I71" s="18">
        <v>15.7</v>
      </c>
      <c r="J71" s="15">
        <v>4</v>
      </c>
      <c r="K71" s="15">
        <v>4</v>
      </c>
      <c r="L71" s="15">
        <v>6.62</v>
      </c>
      <c r="M71" s="15">
        <v>4.28</v>
      </c>
      <c r="N71" s="15">
        <v>2.38</v>
      </c>
      <c r="O71" s="15">
        <v>6.62</v>
      </c>
      <c r="P71" s="15">
        <v>4.28</v>
      </c>
      <c r="Q71" s="15">
        <v>2.38</v>
      </c>
      <c r="R71" s="13">
        <v>0.625</v>
      </c>
      <c r="S71" s="13">
        <v>1</v>
      </c>
      <c r="T71" s="13" t="str">
        <f>IF(S71=2,"Y",IF(J71/R71&lt;0.54*(SQRT(29000/'Steel Angle Lintel Design'!$H$31)),"Y","N"))</f>
        <v>Y</v>
      </c>
      <c r="U71" s="13" t="str">
        <f>IF(J71/R71&gt;0.91*(SQRT(29000/'Steel Angle Lintel Design'!$H$31)),"Y","N")</f>
        <v>N</v>
      </c>
      <c r="V71" s="13" t="s">
        <v>154</v>
      </c>
      <c r="W71" s="13"/>
      <c r="X71" s="13">
        <v>2.76</v>
      </c>
      <c r="Y71" s="13">
        <v>70.099999999999994</v>
      </c>
      <c r="Z71" s="13">
        <v>39</v>
      </c>
      <c r="AA71" s="13">
        <v>2.76</v>
      </c>
      <c r="AB71" s="13">
        <v>70.099999999999994</v>
      </c>
      <c r="AC71" s="13">
        <v>39</v>
      </c>
      <c r="AD71" s="8"/>
    </row>
    <row r="72" spans="1:30" s="9" customFormat="1" ht="15.75">
      <c r="A72" s="43" t="str">
        <f>IF(AND(H72=1,L72&gt;='Steel Angle Lintel Design'!$M$98,'AISC Angle Database'!N72&gt;='Steel Angle Lintel Design'!$M$96,'AISC Angle Database'!J72&gt;='Steel Angle Lintel Design'!$F$40,'AISC Angle Database'!J72&lt;='Steel Angle Lintel Design'!$F$41,'AISC Angle Database'!K72&gt;='Steel Angle Lintel Design'!$K$40,'AISC Angle Database'!K72&lt;='Steel Angle Lintel Design'!$K$41),1,"")</f>
        <v/>
      </c>
      <c r="B72" s="44">
        <f t="shared" si="5"/>
        <v>0</v>
      </c>
      <c r="C72" s="44">
        <f t="shared" si="6"/>
        <v>0</v>
      </c>
      <c r="D72" s="42" t="e">
        <f t="shared" ca="1" si="9"/>
        <v>#NAME?</v>
      </c>
      <c r="E72" s="44" t="e">
        <f t="shared" ca="1" si="7"/>
        <v>#NAME?</v>
      </c>
      <c r="F72" s="5" t="e">
        <f t="shared" ca="1" si="8"/>
        <v>#NAME?</v>
      </c>
      <c r="G72" s="15" t="s">
        <v>155</v>
      </c>
      <c r="H72" s="15">
        <f>IF('Steel Angle Lintel Design'!$AM$16=1,1,IF('Steel Angle Lintel Design'!$AM$16=2,0,1))</f>
        <v>0</v>
      </c>
      <c r="I72" s="18">
        <v>12.8</v>
      </c>
      <c r="J72" s="15">
        <v>4</v>
      </c>
      <c r="K72" s="15">
        <v>4</v>
      </c>
      <c r="L72" s="15">
        <v>5.52</v>
      </c>
      <c r="M72" s="15">
        <v>3.5</v>
      </c>
      <c r="N72" s="15">
        <v>1.96</v>
      </c>
      <c r="O72" s="15">
        <v>5.52</v>
      </c>
      <c r="P72" s="15">
        <v>3.5</v>
      </c>
      <c r="Q72" s="15">
        <v>1.96</v>
      </c>
      <c r="R72" s="13">
        <v>0.5</v>
      </c>
      <c r="S72" s="13">
        <v>1</v>
      </c>
      <c r="T72" s="13" t="str">
        <f>IF(S72=2,"Y",IF(J72/R72&lt;0.54*(SQRT(29000/'Steel Angle Lintel Design'!$H$31)),"Y","N"))</f>
        <v>Y</v>
      </c>
      <c r="U72" s="13" t="str">
        <f>IF(J72/R72&gt;0.91*(SQRT(29000/'Steel Angle Lintel Design'!$H$31)),"Y","N")</f>
        <v>N</v>
      </c>
      <c r="V72" s="13" t="s">
        <v>156</v>
      </c>
      <c r="W72" s="13"/>
      <c r="X72" s="13">
        <v>2.2999999999999998</v>
      </c>
      <c r="Y72" s="13">
        <v>57.4</v>
      </c>
      <c r="Z72" s="13">
        <v>32.1</v>
      </c>
      <c r="AA72" s="13">
        <v>2.2999999999999998</v>
      </c>
      <c r="AB72" s="13">
        <v>57.4</v>
      </c>
      <c r="AC72" s="13">
        <v>32.1</v>
      </c>
      <c r="AD72" s="8"/>
    </row>
    <row r="73" spans="1:30" s="9" customFormat="1" ht="15.75">
      <c r="A73" s="43" t="str">
        <f>IF(AND(H73=1,L73&gt;='Steel Angle Lintel Design'!$M$98,'AISC Angle Database'!N73&gt;='Steel Angle Lintel Design'!$M$96,'AISC Angle Database'!J73&gt;='Steel Angle Lintel Design'!$F$40,'AISC Angle Database'!J73&lt;='Steel Angle Lintel Design'!$F$41,'AISC Angle Database'!K73&gt;='Steel Angle Lintel Design'!$K$40,'AISC Angle Database'!K73&lt;='Steel Angle Lintel Design'!$K$41),1,"")</f>
        <v/>
      </c>
      <c r="B73" s="44">
        <f t="shared" si="5"/>
        <v>0</v>
      </c>
      <c r="C73" s="44">
        <f t="shared" si="6"/>
        <v>0</v>
      </c>
      <c r="D73" s="42" t="e">
        <f t="shared" ca="1" si="9"/>
        <v>#NAME?</v>
      </c>
      <c r="E73" s="44" t="e">
        <f t="shared" ca="1" si="7"/>
        <v>#NAME?</v>
      </c>
      <c r="F73" s="5" t="e">
        <f t="shared" ca="1" si="8"/>
        <v>#NAME?</v>
      </c>
      <c r="G73" s="15" t="s">
        <v>157</v>
      </c>
      <c r="H73" s="15">
        <f>IF('Steel Angle Lintel Design'!$AM$16=1,1,IF('Steel Angle Lintel Design'!$AM$16=2,0,1))</f>
        <v>0</v>
      </c>
      <c r="I73" s="18">
        <v>11.3</v>
      </c>
      <c r="J73" s="15">
        <v>4</v>
      </c>
      <c r="K73" s="15">
        <v>4</v>
      </c>
      <c r="L73" s="15">
        <v>4.93</v>
      </c>
      <c r="M73" s="15">
        <v>3.1</v>
      </c>
      <c r="N73" s="15">
        <v>1.73</v>
      </c>
      <c r="O73" s="15">
        <v>4.93</v>
      </c>
      <c r="P73" s="15">
        <v>3.1</v>
      </c>
      <c r="Q73" s="15">
        <v>1.73</v>
      </c>
      <c r="R73" s="13">
        <v>0.4375</v>
      </c>
      <c r="S73" s="13">
        <v>1</v>
      </c>
      <c r="T73" s="13" t="str">
        <f>IF(S73=2,"Y",IF(J73/R73&lt;0.54*(SQRT(29000/'Steel Angle Lintel Design'!$H$31)),"Y","N"))</f>
        <v>Y</v>
      </c>
      <c r="U73" s="13" t="str">
        <f>IF(J73/R73&gt;0.91*(SQRT(29000/'Steel Angle Lintel Design'!$H$31)),"Y","N")</f>
        <v>N</v>
      </c>
      <c r="V73" s="13" t="s">
        <v>158</v>
      </c>
      <c r="W73" s="13"/>
      <c r="X73" s="13">
        <v>2.0499999999999998</v>
      </c>
      <c r="Y73" s="13">
        <v>50.8</v>
      </c>
      <c r="Z73" s="13">
        <v>28.3</v>
      </c>
      <c r="AA73" s="13">
        <v>2.0499999999999998</v>
      </c>
      <c r="AB73" s="13">
        <v>50.8</v>
      </c>
      <c r="AC73" s="13">
        <v>28.3</v>
      </c>
      <c r="AD73" s="8"/>
    </row>
    <row r="74" spans="1:30" s="9" customFormat="1" ht="15.75">
      <c r="A74" s="43" t="str">
        <f>IF(AND(H74=1,L74&gt;='Steel Angle Lintel Design'!$M$98,'AISC Angle Database'!N74&gt;='Steel Angle Lintel Design'!$M$96,'AISC Angle Database'!J74&gt;='Steel Angle Lintel Design'!$F$40,'AISC Angle Database'!J74&lt;='Steel Angle Lintel Design'!$F$41,'AISC Angle Database'!K74&gt;='Steel Angle Lintel Design'!$K$40,'AISC Angle Database'!K74&lt;='Steel Angle Lintel Design'!$K$41),1,"")</f>
        <v/>
      </c>
      <c r="B74" s="44">
        <f t="shared" si="5"/>
        <v>0</v>
      </c>
      <c r="C74" s="44">
        <f t="shared" si="6"/>
        <v>0</v>
      </c>
      <c r="D74" s="42" t="e">
        <f t="shared" ca="1" si="9"/>
        <v>#NAME?</v>
      </c>
      <c r="E74" s="44" t="e">
        <f t="shared" ca="1" si="7"/>
        <v>#NAME?</v>
      </c>
      <c r="F74" s="5" t="e">
        <f t="shared" ca="1" si="8"/>
        <v>#NAME?</v>
      </c>
      <c r="G74" s="15" t="s">
        <v>159</v>
      </c>
      <c r="H74" s="15">
        <f>IF('Steel Angle Lintel Design'!$AM$16=1,1,IF('Steel Angle Lintel Design'!$AM$16=2,0,1))</f>
        <v>0</v>
      </c>
      <c r="I74" s="18">
        <v>9.81</v>
      </c>
      <c r="J74" s="15">
        <v>4</v>
      </c>
      <c r="K74" s="15">
        <v>4</v>
      </c>
      <c r="L74" s="15">
        <v>4.32</v>
      </c>
      <c r="M74" s="15">
        <v>2.69</v>
      </c>
      <c r="N74" s="15">
        <v>1.5</v>
      </c>
      <c r="O74" s="15">
        <v>4.32</v>
      </c>
      <c r="P74" s="15">
        <v>2.68</v>
      </c>
      <c r="Q74" s="15">
        <v>1.5</v>
      </c>
      <c r="R74" s="13">
        <v>0.375</v>
      </c>
      <c r="S74" s="13">
        <v>1</v>
      </c>
      <c r="T74" s="13" t="str">
        <f>IF(S74=2,"Y",IF(J74/R74&lt;0.54*(SQRT(29000/'Steel Angle Lintel Design'!$H$31)),"Y","N"))</f>
        <v>Y</v>
      </c>
      <c r="U74" s="13" t="str">
        <f>IF(J74/R74&gt;0.91*(SQRT(29000/'Steel Angle Lintel Design'!$H$31)),"Y","N")</f>
        <v>N</v>
      </c>
      <c r="V74" s="13" t="s">
        <v>160</v>
      </c>
      <c r="W74" s="13"/>
      <c r="X74" s="13">
        <v>1.8</v>
      </c>
      <c r="Y74" s="13">
        <v>44.1</v>
      </c>
      <c r="Z74" s="13">
        <v>24.6</v>
      </c>
      <c r="AA74" s="13">
        <v>1.8</v>
      </c>
      <c r="AB74" s="13">
        <v>43.9</v>
      </c>
      <c r="AC74" s="13">
        <v>24.6</v>
      </c>
      <c r="AD74" s="8"/>
    </row>
    <row r="75" spans="1:30" s="9" customFormat="1" ht="15.75">
      <c r="A75" s="43" t="str">
        <f>IF(AND(H75=1,L75&gt;='Steel Angle Lintel Design'!$M$98,'AISC Angle Database'!N75&gt;='Steel Angle Lintel Design'!$M$96,'AISC Angle Database'!J75&gt;='Steel Angle Lintel Design'!$F$40,'AISC Angle Database'!J75&lt;='Steel Angle Lintel Design'!$F$41,'AISC Angle Database'!K75&gt;='Steel Angle Lintel Design'!$K$40,'AISC Angle Database'!K75&lt;='Steel Angle Lintel Design'!$K$41),1,"")</f>
        <v/>
      </c>
      <c r="B75" s="44">
        <f t="shared" si="5"/>
        <v>0</v>
      </c>
      <c r="C75" s="44">
        <f t="shared" si="6"/>
        <v>0</v>
      </c>
      <c r="D75" s="42" t="e">
        <f t="shared" ca="1" si="9"/>
        <v>#NAME?</v>
      </c>
      <c r="E75" s="44" t="e">
        <f t="shared" ca="1" si="7"/>
        <v>#NAME?</v>
      </c>
      <c r="F75" s="5" t="e">
        <f t="shared" ca="1" si="8"/>
        <v>#NAME?</v>
      </c>
      <c r="G75" s="15" t="s">
        <v>161</v>
      </c>
      <c r="H75" s="15">
        <f>IF('Steel Angle Lintel Design'!$AM$16=1,1,IF('Steel Angle Lintel Design'!$AM$16=2,0,1))</f>
        <v>0</v>
      </c>
      <c r="I75" s="18">
        <v>8.1999999999999993</v>
      </c>
      <c r="J75" s="15">
        <v>4</v>
      </c>
      <c r="K75" s="15">
        <v>4</v>
      </c>
      <c r="L75" s="15">
        <v>3.67</v>
      </c>
      <c r="M75" s="15">
        <v>2.2599999999999998</v>
      </c>
      <c r="N75" s="15">
        <v>1.27</v>
      </c>
      <c r="O75" s="15">
        <v>3.67</v>
      </c>
      <c r="P75" s="15">
        <v>2.2599999999999998</v>
      </c>
      <c r="Q75" s="15">
        <v>1.27</v>
      </c>
      <c r="R75" s="13">
        <v>0.3125</v>
      </c>
      <c r="S75" s="13">
        <v>1</v>
      </c>
      <c r="T75" s="13" t="str">
        <f>IF(S75=2,"Y",IF(J75/R75&lt;0.54*(SQRT(29000/'Steel Angle Lintel Design'!$H$31)),"Y","N"))</f>
        <v>Y</v>
      </c>
      <c r="U75" s="13" t="str">
        <f>IF(J75/R75&gt;0.91*(SQRT(29000/'Steel Angle Lintel Design'!$H$31)),"Y","N")</f>
        <v>N</v>
      </c>
      <c r="V75" s="13" t="s">
        <v>162</v>
      </c>
      <c r="W75" s="13"/>
      <c r="X75" s="13">
        <v>1.53</v>
      </c>
      <c r="Y75" s="13">
        <v>37</v>
      </c>
      <c r="Z75" s="13">
        <v>20.8</v>
      </c>
      <c r="AA75" s="13">
        <v>1.53</v>
      </c>
      <c r="AB75" s="13">
        <v>37</v>
      </c>
      <c r="AC75" s="13">
        <v>20.8</v>
      </c>
      <c r="AD75" s="8"/>
    </row>
    <row r="76" spans="1:30" s="9" customFormat="1" ht="15.75">
      <c r="A76" s="43" t="str">
        <f>IF(AND(H76=1,L76&gt;='Steel Angle Lintel Design'!$M$98,'AISC Angle Database'!N76&gt;='Steel Angle Lintel Design'!$M$96,'AISC Angle Database'!J76&gt;='Steel Angle Lintel Design'!$F$40,'AISC Angle Database'!J76&lt;='Steel Angle Lintel Design'!$F$41,'AISC Angle Database'!K76&gt;='Steel Angle Lintel Design'!$K$40,'AISC Angle Database'!K76&lt;='Steel Angle Lintel Design'!$K$41),1,"")</f>
        <v/>
      </c>
      <c r="B76" s="44">
        <f t="shared" si="5"/>
        <v>0</v>
      </c>
      <c r="C76" s="44">
        <f t="shared" si="6"/>
        <v>0</v>
      </c>
      <c r="D76" s="42" t="e">
        <f t="shared" ca="1" si="9"/>
        <v>#NAME?</v>
      </c>
      <c r="E76" s="44" t="e">
        <f t="shared" ca="1" si="7"/>
        <v>#NAME?</v>
      </c>
      <c r="F76" s="5" t="e">
        <f t="shared" ca="1" si="8"/>
        <v>#NAME?</v>
      </c>
      <c r="G76" s="15" t="s">
        <v>163</v>
      </c>
      <c r="H76" s="15">
        <f>IF('Steel Angle Lintel Design'!$AM$16=1,1,IF('Steel Angle Lintel Design'!$AM$16=2,0,1))</f>
        <v>0</v>
      </c>
      <c r="I76" s="19">
        <v>6.61</v>
      </c>
      <c r="J76" s="15">
        <v>4</v>
      </c>
      <c r="K76" s="15">
        <v>4</v>
      </c>
      <c r="L76" s="15">
        <v>3</v>
      </c>
      <c r="M76" s="15">
        <v>1.82</v>
      </c>
      <c r="N76" s="15">
        <v>1.03</v>
      </c>
      <c r="O76" s="15">
        <v>3</v>
      </c>
      <c r="P76" s="15">
        <v>1.82</v>
      </c>
      <c r="Q76" s="15">
        <v>1.03</v>
      </c>
      <c r="R76" s="13">
        <v>0.25</v>
      </c>
      <c r="S76" s="13">
        <v>1</v>
      </c>
      <c r="T76" s="13" t="str">
        <f>IF(S76=2,"Y",IF(J76/R76&lt;0.54*(SQRT(29000/'Steel Angle Lintel Design'!$H$31)),"Y","N"))</f>
        <v>N</v>
      </c>
      <c r="U76" s="13" t="str">
        <f>IF(J76/R76&gt;0.91*(SQRT(29000/'Steel Angle Lintel Design'!$H$31)),"Y","N")</f>
        <v>N</v>
      </c>
      <c r="V76" s="13" t="s">
        <v>164</v>
      </c>
      <c r="W76" s="13"/>
      <c r="X76" s="13">
        <v>1.25</v>
      </c>
      <c r="Y76" s="13">
        <v>29.8</v>
      </c>
      <c r="Z76" s="13">
        <v>16.899999999999999</v>
      </c>
      <c r="AA76" s="13">
        <v>1.25</v>
      </c>
      <c r="AB76" s="13">
        <v>29.8</v>
      </c>
      <c r="AC76" s="13">
        <v>16.899999999999999</v>
      </c>
      <c r="AD76" s="8"/>
    </row>
    <row r="77" spans="1:30" s="8" customFormat="1" ht="15.75">
      <c r="A77" s="43" t="str">
        <f>IF(AND(H77=1,L77&gt;='Steel Angle Lintel Design'!$M$98,'AISC Angle Database'!N77&gt;='Steel Angle Lintel Design'!$M$96,'AISC Angle Database'!J77&gt;='Steel Angle Lintel Design'!$F$40,'AISC Angle Database'!J77&lt;='Steel Angle Lintel Design'!$F$41,'AISC Angle Database'!K77&gt;='Steel Angle Lintel Design'!$K$40,'AISC Angle Database'!K77&lt;='Steel Angle Lintel Design'!$K$41),1,"")</f>
        <v/>
      </c>
      <c r="B77" s="44">
        <f t="shared" si="5"/>
        <v>0</v>
      </c>
      <c r="C77" s="44">
        <f t="shared" si="6"/>
        <v>0</v>
      </c>
      <c r="D77" s="42" t="e">
        <f t="shared" ca="1" si="9"/>
        <v>#NAME?</v>
      </c>
      <c r="E77" s="44" t="e">
        <f t="shared" ca="1" si="7"/>
        <v>#NAME?</v>
      </c>
      <c r="F77" s="5" t="e">
        <f t="shared" ca="1" si="8"/>
        <v>#NAME?</v>
      </c>
      <c r="G77" s="15" t="s">
        <v>165</v>
      </c>
      <c r="H77" s="15">
        <f>IF('Steel Angle Lintel Design'!$AM$16=1,1,IF('Steel Angle Lintel Design'!$AM$16=2,0,1))</f>
        <v>0</v>
      </c>
      <c r="I77" s="18">
        <v>11.89</v>
      </c>
      <c r="J77" s="15">
        <v>4</v>
      </c>
      <c r="K77" s="15">
        <v>3.5</v>
      </c>
      <c r="L77" s="15">
        <v>5.3</v>
      </c>
      <c r="M77" s="15">
        <v>3.46</v>
      </c>
      <c r="N77" s="15">
        <v>1.92</v>
      </c>
      <c r="O77" s="15">
        <v>3.76</v>
      </c>
      <c r="P77" s="15">
        <v>2.69</v>
      </c>
      <c r="Q77" s="15">
        <v>1.5</v>
      </c>
      <c r="R77" s="13">
        <v>0.5</v>
      </c>
      <c r="S77" s="13">
        <v>1</v>
      </c>
      <c r="T77" s="13" t="str">
        <f>IF(S77=2,"Y",IF(J77/R77&lt;0.54*(SQRT(29000/'Steel Angle Lintel Design'!$H$31)),"Y","N"))</f>
        <v>Y</v>
      </c>
      <c r="U77" s="13" t="str">
        <f>IF(J77/R77&gt;0.91*(SQRT(29000/'Steel Angle Lintel Design'!$H$31)),"Y","N")</f>
        <v>N</v>
      </c>
      <c r="V77" s="13" t="s">
        <v>166</v>
      </c>
      <c r="W77" s="13"/>
      <c r="X77" s="13">
        <v>2.21</v>
      </c>
      <c r="Y77" s="13">
        <v>56.7</v>
      </c>
      <c r="Z77" s="13">
        <v>31.5</v>
      </c>
      <c r="AA77" s="13">
        <v>1.57</v>
      </c>
      <c r="AB77" s="13">
        <v>44.1</v>
      </c>
      <c r="AC77" s="13">
        <v>24.6</v>
      </c>
    </row>
    <row r="78" spans="1:30" s="9" customFormat="1" ht="15.75">
      <c r="A78" s="43" t="str">
        <f>IF(AND(H78=1,L78&gt;='Steel Angle Lintel Design'!$M$98,'AISC Angle Database'!N78&gt;='Steel Angle Lintel Design'!$M$96,'AISC Angle Database'!J78&gt;='Steel Angle Lintel Design'!$F$40,'AISC Angle Database'!J78&lt;='Steel Angle Lintel Design'!$F$41,'AISC Angle Database'!K78&gt;='Steel Angle Lintel Design'!$K$40,'AISC Angle Database'!K78&lt;='Steel Angle Lintel Design'!$K$41),1,"")</f>
        <v/>
      </c>
      <c r="B78" s="44">
        <f t="shared" si="5"/>
        <v>0</v>
      </c>
      <c r="C78" s="44">
        <f t="shared" si="6"/>
        <v>0</v>
      </c>
      <c r="D78" s="42" t="e">
        <f t="shared" ca="1" si="9"/>
        <v>#NAME?</v>
      </c>
      <c r="E78" s="44" t="e">
        <f t="shared" ca="1" si="7"/>
        <v>#NAME?</v>
      </c>
      <c r="F78" s="5" t="e">
        <f t="shared" ca="1" si="8"/>
        <v>#NAME?</v>
      </c>
      <c r="G78" s="15" t="s">
        <v>167</v>
      </c>
      <c r="H78" s="15">
        <f>IF('Steel Angle Lintel Design'!$AM$16=1,1,IF('Steel Angle Lintel Design'!$AM$16=2,0,1))</f>
        <v>0</v>
      </c>
      <c r="I78" s="18">
        <v>9.11</v>
      </c>
      <c r="J78" s="15">
        <v>4</v>
      </c>
      <c r="K78" s="15">
        <v>3.5</v>
      </c>
      <c r="L78" s="15">
        <v>4.1500000000000004</v>
      </c>
      <c r="M78" s="15">
        <v>2.66</v>
      </c>
      <c r="N78" s="15">
        <v>1.48</v>
      </c>
      <c r="O78" s="15">
        <v>2.96</v>
      </c>
      <c r="P78" s="15">
        <v>2.06</v>
      </c>
      <c r="Q78" s="15">
        <v>1.1599999999999999</v>
      </c>
      <c r="R78" s="13">
        <v>0.375</v>
      </c>
      <c r="S78" s="13">
        <v>1</v>
      </c>
      <c r="T78" s="13" t="str">
        <f>IF(S78=2,"Y",IF(J78/R78&lt;0.54*(SQRT(29000/'Steel Angle Lintel Design'!$H$31)),"Y","N"))</f>
        <v>Y</v>
      </c>
      <c r="U78" s="13" t="str">
        <f>IF(J78/R78&gt;0.91*(SQRT(29000/'Steel Angle Lintel Design'!$H$31)),"Y","N")</f>
        <v>N</v>
      </c>
      <c r="V78" s="13" t="s">
        <v>168</v>
      </c>
      <c r="W78" s="13"/>
      <c r="X78" s="13">
        <v>1.73</v>
      </c>
      <c r="Y78" s="13">
        <v>43.6</v>
      </c>
      <c r="Z78" s="13">
        <v>24.3</v>
      </c>
      <c r="AA78" s="13">
        <v>1.23</v>
      </c>
      <c r="AB78" s="13">
        <v>33.799999999999997</v>
      </c>
      <c r="AC78" s="13">
        <v>19</v>
      </c>
      <c r="AD78" s="8"/>
    </row>
    <row r="79" spans="1:30" s="9" customFormat="1" ht="15.75">
      <c r="A79" s="43" t="str">
        <f>IF(AND(H79=1,L79&gt;='Steel Angle Lintel Design'!$M$98,'AISC Angle Database'!N79&gt;='Steel Angle Lintel Design'!$M$96,'AISC Angle Database'!J79&gt;='Steel Angle Lintel Design'!$F$40,'AISC Angle Database'!J79&lt;='Steel Angle Lintel Design'!$F$41,'AISC Angle Database'!K79&gt;='Steel Angle Lintel Design'!$K$40,'AISC Angle Database'!K79&lt;='Steel Angle Lintel Design'!$K$41),1,"")</f>
        <v/>
      </c>
      <c r="B79" s="44">
        <f t="shared" si="5"/>
        <v>0</v>
      </c>
      <c r="C79" s="44">
        <f t="shared" si="6"/>
        <v>0</v>
      </c>
      <c r="D79" s="42" t="e">
        <f t="shared" ca="1" si="9"/>
        <v>#NAME?</v>
      </c>
      <c r="E79" s="44" t="e">
        <f t="shared" ca="1" si="7"/>
        <v>#NAME?</v>
      </c>
      <c r="F79" s="5" t="e">
        <f t="shared" ca="1" si="8"/>
        <v>#NAME?</v>
      </c>
      <c r="G79" s="15" t="s">
        <v>169</v>
      </c>
      <c r="H79" s="15">
        <f>IF('Steel Angle Lintel Design'!$AM$16=1,1,IF('Steel Angle Lintel Design'!$AM$16=2,0,1))</f>
        <v>0</v>
      </c>
      <c r="I79" s="18">
        <v>7.69</v>
      </c>
      <c r="J79" s="15">
        <v>4</v>
      </c>
      <c r="K79" s="15">
        <v>3.5</v>
      </c>
      <c r="L79" s="15">
        <v>3.53</v>
      </c>
      <c r="M79" s="15">
        <v>2.2400000000000002</v>
      </c>
      <c r="N79" s="15">
        <v>1.25</v>
      </c>
      <c r="O79" s="15">
        <v>2.52</v>
      </c>
      <c r="P79" s="15">
        <v>1.74</v>
      </c>
      <c r="Q79" s="15">
        <v>0.98</v>
      </c>
      <c r="R79" s="13">
        <v>0.3125</v>
      </c>
      <c r="S79" s="13">
        <v>1</v>
      </c>
      <c r="T79" s="13" t="str">
        <f>IF(S79=2,"Y",IF(J79/R79&lt;0.54*(SQRT(29000/'Steel Angle Lintel Design'!$H$31)),"Y","N"))</f>
        <v>Y</v>
      </c>
      <c r="U79" s="13" t="str">
        <f>IF(J79/R79&gt;0.91*(SQRT(29000/'Steel Angle Lintel Design'!$H$31)),"Y","N")</f>
        <v>N</v>
      </c>
      <c r="V79" s="13" t="s">
        <v>170</v>
      </c>
      <c r="W79" s="13"/>
      <c r="X79" s="13">
        <v>1.47</v>
      </c>
      <c r="Y79" s="13">
        <v>36.700000000000003</v>
      </c>
      <c r="Z79" s="13">
        <v>20.5</v>
      </c>
      <c r="AA79" s="13">
        <v>1.05</v>
      </c>
      <c r="AB79" s="13">
        <v>28.5</v>
      </c>
      <c r="AC79" s="13">
        <v>16.100000000000001</v>
      </c>
      <c r="AD79" s="8"/>
    </row>
    <row r="80" spans="1:30" s="9" customFormat="1" ht="15.75">
      <c r="A80" s="43" t="str">
        <f>IF(AND(H80=1,L80&gt;='Steel Angle Lintel Design'!$M$98,'AISC Angle Database'!N80&gt;='Steel Angle Lintel Design'!$M$96,'AISC Angle Database'!J80&gt;='Steel Angle Lintel Design'!$F$40,'AISC Angle Database'!J80&lt;='Steel Angle Lintel Design'!$F$41,'AISC Angle Database'!K80&gt;='Steel Angle Lintel Design'!$K$40,'AISC Angle Database'!K80&lt;='Steel Angle Lintel Design'!$K$41),1,"")</f>
        <v/>
      </c>
      <c r="B80" s="44">
        <f t="shared" si="5"/>
        <v>0</v>
      </c>
      <c r="C80" s="44">
        <f t="shared" si="6"/>
        <v>0</v>
      </c>
      <c r="D80" s="42" t="e">
        <f t="shared" ca="1" si="9"/>
        <v>#NAME?</v>
      </c>
      <c r="E80" s="44" t="e">
        <f t="shared" ca="1" si="7"/>
        <v>#NAME?</v>
      </c>
      <c r="F80" s="5" t="e">
        <f t="shared" ca="1" si="8"/>
        <v>#NAME?</v>
      </c>
      <c r="G80" s="15" t="s">
        <v>171</v>
      </c>
      <c r="H80" s="15">
        <f>IF('Steel Angle Lintel Design'!$AM$16=1,1,IF('Steel Angle Lintel Design'!$AM$16=2,0,1))</f>
        <v>0</v>
      </c>
      <c r="I80" s="18">
        <v>6.2</v>
      </c>
      <c r="J80" s="15">
        <v>4</v>
      </c>
      <c r="K80" s="15">
        <v>3.5</v>
      </c>
      <c r="L80" s="15">
        <v>2.89</v>
      </c>
      <c r="M80" s="15">
        <v>1.81</v>
      </c>
      <c r="N80" s="15">
        <v>1.01</v>
      </c>
      <c r="O80" s="15">
        <v>2.0699999999999998</v>
      </c>
      <c r="P80" s="15">
        <v>1.4</v>
      </c>
      <c r="Q80" s="15">
        <v>0.79400000000000004</v>
      </c>
      <c r="R80" s="13">
        <v>0.25</v>
      </c>
      <c r="S80" s="13">
        <v>1</v>
      </c>
      <c r="T80" s="13" t="str">
        <f>IF(S80=2,"Y",IF(J80/R80&lt;0.54*(SQRT(29000/'Steel Angle Lintel Design'!$H$31)),"Y","N"))</f>
        <v>N</v>
      </c>
      <c r="U80" s="13" t="str">
        <f>IF(J80/R80&gt;0.91*(SQRT(29000/'Steel Angle Lintel Design'!$H$31)),"Y","N")</f>
        <v>N</v>
      </c>
      <c r="V80" s="13" t="s">
        <v>172</v>
      </c>
      <c r="W80" s="13"/>
      <c r="X80" s="13">
        <v>1.2</v>
      </c>
      <c r="Y80" s="13">
        <v>29.7</v>
      </c>
      <c r="Z80" s="13">
        <v>16.600000000000001</v>
      </c>
      <c r="AA80" s="13">
        <v>0.86199999999999999</v>
      </c>
      <c r="AB80" s="13">
        <v>22.9</v>
      </c>
      <c r="AC80" s="13">
        <v>13</v>
      </c>
      <c r="AD80" s="8"/>
    </row>
    <row r="81" spans="1:30" s="9" customFormat="1" ht="15.75">
      <c r="A81" s="43" t="str">
        <f>IF(AND(H81=1,L81&gt;='Steel Angle Lintel Design'!$M$98,'AISC Angle Database'!N81&gt;='Steel Angle Lintel Design'!$M$96,'AISC Angle Database'!J81&gt;='Steel Angle Lintel Design'!$F$40,'AISC Angle Database'!J81&lt;='Steel Angle Lintel Design'!$F$41,'AISC Angle Database'!K81&gt;='Steel Angle Lintel Design'!$K$40,'AISC Angle Database'!K81&lt;='Steel Angle Lintel Design'!$K$41),1,"")</f>
        <v/>
      </c>
      <c r="B81" s="44">
        <f t="shared" si="5"/>
        <v>0</v>
      </c>
      <c r="C81" s="44">
        <f t="shared" si="6"/>
        <v>0</v>
      </c>
      <c r="D81" s="42" t="e">
        <f t="shared" ca="1" si="9"/>
        <v>#NAME?</v>
      </c>
      <c r="E81" s="44" t="e">
        <f t="shared" ca="1" si="7"/>
        <v>#NAME?</v>
      </c>
      <c r="F81" s="5" t="e">
        <f t="shared" ca="1" si="8"/>
        <v>#NAME?</v>
      </c>
      <c r="G81" s="15" t="s">
        <v>173</v>
      </c>
      <c r="H81" s="15">
        <f>IF('Steel Angle Lintel Design'!$AM$16=1,1,IF('Steel Angle Lintel Design'!$AM$16=2,0,1))</f>
        <v>0</v>
      </c>
      <c r="I81" s="18">
        <v>13.6</v>
      </c>
      <c r="J81" s="15">
        <v>4</v>
      </c>
      <c r="K81" s="15">
        <v>3</v>
      </c>
      <c r="L81" s="15">
        <v>6.01</v>
      </c>
      <c r="M81" s="15">
        <v>4.08</v>
      </c>
      <c r="N81" s="15">
        <v>2.2799999999999998</v>
      </c>
      <c r="O81" s="15">
        <v>2.85</v>
      </c>
      <c r="P81" s="15">
        <v>2.4500000000000002</v>
      </c>
      <c r="Q81" s="15">
        <v>1.34</v>
      </c>
      <c r="R81" s="13">
        <v>0.625</v>
      </c>
      <c r="S81" s="13">
        <v>1</v>
      </c>
      <c r="T81" s="13" t="str">
        <f>IF(S81=2,"Y",IF(J81/R81&lt;0.54*(SQRT(29000/'Steel Angle Lintel Design'!$H$31)),"Y","N"))</f>
        <v>Y</v>
      </c>
      <c r="U81" s="13" t="str">
        <f>IF(J81/R81&gt;0.91*(SQRT(29000/'Steel Angle Lintel Design'!$H$31)),"Y","N")</f>
        <v>N</v>
      </c>
      <c r="V81" s="13" t="s">
        <v>174</v>
      </c>
      <c r="W81" s="13"/>
      <c r="X81" s="13">
        <v>2.5</v>
      </c>
      <c r="Y81" s="13">
        <v>66.900000000000006</v>
      </c>
      <c r="Z81" s="13">
        <v>37.4</v>
      </c>
      <c r="AA81" s="13">
        <v>1.19</v>
      </c>
      <c r="AB81" s="13">
        <v>40.1</v>
      </c>
      <c r="AC81" s="13">
        <v>22</v>
      </c>
      <c r="AD81" s="8"/>
    </row>
    <row r="82" spans="1:30" s="9" customFormat="1" ht="15.75">
      <c r="A82" s="43" t="str">
        <f>IF(AND(H82=1,L82&gt;='Steel Angle Lintel Design'!$M$98,'AISC Angle Database'!N82&gt;='Steel Angle Lintel Design'!$M$96,'AISC Angle Database'!J82&gt;='Steel Angle Lintel Design'!$F$40,'AISC Angle Database'!J82&lt;='Steel Angle Lintel Design'!$F$41,'AISC Angle Database'!K82&gt;='Steel Angle Lintel Design'!$K$40,'AISC Angle Database'!K82&lt;='Steel Angle Lintel Design'!$K$41),1,"")</f>
        <v/>
      </c>
      <c r="B82" s="44">
        <f t="shared" si="5"/>
        <v>0</v>
      </c>
      <c r="C82" s="44">
        <f t="shared" si="6"/>
        <v>0</v>
      </c>
      <c r="D82" s="42" t="e">
        <f t="shared" ca="1" si="9"/>
        <v>#NAME?</v>
      </c>
      <c r="E82" s="44" t="e">
        <f t="shared" ca="1" si="7"/>
        <v>#NAME?</v>
      </c>
      <c r="F82" s="5" t="e">
        <f t="shared" ca="1" si="8"/>
        <v>#NAME?</v>
      </c>
      <c r="G82" s="15" t="s">
        <v>175</v>
      </c>
      <c r="H82" s="15">
        <f>IF('Steel Angle Lintel Design'!$AM$16=1,1,IF('Steel Angle Lintel Design'!$AM$16=2,0,1))</f>
        <v>0</v>
      </c>
      <c r="I82" s="18">
        <v>11.12</v>
      </c>
      <c r="J82" s="15">
        <v>4</v>
      </c>
      <c r="K82" s="15">
        <v>3</v>
      </c>
      <c r="L82" s="15">
        <v>5.0199999999999996</v>
      </c>
      <c r="M82" s="15">
        <v>3.36</v>
      </c>
      <c r="N82" s="15">
        <v>1.87</v>
      </c>
      <c r="O82" s="15">
        <v>2.4</v>
      </c>
      <c r="P82" s="15">
        <v>1.99</v>
      </c>
      <c r="Q82" s="15">
        <v>1.1000000000000001</v>
      </c>
      <c r="R82" s="13">
        <v>0.5</v>
      </c>
      <c r="S82" s="13">
        <v>1</v>
      </c>
      <c r="T82" s="13" t="str">
        <f>IF(S82=2,"Y",IF(J82/R82&lt;0.54*(SQRT(29000/'Steel Angle Lintel Design'!$H$31)),"Y","N"))</f>
        <v>Y</v>
      </c>
      <c r="U82" s="13" t="str">
        <f>IF(J82/R82&gt;0.91*(SQRT(29000/'Steel Angle Lintel Design'!$H$31)),"Y","N")</f>
        <v>N</v>
      </c>
      <c r="V82" s="13" t="s">
        <v>176</v>
      </c>
      <c r="W82" s="13"/>
      <c r="X82" s="13">
        <v>2.09</v>
      </c>
      <c r="Y82" s="13">
        <v>55.1</v>
      </c>
      <c r="Z82" s="13">
        <v>30.6</v>
      </c>
      <c r="AA82" s="13">
        <v>0.999</v>
      </c>
      <c r="AB82" s="13">
        <v>32.6</v>
      </c>
      <c r="AC82" s="13">
        <v>18</v>
      </c>
      <c r="AD82" s="8"/>
    </row>
    <row r="83" spans="1:30" s="9" customFormat="1" ht="15.75">
      <c r="A83" s="43" t="str">
        <f>IF(AND(H83=1,L83&gt;='Steel Angle Lintel Design'!$M$98,'AISC Angle Database'!N83&gt;='Steel Angle Lintel Design'!$M$96,'AISC Angle Database'!J83&gt;='Steel Angle Lintel Design'!$F$40,'AISC Angle Database'!J83&lt;='Steel Angle Lintel Design'!$F$41,'AISC Angle Database'!K83&gt;='Steel Angle Lintel Design'!$K$40,'AISC Angle Database'!K83&lt;='Steel Angle Lintel Design'!$K$41),1,"")</f>
        <v/>
      </c>
      <c r="B83" s="44">
        <f t="shared" si="5"/>
        <v>0</v>
      </c>
      <c r="C83" s="44">
        <f t="shared" si="6"/>
        <v>0</v>
      </c>
      <c r="D83" s="42" t="e">
        <f t="shared" ca="1" si="9"/>
        <v>#NAME?</v>
      </c>
      <c r="E83" s="44" t="e">
        <f t="shared" ca="1" si="7"/>
        <v>#NAME?</v>
      </c>
      <c r="F83" s="5" t="e">
        <f t="shared" ca="1" si="8"/>
        <v>#NAME?</v>
      </c>
      <c r="G83" s="15" t="s">
        <v>177</v>
      </c>
      <c r="H83" s="15">
        <f>IF('Steel Angle Lintel Design'!$AM$16=1,1,IF('Steel Angle Lintel Design'!$AM$16=2,0,1))</f>
        <v>0</v>
      </c>
      <c r="I83" s="18">
        <v>8.52</v>
      </c>
      <c r="J83" s="15">
        <v>4</v>
      </c>
      <c r="K83" s="15">
        <v>3</v>
      </c>
      <c r="L83" s="15">
        <v>3.94</v>
      </c>
      <c r="M83" s="15">
        <v>2.6</v>
      </c>
      <c r="N83" s="15">
        <v>1.44</v>
      </c>
      <c r="O83" s="15">
        <v>1.89</v>
      </c>
      <c r="P83" s="15">
        <v>1.52</v>
      </c>
      <c r="Q83" s="15">
        <v>0.85099999999999998</v>
      </c>
      <c r="R83" s="13">
        <v>0.375</v>
      </c>
      <c r="S83" s="13">
        <v>1</v>
      </c>
      <c r="T83" s="13" t="str">
        <f>IF(S83=2,"Y",IF(J83/R83&lt;0.54*(SQRT(29000/'Steel Angle Lintel Design'!$H$31)),"Y","N"))</f>
        <v>Y</v>
      </c>
      <c r="U83" s="13" t="str">
        <f>IF(J83/R83&gt;0.91*(SQRT(29000/'Steel Angle Lintel Design'!$H$31)),"Y","N")</f>
        <v>N</v>
      </c>
      <c r="V83" s="13" t="s">
        <v>178</v>
      </c>
      <c r="W83" s="13"/>
      <c r="X83" s="13">
        <v>1.64</v>
      </c>
      <c r="Y83" s="13">
        <v>42.6</v>
      </c>
      <c r="Z83" s="13">
        <v>23.6</v>
      </c>
      <c r="AA83" s="13">
        <v>0.78700000000000003</v>
      </c>
      <c r="AB83" s="13">
        <v>24.9</v>
      </c>
      <c r="AC83" s="13">
        <v>13.9</v>
      </c>
      <c r="AD83" s="8"/>
    </row>
    <row r="84" spans="1:30" s="9" customFormat="1" ht="15.75">
      <c r="A84" s="43" t="str">
        <f>IF(AND(H84=1,L84&gt;='Steel Angle Lintel Design'!$M$98,'AISC Angle Database'!N84&gt;='Steel Angle Lintel Design'!$M$96,'AISC Angle Database'!J84&gt;='Steel Angle Lintel Design'!$F$40,'AISC Angle Database'!J84&lt;='Steel Angle Lintel Design'!$F$41,'AISC Angle Database'!K84&gt;='Steel Angle Lintel Design'!$K$40,'AISC Angle Database'!K84&lt;='Steel Angle Lintel Design'!$K$41),1,"")</f>
        <v/>
      </c>
      <c r="B84" s="44">
        <f t="shared" si="5"/>
        <v>0</v>
      </c>
      <c r="C84" s="44">
        <f t="shared" si="6"/>
        <v>0</v>
      </c>
      <c r="D84" s="42" t="e">
        <f t="shared" ca="1" si="9"/>
        <v>#NAME?</v>
      </c>
      <c r="E84" s="44" t="e">
        <f t="shared" ca="1" si="7"/>
        <v>#NAME?</v>
      </c>
      <c r="F84" s="5" t="e">
        <f t="shared" ca="1" si="8"/>
        <v>#NAME?</v>
      </c>
      <c r="G84" s="15" t="s">
        <v>179</v>
      </c>
      <c r="H84" s="15">
        <f>IF('Steel Angle Lintel Design'!$AM$16=1,1,IF('Steel Angle Lintel Design'!$AM$16=2,0,1))</f>
        <v>0</v>
      </c>
      <c r="I84" s="18">
        <v>7.22</v>
      </c>
      <c r="J84" s="15">
        <v>4</v>
      </c>
      <c r="K84" s="15">
        <v>3</v>
      </c>
      <c r="L84" s="15">
        <v>3.36</v>
      </c>
      <c r="M84" s="15">
        <v>2.19</v>
      </c>
      <c r="N84" s="15">
        <v>1.22</v>
      </c>
      <c r="O84" s="15">
        <v>1.62</v>
      </c>
      <c r="P84" s="15">
        <v>1.28</v>
      </c>
      <c r="Q84" s="15">
        <v>0.72099999999999997</v>
      </c>
      <c r="R84" s="13">
        <v>0.3125</v>
      </c>
      <c r="S84" s="13">
        <v>1</v>
      </c>
      <c r="T84" s="13" t="str">
        <f>IF(S84=2,"Y",IF(J84/R84&lt;0.54*(SQRT(29000/'Steel Angle Lintel Design'!$H$31)),"Y","N"))</f>
        <v>Y</v>
      </c>
      <c r="U84" s="13" t="str">
        <f>IF(J84/R84&gt;0.91*(SQRT(29000/'Steel Angle Lintel Design'!$H$31)),"Y","N")</f>
        <v>N</v>
      </c>
      <c r="V84" s="13" t="s">
        <v>180</v>
      </c>
      <c r="W84" s="13"/>
      <c r="X84" s="13">
        <v>1.4</v>
      </c>
      <c r="Y84" s="13">
        <v>35.9</v>
      </c>
      <c r="Z84" s="13">
        <v>20</v>
      </c>
      <c r="AA84" s="13">
        <v>0.67400000000000004</v>
      </c>
      <c r="AB84" s="13">
        <v>21</v>
      </c>
      <c r="AC84" s="13">
        <v>11.8</v>
      </c>
      <c r="AD84" s="8"/>
    </row>
    <row r="85" spans="1:30" s="9" customFormat="1" ht="15.75">
      <c r="A85" s="43" t="str">
        <f>IF(AND(H85=1,L85&gt;='Steel Angle Lintel Design'!$M$98,'AISC Angle Database'!N85&gt;='Steel Angle Lintel Design'!$M$96,'AISC Angle Database'!J85&gt;='Steel Angle Lintel Design'!$F$40,'AISC Angle Database'!J85&lt;='Steel Angle Lintel Design'!$F$41,'AISC Angle Database'!K85&gt;='Steel Angle Lintel Design'!$K$40,'AISC Angle Database'!K85&lt;='Steel Angle Lintel Design'!$K$41),1,"")</f>
        <v/>
      </c>
      <c r="B85" s="44">
        <f t="shared" si="5"/>
        <v>0</v>
      </c>
      <c r="C85" s="44">
        <f t="shared" si="6"/>
        <v>0</v>
      </c>
      <c r="D85" s="42" t="e">
        <f t="shared" ca="1" si="9"/>
        <v>#NAME?</v>
      </c>
      <c r="E85" s="44" t="e">
        <f t="shared" ca="1" si="7"/>
        <v>#NAME?</v>
      </c>
      <c r="F85" s="5" t="e">
        <f t="shared" ca="1" si="8"/>
        <v>#NAME?</v>
      </c>
      <c r="G85" s="15" t="s">
        <v>181</v>
      </c>
      <c r="H85" s="15">
        <f>IF('Steel Angle Lintel Design'!$AM$16=1,1,IF('Steel Angle Lintel Design'!$AM$16=2,0,1))</f>
        <v>0</v>
      </c>
      <c r="I85" s="19">
        <v>5.81</v>
      </c>
      <c r="J85" s="15">
        <v>3</v>
      </c>
      <c r="K85" s="15">
        <v>3</v>
      </c>
      <c r="L85" s="15">
        <v>2.75</v>
      </c>
      <c r="M85" s="15">
        <v>1.77</v>
      </c>
      <c r="N85" s="15">
        <v>0.98799999999999999</v>
      </c>
      <c r="O85" s="15">
        <v>1.33</v>
      </c>
      <c r="P85" s="15">
        <v>1.03</v>
      </c>
      <c r="Q85" s="15">
        <v>0.58499999999999996</v>
      </c>
      <c r="R85" s="13">
        <v>0.25</v>
      </c>
      <c r="S85" s="13">
        <v>1</v>
      </c>
      <c r="T85" s="13" t="str">
        <f>IF(S85=2,"Y",IF(J85/R85&lt;0.54*(SQRT(29000/'Steel Angle Lintel Design'!$H$31)),"Y","N"))</f>
        <v>Y</v>
      </c>
      <c r="U85" s="13" t="str">
        <f>IF(J85/R85&gt;0.91*(SQRT(29000/'Steel Angle Lintel Design'!$H$31)),"Y","N")</f>
        <v>N</v>
      </c>
      <c r="V85" s="13" t="s">
        <v>182</v>
      </c>
      <c r="W85" s="13"/>
      <c r="X85" s="13">
        <v>1.1399999999999999</v>
      </c>
      <c r="Y85" s="13">
        <v>29</v>
      </c>
      <c r="Z85" s="13">
        <v>16.2</v>
      </c>
      <c r="AA85" s="13">
        <v>0.55400000000000005</v>
      </c>
      <c r="AB85" s="13">
        <v>16.899999999999999</v>
      </c>
      <c r="AC85" s="13">
        <v>9.59</v>
      </c>
      <c r="AD85" s="8"/>
    </row>
    <row r="86" spans="1:30" s="8" customFormat="1" ht="15.75">
      <c r="A86" s="43" t="str">
        <f>IF(AND(H86=1,L86&gt;='Steel Angle Lintel Design'!$M$98,'AISC Angle Database'!N86&gt;='Steel Angle Lintel Design'!$M$96,'AISC Angle Database'!J86&gt;='Steel Angle Lintel Design'!$F$40,'AISC Angle Database'!J86&lt;='Steel Angle Lintel Design'!$F$41,'AISC Angle Database'!K86&gt;='Steel Angle Lintel Design'!$K$40,'AISC Angle Database'!K86&lt;='Steel Angle Lintel Design'!$K$41),1,"")</f>
        <v/>
      </c>
      <c r="B86" s="44">
        <f t="shared" si="5"/>
        <v>0</v>
      </c>
      <c r="C86" s="44">
        <f t="shared" si="6"/>
        <v>0</v>
      </c>
      <c r="D86" s="42" t="e">
        <f t="shared" ca="1" si="9"/>
        <v>#NAME?</v>
      </c>
      <c r="E86" s="44" t="e">
        <f t="shared" ca="1" si="7"/>
        <v>#NAME?</v>
      </c>
      <c r="F86" s="5" t="e">
        <f t="shared" ca="1" si="8"/>
        <v>#NAME?</v>
      </c>
      <c r="G86" s="15" t="s">
        <v>183</v>
      </c>
      <c r="H86" s="15">
        <f>IF('Steel Angle Lintel Design'!$AM$16=1,1,IF('Steel Angle Lintel Design'!$AM$16=2,0,1))</f>
        <v>0</v>
      </c>
      <c r="I86" s="18">
        <v>11.09</v>
      </c>
      <c r="J86" s="15">
        <v>3.5</v>
      </c>
      <c r="K86" s="15">
        <v>3.5</v>
      </c>
      <c r="L86" s="15">
        <v>3.63</v>
      </c>
      <c r="M86" s="15">
        <v>2.66</v>
      </c>
      <c r="N86" s="15">
        <v>1.48</v>
      </c>
      <c r="O86" s="15">
        <v>3.63</v>
      </c>
      <c r="P86" s="15">
        <v>2.66</v>
      </c>
      <c r="Q86" s="15">
        <v>1.48</v>
      </c>
      <c r="R86" s="13">
        <v>0.5</v>
      </c>
      <c r="S86" s="13">
        <v>1</v>
      </c>
      <c r="T86" s="13" t="str">
        <f>IF(S86=2,"Y",IF(J86/R86&lt;0.54*(SQRT(29000/'Steel Angle Lintel Design'!$H$31)),"Y","N"))</f>
        <v>Y</v>
      </c>
      <c r="U86" s="13" t="str">
        <f>IF(J86/R86&gt;0.91*(SQRT(29000/'Steel Angle Lintel Design'!$H$31)),"Y","N")</f>
        <v>N</v>
      </c>
      <c r="V86" s="13" t="s">
        <v>184</v>
      </c>
      <c r="W86" s="13"/>
      <c r="X86" s="13">
        <v>1.51</v>
      </c>
      <c r="Y86" s="13">
        <v>43.6</v>
      </c>
      <c r="Z86" s="13">
        <v>24.3</v>
      </c>
      <c r="AA86" s="13">
        <v>1.51</v>
      </c>
      <c r="AB86" s="13">
        <v>43.6</v>
      </c>
      <c r="AC86" s="13">
        <v>24.3</v>
      </c>
    </row>
    <row r="87" spans="1:30" s="9" customFormat="1" ht="15.75">
      <c r="A87" s="43" t="str">
        <f>IF(AND(H87=1,L87&gt;='Steel Angle Lintel Design'!$M$98,'AISC Angle Database'!N87&gt;='Steel Angle Lintel Design'!$M$96,'AISC Angle Database'!J87&gt;='Steel Angle Lintel Design'!$F$40,'AISC Angle Database'!J87&lt;='Steel Angle Lintel Design'!$F$41,'AISC Angle Database'!K87&gt;='Steel Angle Lintel Design'!$K$40,'AISC Angle Database'!K87&lt;='Steel Angle Lintel Design'!$K$41),1,"")</f>
        <v/>
      </c>
      <c r="B87" s="44">
        <f t="shared" si="5"/>
        <v>0</v>
      </c>
      <c r="C87" s="44">
        <f t="shared" si="6"/>
        <v>0</v>
      </c>
      <c r="D87" s="42" t="e">
        <f t="shared" ca="1" si="9"/>
        <v>#NAME?</v>
      </c>
      <c r="E87" s="44" t="e">
        <f t="shared" ca="1" si="7"/>
        <v>#NAME?</v>
      </c>
      <c r="F87" s="5" t="e">
        <f t="shared" ca="1" si="8"/>
        <v>#NAME?</v>
      </c>
      <c r="G87" s="15" t="s">
        <v>185</v>
      </c>
      <c r="H87" s="15">
        <f>IF('Steel Angle Lintel Design'!$AM$16=1,1,IF('Steel Angle Lintel Design'!$AM$16=2,0,1))</f>
        <v>0</v>
      </c>
      <c r="I87" s="18">
        <v>9.8000000000000007</v>
      </c>
      <c r="J87" s="15">
        <v>3.5</v>
      </c>
      <c r="K87" s="15">
        <v>3.5</v>
      </c>
      <c r="L87" s="15">
        <v>3.25</v>
      </c>
      <c r="M87" s="15">
        <v>2.36</v>
      </c>
      <c r="N87" s="15">
        <v>1.32</v>
      </c>
      <c r="O87" s="15">
        <v>3.25</v>
      </c>
      <c r="P87" s="15">
        <v>2.36</v>
      </c>
      <c r="Q87" s="15">
        <v>1.32</v>
      </c>
      <c r="R87" s="13">
        <v>0.4375</v>
      </c>
      <c r="S87" s="13">
        <v>1</v>
      </c>
      <c r="T87" s="13" t="str">
        <f>IF(S87=2,"Y",IF(J87/R87&lt;0.54*(SQRT(29000/'Steel Angle Lintel Design'!$H$31)),"Y","N"))</f>
        <v>Y</v>
      </c>
      <c r="U87" s="13" t="str">
        <f>IF(J87/R87&gt;0.91*(SQRT(29000/'Steel Angle Lintel Design'!$H$31)),"Y","N")</f>
        <v>N</v>
      </c>
      <c r="V87" s="13" t="s">
        <v>186</v>
      </c>
      <c r="W87" s="13"/>
      <c r="X87" s="13">
        <v>1.35</v>
      </c>
      <c r="Y87" s="13">
        <v>38.700000000000003</v>
      </c>
      <c r="Z87" s="13">
        <v>21.6</v>
      </c>
      <c r="AA87" s="13">
        <v>1.35</v>
      </c>
      <c r="AB87" s="13">
        <v>38.700000000000003</v>
      </c>
      <c r="AC87" s="13">
        <v>21.6</v>
      </c>
      <c r="AD87" s="8"/>
    </row>
    <row r="88" spans="1:30" s="9" customFormat="1" ht="15.75">
      <c r="A88" s="43" t="str">
        <f>IF(AND(H88=1,L88&gt;='Steel Angle Lintel Design'!$M$98,'AISC Angle Database'!N88&gt;='Steel Angle Lintel Design'!$M$96,'AISC Angle Database'!J88&gt;='Steel Angle Lintel Design'!$F$40,'AISC Angle Database'!J88&lt;='Steel Angle Lintel Design'!$F$41,'AISC Angle Database'!K88&gt;='Steel Angle Lintel Design'!$K$40,'AISC Angle Database'!K88&lt;='Steel Angle Lintel Design'!$K$41),1,"")</f>
        <v/>
      </c>
      <c r="B88" s="44">
        <f t="shared" si="5"/>
        <v>0</v>
      </c>
      <c r="C88" s="44">
        <f t="shared" si="6"/>
        <v>0</v>
      </c>
      <c r="D88" s="42" t="e">
        <f t="shared" ca="1" si="9"/>
        <v>#NAME?</v>
      </c>
      <c r="E88" s="44" t="e">
        <f t="shared" ca="1" si="7"/>
        <v>#NAME?</v>
      </c>
      <c r="F88" s="5" t="e">
        <f t="shared" ca="1" si="8"/>
        <v>#NAME?</v>
      </c>
      <c r="G88" s="15" t="s">
        <v>187</v>
      </c>
      <c r="H88" s="15">
        <f>IF('Steel Angle Lintel Design'!$AM$16=1,1,IF('Steel Angle Lintel Design'!$AM$16=2,0,1))</f>
        <v>0</v>
      </c>
      <c r="I88" s="18">
        <v>8.51</v>
      </c>
      <c r="J88" s="15">
        <v>3.5</v>
      </c>
      <c r="K88" s="15">
        <v>3.5</v>
      </c>
      <c r="L88" s="15">
        <v>2.86</v>
      </c>
      <c r="M88" s="15">
        <v>2.06</v>
      </c>
      <c r="N88" s="15">
        <v>1.1499999999999999</v>
      </c>
      <c r="O88" s="15">
        <v>2.86</v>
      </c>
      <c r="P88" s="15">
        <v>2.0499999999999998</v>
      </c>
      <c r="Q88" s="15">
        <v>1.1499999999999999</v>
      </c>
      <c r="R88" s="13">
        <v>0.375</v>
      </c>
      <c r="S88" s="13">
        <v>1</v>
      </c>
      <c r="T88" s="13" t="str">
        <f>IF(S88=2,"Y",IF(J88/R88&lt;0.54*(SQRT(29000/'Steel Angle Lintel Design'!$H$31)),"Y","N"))</f>
        <v>Y</v>
      </c>
      <c r="U88" s="13" t="str">
        <f>IF(J88/R88&gt;0.91*(SQRT(29000/'Steel Angle Lintel Design'!$H$31)),"Y","N")</f>
        <v>N</v>
      </c>
      <c r="V88" s="13" t="s">
        <v>188</v>
      </c>
      <c r="W88" s="13"/>
      <c r="X88" s="13">
        <v>1.19</v>
      </c>
      <c r="Y88" s="13">
        <v>33.799999999999997</v>
      </c>
      <c r="Z88" s="13">
        <v>18.8</v>
      </c>
      <c r="AA88" s="13">
        <v>1.19</v>
      </c>
      <c r="AB88" s="13">
        <v>33.6</v>
      </c>
      <c r="AC88" s="13">
        <v>18.8</v>
      </c>
      <c r="AD88" s="8"/>
    </row>
    <row r="89" spans="1:30" s="9" customFormat="1" ht="15.75">
      <c r="A89" s="43" t="str">
        <f>IF(AND(H89=1,L89&gt;='Steel Angle Lintel Design'!$M$98,'AISC Angle Database'!N89&gt;='Steel Angle Lintel Design'!$M$96,'AISC Angle Database'!J89&gt;='Steel Angle Lintel Design'!$F$40,'AISC Angle Database'!J89&lt;='Steel Angle Lintel Design'!$F$41,'AISC Angle Database'!K89&gt;='Steel Angle Lintel Design'!$K$40,'AISC Angle Database'!K89&lt;='Steel Angle Lintel Design'!$K$41),1,"")</f>
        <v/>
      </c>
      <c r="B89" s="44">
        <f t="shared" si="5"/>
        <v>0</v>
      </c>
      <c r="C89" s="44">
        <f t="shared" si="6"/>
        <v>0</v>
      </c>
      <c r="D89" s="42" t="e">
        <f t="shared" ca="1" si="9"/>
        <v>#NAME?</v>
      </c>
      <c r="E89" s="44" t="e">
        <f t="shared" ca="1" si="7"/>
        <v>#NAME?</v>
      </c>
      <c r="F89" s="5" t="e">
        <f t="shared" ca="1" si="8"/>
        <v>#NAME?</v>
      </c>
      <c r="G89" s="15" t="s">
        <v>189</v>
      </c>
      <c r="H89" s="15">
        <f>IF('Steel Angle Lintel Design'!$AM$16=1,1,IF('Steel Angle Lintel Design'!$AM$16=2,0,1))</f>
        <v>0</v>
      </c>
      <c r="I89" s="18">
        <v>7.21</v>
      </c>
      <c r="J89" s="15">
        <v>3.5</v>
      </c>
      <c r="K89" s="15">
        <v>3.5</v>
      </c>
      <c r="L89" s="15">
        <v>2.44</v>
      </c>
      <c r="M89" s="15">
        <v>1.74</v>
      </c>
      <c r="N89" s="15">
        <v>0.96899999999999997</v>
      </c>
      <c r="O89" s="15">
        <v>2.44</v>
      </c>
      <c r="P89" s="15">
        <v>1.74</v>
      </c>
      <c r="Q89" s="15">
        <v>0.96899999999999997</v>
      </c>
      <c r="R89" s="13">
        <v>0.3125</v>
      </c>
      <c r="S89" s="13">
        <v>1</v>
      </c>
      <c r="T89" s="13" t="str">
        <f>IF(S89=2,"Y",IF(J89/R89&lt;0.54*(SQRT(29000/'Steel Angle Lintel Design'!$H$31)),"Y","N"))</f>
        <v>Y</v>
      </c>
      <c r="U89" s="13" t="str">
        <f>IF(J89/R89&gt;0.91*(SQRT(29000/'Steel Angle Lintel Design'!$H$31)),"Y","N")</f>
        <v>N</v>
      </c>
      <c r="V89" s="13" t="s">
        <v>190</v>
      </c>
      <c r="W89" s="13"/>
      <c r="X89" s="13">
        <v>1.02</v>
      </c>
      <c r="Y89" s="13">
        <v>28.5</v>
      </c>
      <c r="Z89" s="13">
        <v>15.9</v>
      </c>
      <c r="AA89" s="13">
        <v>1.02</v>
      </c>
      <c r="AB89" s="13">
        <v>28.5</v>
      </c>
      <c r="AC89" s="13">
        <v>15.9</v>
      </c>
      <c r="AD89" s="8"/>
    </row>
    <row r="90" spans="1:30" s="9" customFormat="1" ht="15.75">
      <c r="A90" s="43" t="str">
        <f>IF(AND(H90=1,L90&gt;='Steel Angle Lintel Design'!$M$98,'AISC Angle Database'!N90&gt;='Steel Angle Lintel Design'!$M$96,'AISC Angle Database'!J90&gt;='Steel Angle Lintel Design'!$F$40,'AISC Angle Database'!J90&lt;='Steel Angle Lintel Design'!$F$41,'AISC Angle Database'!K90&gt;='Steel Angle Lintel Design'!$K$40,'AISC Angle Database'!K90&lt;='Steel Angle Lintel Design'!$K$41),1,"")</f>
        <v/>
      </c>
      <c r="B90" s="44">
        <f t="shared" si="5"/>
        <v>0</v>
      </c>
      <c r="C90" s="44">
        <f t="shared" si="6"/>
        <v>0</v>
      </c>
      <c r="D90" s="42" t="e">
        <f t="shared" ca="1" si="9"/>
        <v>#NAME?</v>
      </c>
      <c r="E90" s="44" t="e">
        <f t="shared" ca="1" si="7"/>
        <v>#NAME?</v>
      </c>
      <c r="F90" s="5" t="e">
        <f t="shared" ca="1" si="8"/>
        <v>#NAME?</v>
      </c>
      <c r="G90" s="15" t="s">
        <v>191</v>
      </c>
      <c r="H90" s="15">
        <f>IF('Steel Angle Lintel Design'!$AM$16=1,1,IF('Steel Angle Lintel Design'!$AM$16=2,0,1))</f>
        <v>0</v>
      </c>
      <c r="I90" s="18">
        <v>5.8</v>
      </c>
      <c r="J90" s="15">
        <v>3.5</v>
      </c>
      <c r="K90" s="15">
        <v>3.5</v>
      </c>
      <c r="L90" s="15">
        <v>2</v>
      </c>
      <c r="M90" s="15">
        <v>1.41</v>
      </c>
      <c r="N90" s="15">
        <v>0.78700000000000003</v>
      </c>
      <c r="O90" s="15">
        <v>2</v>
      </c>
      <c r="P90" s="15">
        <v>1.41</v>
      </c>
      <c r="Q90" s="15">
        <v>0.78700000000000003</v>
      </c>
      <c r="R90" s="13">
        <v>0.25</v>
      </c>
      <c r="S90" s="13">
        <v>1</v>
      </c>
      <c r="T90" s="13" t="str">
        <f>IF(S90=2,"Y",IF(J90/R90&lt;0.54*(SQRT(29000/'Steel Angle Lintel Design'!$H$31)),"Y","N"))</f>
        <v>Y</v>
      </c>
      <c r="U90" s="13" t="str">
        <f>IF(J90/R90&gt;0.91*(SQRT(29000/'Steel Angle Lintel Design'!$H$31)),"Y","N")</f>
        <v>N</v>
      </c>
      <c r="V90" s="13" t="s">
        <v>192</v>
      </c>
      <c r="W90" s="13"/>
      <c r="X90" s="13">
        <v>0.83199999999999996</v>
      </c>
      <c r="Y90" s="13">
        <v>23.1</v>
      </c>
      <c r="Z90" s="13">
        <v>12.9</v>
      </c>
      <c r="AA90" s="13">
        <v>0.83199999999999996</v>
      </c>
      <c r="AB90" s="13">
        <v>23.1</v>
      </c>
      <c r="AC90" s="13">
        <v>12.9</v>
      </c>
      <c r="AD90" s="8"/>
    </row>
    <row r="91" spans="1:30" s="9" customFormat="1" ht="15.75">
      <c r="A91" s="43" t="str">
        <f>IF(AND(H91=1,L91&gt;='Steel Angle Lintel Design'!$M$98,'AISC Angle Database'!N91&gt;='Steel Angle Lintel Design'!$M$96,'AISC Angle Database'!J91&gt;='Steel Angle Lintel Design'!$F$40,'AISC Angle Database'!J91&lt;='Steel Angle Lintel Design'!$F$41,'AISC Angle Database'!K91&gt;='Steel Angle Lintel Design'!$K$40,'AISC Angle Database'!K91&lt;='Steel Angle Lintel Design'!$K$41),1,"")</f>
        <v/>
      </c>
      <c r="B91" s="44">
        <f t="shared" si="5"/>
        <v>0</v>
      </c>
      <c r="C91" s="44">
        <f t="shared" si="6"/>
        <v>0</v>
      </c>
      <c r="D91" s="42" t="e">
        <f t="shared" ca="1" si="9"/>
        <v>#NAME?</v>
      </c>
      <c r="E91" s="44" t="e">
        <f t="shared" ca="1" si="7"/>
        <v>#NAME?</v>
      </c>
      <c r="F91" s="5" t="e">
        <f t="shared" ca="1" si="8"/>
        <v>#NAME?</v>
      </c>
      <c r="G91" s="15" t="s">
        <v>193</v>
      </c>
      <c r="H91" s="15">
        <f>IF('Steel Angle Lintel Design'!$AM$16=1,1,IF('Steel Angle Lintel Design'!$AM$16=2,0,1))</f>
        <v>0</v>
      </c>
      <c r="I91" s="18">
        <v>10.199999999999999</v>
      </c>
      <c r="J91" s="15">
        <v>3.5</v>
      </c>
      <c r="K91" s="15">
        <v>3</v>
      </c>
      <c r="L91" s="15">
        <v>3.45</v>
      </c>
      <c r="M91" s="15">
        <v>2.61</v>
      </c>
      <c r="N91" s="15">
        <v>1.45</v>
      </c>
      <c r="O91" s="15">
        <v>2.3199999999999998</v>
      </c>
      <c r="P91" s="15">
        <v>1.97</v>
      </c>
      <c r="Q91" s="15">
        <v>1.0900000000000001</v>
      </c>
      <c r="R91" s="13">
        <v>0.5</v>
      </c>
      <c r="S91" s="13">
        <v>1</v>
      </c>
      <c r="T91" s="13" t="str">
        <f>IF(S91=2,"Y",IF(J91/R91&lt;0.54*(SQRT(29000/'Steel Angle Lintel Design'!$H$31)),"Y","N"))</f>
        <v>Y</v>
      </c>
      <c r="U91" s="13" t="str">
        <f>IF(J91/R91&gt;0.91*(SQRT(29000/'Steel Angle Lintel Design'!$H$31)),"Y","N")</f>
        <v>N</v>
      </c>
      <c r="V91" s="13" t="s">
        <v>194</v>
      </c>
      <c r="W91" s="13"/>
      <c r="X91" s="13">
        <v>1.44</v>
      </c>
      <c r="Y91" s="13">
        <v>42.8</v>
      </c>
      <c r="Z91" s="13">
        <v>23.8</v>
      </c>
      <c r="AA91" s="13">
        <v>0.96599999999999997</v>
      </c>
      <c r="AB91" s="13">
        <v>32.299999999999997</v>
      </c>
      <c r="AC91" s="13">
        <v>17.899999999999999</v>
      </c>
      <c r="AD91" s="8"/>
    </row>
    <row r="92" spans="1:30" s="9" customFormat="1" ht="15.75">
      <c r="A92" s="43" t="str">
        <f>IF(AND(H92=1,L92&gt;='Steel Angle Lintel Design'!$M$98,'AISC Angle Database'!N92&gt;='Steel Angle Lintel Design'!$M$96,'AISC Angle Database'!J92&gt;='Steel Angle Lintel Design'!$F$40,'AISC Angle Database'!J92&lt;='Steel Angle Lintel Design'!$F$41,'AISC Angle Database'!K92&gt;='Steel Angle Lintel Design'!$K$40,'AISC Angle Database'!K92&lt;='Steel Angle Lintel Design'!$K$41),1,"")</f>
        <v/>
      </c>
      <c r="B92" s="44">
        <f t="shared" si="5"/>
        <v>0</v>
      </c>
      <c r="C92" s="44">
        <f t="shared" si="6"/>
        <v>0</v>
      </c>
      <c r="D92" s="42" t="e">
        <f t="shared" ca="1" si="9"/>
        <v>#NAME?</v>
      </c>
      <c r="E92" s="44" t="e">
        <f t="shared" ca="1" si="7"/>
        <v>#NAME?</v>
      </c>
      <c r="F92" s="5" t="e">
        <f t="shared" ca="1" si="8"/>
        <v>#NAME?</v>
      </c>
      <c r="G92" s="15" t="s">
        <v>195</v>
      </c>
      <c r="H92" s="15">
        <f>IF('Steel Angle Lintel Design'!$AM$16=1,1,IF('Steel Angle Lintel Design'!$AM$16=2,0,1))</f>
        <v>0</v>
      </c>
      <c r="I92" s="18">
        <v>9.1</v>
      </c>
      <c r="J92" s="15">
        <v>3.5</v>
      </c>
      <c r="K92" s="15">
        <v>3</v>
      </c>
      <c r="L92" s="15">
        <v>3.1</v>
      </c>
      <c r="M92" s="15">
        <v>2.3199999999999998</v>
      </c>
      <c r="N92" s="15">
        <v>1.29</v>
      </c>
      <c r="O92" s="15">
        <v>2.09</v>
      </c>
      <c r="P92" s="15">
        <v>1.75</v>
      </c>
      <c r="Q92" s="15">
        <v>0.97099999999999997</v>
      </c>
      <c r="R92" s="13">
        <v>0.4375</v>
      </c>
      <c r="S92" s="13">
        <v>1</v>
      </c>
      <c r="T92" s="13" t="str">
        <f>IF(S92=2,"Y",IF(J92/R92&lt;0.54*(SQRT(29000/'Steel Angle Lintel Design'!$H$31)),"Y","N"))</f>
        <v>Y</v>
      </c>
      <c r="U92" s="13" t="str">
        <f>IF(J92/R92&gt;0.91*(SQRT(29000/'Steel Angle Lintel Design'!$H$31)),"Y","N")</f>
        <v>N</v>
      </c>
      <c r="V92" s="13" t="s">
        <v>196</v>
      </c>
      <c r="W92" s="13"/>
      <c r="X92" s="13">
        <v>1.29</v>
      </c>
      <c r="Y92" s="13">
        <v>38</v>
      </c>
      <c r="Z92" s="13">
        <v>21.1</v>
      </c>
      <c r="AA92" s="13">
        <v>0.87</v>
      </c>
      <c r="AB92" s="13">
        <v>28.7</v>
      </c>
      <c r="AC92" s="13">
        <v>15.9</v>
      </c>
      <c r="AD92" s="8"/>
    </row>
    <row r="93" spans="1:30" s="9" customFormat="1" ht="15.75">
      <c r="A93" s="43" t="str">
        <f>IF(AND(H93=1,L93&gt;='Steel Angle Lintel Design'!$M$98,'AISC Angle Database'!N93&gt;='Steel Angle Lintel Design'!$M$96,'AISC Angle Database'!J93&gt;='Steel Angle Lintel Design'!$F$40,'AISC Angle Database'!J93&lt;='Steel Angle Lintel Design'!$F$41,'AISC Angle Database'!K93&gt;='Steel Angle Lintel Design'!$K$40,'AISC Angle Database'!K93&lt;='Steel Angle Lintel Design'!$K$41),1,"")</f>
        <v/>
      </c>
      <c r="B93" s="44">
        <f t="shared" si="5"/>
        <v>0</v>
      </c>
      <c r="C93" s="44">
        <f t="shared" si="6"/>
        <v>0</v>
      </c>
      <c r="D93" s="42" t="e">
        <f t="shared" ca="1" si="9"/>
        <v>#NAME?</v>
      </c>
      <c r="E93" s="44" t="e">
        <f t="shared" ca="1" si="7"/>
        <v>#NAME?</v>
      </c>
      <c r="F93" s="5" t="e">
        <f t="shared" ca="1" si="8"/>
        <v>#NAME?</v>
      </c>
      <c r="G93" s="15" t="s">
        <v>197</v>
      </c>
      <c r="H93" s="15">
        <f>IF('Steel Angle Lintel Design'!$AM$16=1,1,IF('Steel Angle Lintel Design'!$AM$16=2,0,1))</f>
        <v>0</v>
      </c>
      <c r="I93" s="18">
        <v>7.9</v>
      </c>
      <c r="J93" s="15">
        <v>3.5</v>
      </c>
      <c r="K93" s="15">
        <v>3</v>
      </c>
      <c r="L93" s="15">
        <v>2.73</v>
      </c>
      <c r="M93" s="15">
        <v>2.0299999999999998</v>
      </c>
      <c r="N93" s="15">
        <v>1.1200000000000001</v>
      </c>
      <c r="O93" s="15">
        <v>1.84</v>
      </c>
      <c r="P93" s="15">
        <v>1.52</v>
      </c>
      <c r="Q93" s="15">
        <v>0.84699999999999998</v>
      </c>
      <c r="R93" s="13">
        <v>0.375</v>
      </c>
      <c r="S93" s="13">
        <v>1</v>
      </c>
      <c r="T93" s="13" t="str">
        <f>IF(S93=2,"Y",IF(J93/R93&lt;0.54*(SQRT(29000/'Steel Angle Lintel Design'!$H$31)),"Y","N"))</f>
        <v>Y</v>
      </c>
      <c r="U93" s="13" t="str">
        <f>IF(J93/R93&gt;0.91*(SQRT(29000/'Steel Angle Lintel Design'!$H$31)),"Y","N")</f>
        <v>N</v>
      </c>
      <c r="V93" s="13" t="s">
        <v>198</v>
      </c>
      <c r="W93" s="13"/>
      <c r="X93" s="13">
        <v>1.1399999999999999</v>
      </c>
      <c r="Y93" s="13">
        <v>33.299999999999997</v>
      </c>
      <c r="Z93" s="13">
        <v>18.399999999999999</v>
      </c>
      <c r="AA93" s="13">
        <v>0.76600000000000001</v>
      </c>
      <c r="AB93" s="13">
        <v>24.9</v>
      </c>
      <c r="AC93" s="13">
        <v>13.9</v>
      </c>
      <c r="AD93" s="8"/>
    </row>
    <row r="94" spans="1:30" s="9" customFormat="1" ht="15.75">
      <c r="A94" s="43" t="str">
        <f>IF(AND(H94=1,L94&gt;='Steel Angle Lintel Design'!$M$98,'AISC Angle Database'!N94&gt;='Steel Angle Lintel Design'!$M$96,'AISC Angle Database'!J94&gt;='Steel Angle Lintel Design'!$F$40,'AISC Angle Database'!J94&lt;='Steel Angle Lintel Design'!$F$41,'AISC Angle Database'!K94&gt;='Steel Angle Lintel Design'!$K$40,'AISC Angle Database'!K94&lt;='Steel Angle Lintel Design'!$K$41),1,"")</f>
        <v/>
      </c>
      <c r="B94" s="44">
        <f t="shared" si="5"/>
        <v>0</v>
      </c>
      <c r="C94" s="44">
        <f t="shared" si="6"/>
        <v>0</v>
      </c>
      <c r="D94" s="42" t="e">
        <f t="shared" ca="1" si="9"/>
        <v>#NAME?</v>
      </c>
      <c r="E94" s="44" t="e">
        <f t="shared" ca="1" si="7"/>
        <v>#NAME?</v>
      </c>
      <c r="F94" s="5" t="e">
        <f t="shared" ca="1" si="8"/>
        <v>#NAME?</v>
      </c>
      <c r="G94" s="15" t="s">
        <v>199</v>
      </c>
      <c r="H94" s="15">
        <f>IF('Steel Angle Lintel Design'!$AM$16=1,1,IF('Steel Angle Lintel Design'!$AM$16=2,0,1))</f>
        <v>0</v>
      </c>
      <c r="I94" s="18">
        <v>6.6</v>
      </c>
      <c r="J94" s="15">
        <v>3.5</v>
      </c>
      <c r="K94" s="15">
        <v>3</v>
      </c>
      <c r="L94" s="15">
        <v>2.33</v>
      </c>
      <c r="M94" s="15">
        <v>1.72</v>
      </c>
      <c r="N94" s="15">
        <v>0.95099999999999996</v>
      </c>
      <c r="O94" s="15">
        <v>1.58</v>
      </c>
      <c r="P94" s="15">
        <v>1.28</v>
      </c>
      <c r="Q94" s="15">
        <v>0.71799999999999997</v>
      </c>
      <c r="R94" s="13">
        <v>0.3125</v>
      </c>
      <c r="S94" s="13">
        <v>1</v>
      </c>
      <c r="T94" s="13" t="str">
        <f>IF(S94=2,"Y",IF(J94/R94&lt;0.54*(SQRT(29000/'Steel Angle Lintel Design'!$H$31)),"Y","N"))</f>
        <v>Y</v>
      </c>
      <c r="U94" s="13" t="str">
        <f>IF(J94/R94&gt;0.91*(SQRT(29000/'Steel Angle Lintel Design'!$H$31)),"Y","N")</f>
        <v>N</v>
      </c>
      <c r="V94" s="13" t="s">
        <v>200</v>
      </c>
      <c r="W94" s="13"/>
      <c r="X94" s="13">
        <v>0.97</v>
      </c>
      <c r="Y94" s="13">
        <v>28.2</v>
      </c>
      <c r="Z94" s="13">
        <v>15.6</v>
      </c>
      <c r="AA94" s="13">
        <v>0.65800000000000003</v>
      </c>
      <c r="AB94" s="13">
        <v>21</v>
      </c>
      <c r="AC94" s="13">
        <v>11.8</v>
      </c>
      <c r="AD94" s="8"/>
    </row>
    <row r="95" spans="1:30" s="9" customFormat="1" ht="15.75">
      <c r="A95" s="43" t="str">
        <f>IF(AND(H95=1,L95&gt;='Steel Angle Lintel Design'!$M$98,'AISC Angle Database'!N95&gt;='Steel Angle Lintel Design'!$M$96,'AISC Angle Database'!J95&gt;='Steel Angle Lintel Design'!$F$40,'AISC Angle Database'!J95&lt;='Steel Angle Lintel Design'!$F$41,'AISC Angle Database'!K95&gt;='Steel Angle Lintel Design'!$K$40,'AISC Angle Database'!K95&lt;='Steel Angle Lintel Design'!$K$41),1,"")</f>
        <v/>
      </c>
      <c r="B95" s="44">
        <f t="shared" si="5"/>
        <v>0</v>
      </c>
      <c r="C95" s="44">
        <f t="shared" si="6"/>
        <v>0</v>
      </c>
      <c r="D95" s="42" t="e">
        <f t="shared" ca="1" si="9"/>
        <v>#NAME?</v>
      </c>
      <c r="E95" s="44" t="e">
        <f t="shared" ca="1" si="7"/>
        <v>#NAME?</v>
      </c>
      <c r="F95" s="5" t="e">
        <f t="shared" ca="1" si="8"/>
        <v>#NAME?</v>
      </c>
      <c r="G95" s="15" t="s">
        <v>201</v>
      </c>
      <c r="H95" s="15">
        <f>IF('Steel Angle Lintel Design'!$AM$16=1,1,IF('Steel Angle Lintel Design'!$AM$16=2,0,1))</f>
        <v>0</v>
      </c>
      <c r="I95" s="18">
        <v>5.4</v>
      </c>
      <c r="J95" s="15">
        <v>3.5</v>
      </c>
      <c r="K95" s="15">
        <v>3</v>
      </c>
      <c r="L95" s="15">
        <v>1.92</v>
      </c>
      <c r="M95" s="15">
        <v>1.39</v>
      </c>
      <c r="N95" s="15">
        <v>0.77300000000000002</v>
      </c>
      <c r="O95" s="15">
        <v>1.3</v>
      </c>
      <c r="P95" s="15">
        <v>1.04</v>
      </c>
      <c r="Q95" s="15">
        <v>0.58499999999999996</v>
      </c>
      <c r="R95" s="13">
        <v>0.25</v>
      </c>
      <c r="S95" s="13">
        <v>1</v>
      </c>
      <c r="T95" s="13" t="str">
        <f>IF(S95=2,"Y",IF(J95/R95&lt;0.54*(SQRT(29000/'Steel Angle Lintel Design'!$H$31)),"Y","N"))</f>
        <v>Y</v>
      </c>
      <c r="U95" s="13" t="str">
        <f>IF(J95/R95&gt;0.91*(SQRT(29000/'Steel Angle Lintel Design'!$H$31)),"Y","N")</f>
        <v>N</v>
      </c>
      <c r="V95" s="13" t="s">
        <v>202</v>
      </c>
      <c r="W95" s="13"/>
      <c r="X95" s="13">
        <v>0.79900000000000004</v>
      </c>
      <c r="Y95" s="13">
        <v>22.8</v>
      </c>
      <c r="Z95" s="13">
        <v>12.7</v>
      </c>
      <c r="AA95" s="13">
        <v>0.54100000000000004</v>
      </c>
      <c r="AB95" s="13">
        <v>17</v>
      </c>
      <c r="AC95" s="13">
        <v>9.59</v>
      </c>
      <c r="AD95" s="8"/>
    </row>
    <row r="96" spans="1:30" s="9" customFormat="1" ht="15.75">
      <c r="A96" s="43" t="str">
        <f>IF(AND(H96=1,L96&gt;='Steel Angle Lintel Design'!$M$98,'AISC Angle Database'!N96&gt;='Steel Angle Lintel Design'!$M$96,'AISC Angle Database'!J96&gt;='Steel Angle Lintel Design'!$F$40,'AISC Angle Database'!J96&lt;='Steel Angle Lintel Design'!$F$41,'AISC Angle Database'!K96&gt;='Steel Angle Lintel Design'!$K$40,'AISC Angle Database'!K96&lt;='Steel Angle Lintel Design'!$K$41),1,"")</f>
        <v/>
      </c>
      <c r="B96" s="44">
        <f t="shared" si="5"/>
        <v>0</v>
      </c>
      <c r="C96" s="44">
        <f t="shared" si="6"/>
        <v>0</v>
      </c>
      <c r="D96" s="42" t="e">
        <f t="shared" ca="1" si="9"/>
        <v>#NAME?</v>
      </c>
      <c r="E96" s="44" t="e">
        <f t="shared" ca="1" si="7"/>
        <v>#NAME?</v>
      </c>
      <c r="F96" s="5" t="e">
        <f t="shared" ca="1" si="8"/>
        <v>#NAME?</v>
      </c>
      <c r="G96" s="15" t="s">
        <v>203</v>
      </c>
      <c r="H96" s="15">
        <f>IF('Steel Angle Lintel Design'!$AM$16=1,1,IF('Steel Angle Lintel Design'!$AM$16=2,0,1))</f>
        <v>0</v>
      </c>
      <c r="I96" s="18">
        <v>9.41</v>
      </c>
      <c r="J96" s="15">
        <v>3.5</v>
      </c>
      <c r="K96" s="15">
        <v>2.5</v>
      </c>
      <c r="L96" s="15">
        <v>3.24</v>
      </c>
      <c r="M96" s="15">
        <v>2.52</v>
      </c>
      <c r="N96" s="15">
        <v>1.41</v>
      </c>
      <c r="O96" s="15">
        <v>1.36</v>
      </c>
      <c r="P96" s="15">
        <v>1.39</v>
      </c>
      <c r="Q96" s="15">
        <v>0.75600000000000001</v>
      </c>
      <c r="R96" s="13">
        <v>0.5</v>
      </c>
      <c r="S96" s="13">
        <v>1</v>
      </c>
      <c r="T96" s="13" t="str">
        <f>IF(S96=2,"Y",IF(J96/R96&lt;0.54*(SQRT(29000/'Steel Angle Lintel Design'!$H$31)),"Y","N"))</f>
        <v>Y</v>
      </c>
      <c r="U96" s="13" t="str">
        <f>IF(J96/R96&gt;0.91*(SQRT(29000/'Steel Angle Lintel Design'!$H$31)),"Y","N")</f>
        <v>N</v>
      </c>
      <c r="V96" s="13" t="s">
        <v>204</v>
      </c>
      <c r="W96" s="13"/>
      <c r="X96" s="13">
        <v>1.35</v>
      </c>
      <c r="Y96" s="13">
        <v>41.3</v>
      </c>
      <c r="Z96" s="13">
        <v>23.1</v>
      </c>
      <c r="AA96" s="13">
        <v>0.56599999999999995</v>
      </c>
      <c r="AB96" s="13">
        <v>22.8</v>
      </c>
      <c r="AC96" s="13">
        <v>12.4</v>
      </c>
      <c r="AD96" s="8"/>
    </row>
    <row r="97" spans="1:30" s="9" customFormat="1" ht="15.75">
      <c r="A97" s="43" t="str">
        <f>IF(AND(H97=1,L97&gt;='Steel Angle Lintel Design'!$M$98,'AISC Angle Database'!N97&gt;='Steel Angle Lintel Design'!$M$96,'AISC Angle Database'!J97&gt;='Steel Angle Lintel Design'!$F$40,'AISC Angle Database'!J97&lt;='Steel Angle Lintel Design'!$F$41,'AISC Angle Database'!K97&gt;='Steel Angle Lintel Design'!$K$40,'AISC Angle Database'!K97&lt;='Steel Angle Lintel Design'!$K$41),1,"")</f>
        <v/>
      </c>
      <c r="B97" s="44">
        <f t="shared" si="5"/>
        <v>0</v>
      </c>
      <c r="C97" s="44">
        <f t="shared" si="6"/>
        <v>0</v>
      </c>
      <c r="D97" s="42" t="e">
        <f t="shared" ca="1" si="9"/>
        <v>#NAME?</v>
      </c>
      <c r="E97" s="44" t="e">
        <f t="shared" ca="1" si="7"/>
        <v>#NAME?</v>
      </c>
      <c r="F97" s="5" t="e">
        <f t="shared" ca="1" si="8"/>
        <v>#NAME?</v>
      </c>
      <c r="G97" s="15" t="s">
        <v>205</v>
      </c>
      <c r="H97" s="15">
        <f>IF('Steel Angle Lintel Design'!$AM$16=1,1,IF('Steel Angle Lintel Design'!$AM$16=2,0,1))</f>
        <v>0</v>
      </c>
      <c r="I97" s="18">
        <v>7.19</v>
      </c>
      <c r="J97" s="15">
        <v>3.5</v>
      </c>
      <c r="K97" s="15">
        <v>2.5</v>
      </c>
      <c r="L97" s="15">
        <v>2.56</v>
      </c>
      <c r="M97" s="15">
        <v>1.96</v>
      </c>
      <c r="N97" s="15">
        <v>1.0900000000000001</v>
      </c>
      <c r="O97" s="15">
        <v>1.0900000000000001</v>
      </c>
      <c r="P97" s="15">
        <v>1.07</v>
      </c>
      <c r="Q97" s="15">
        <v>0.58899999999999997</v>
      </c>
      <c r="R97" s="13">
        <v>0.375</v>
      </c>
      <c r="S97" s="13">
        <v>1</v>
      </c>
      <c r="T97" s="13" t="str">
        <f>IF(S97=2,"Y",IF(J97/R97&lt;0.54*(SQRT(29000/'Steel Angle Lintel Design'!$H$31)),"Y","N"))</f>
        <v>Y</v>
      </c>
      <c r="U97" s="13" t="str">
        <f>IF(J97/R97&gt;0.91*(SQRT(29000/'Steel Angle Lintel Design'!$H$31)),"Y","N")</f>
        <v>N</v>
      </c>
      <c r="V97" s="13" t="s">
        <v>206</v>
      </c>
      <c r="W97" s="13"/>
      <c r="X97" s="13">
        <v>1.07</v>
      </c>
      <c r="Y97" s="13">
        <v>32.1</v>
      </c>
      <c r="Z97" s="13">
        <v>17.899999999999999</v>
      </c>
      <c r="AA97" s="13">
        <v>0.45400000000000001</v>
      </c>
      <c r="AB97" s="13">
        <v>17.5</v>
      </c>
      <c r="AC97" s="13">
        <v>9.65</v>
      </c>
      <c r="AD97" s="8"/>
    </row>
    <row r="98" spans="1:30" s="9" customFormat="1" ht="15.75">
      <c r="A98" s="43" t="str">
        <f>IF(AND(H98=1,L98&gt;='Steel Angle Lintel Design'!$M$98,'AISC Angle Database'!N98&gt;='Steel Angle Lintel Design'!$M$96,'AISC Angle Database'!J98&gt;='Steel Angle Lintel Design'!$F$40,'AISC Angle Database'!J98&lt;='Steel Angle Lintel Design'!$F$41,'AISC Angle Database'!K98&gt;='Steel Angle Lintel Design'!$K$40,'AISC Angle Database'!K98&lt;='Steel Angle Lintel Design'!$K$41),1,"")</f>
        <v/>
      </c>
      <c r="B98" s="44">
        <f t="shared" si="5"/>
        <v>0</v>
      </c>
      <c r="C98" s="44">
        <f t="shared" si="6"/>
        <v>0</v>
      </c>
      <c r="D98" s="42" t="e">
        <f t="shared" ca="1" si="9"/>
        <v>#NAME?</v>
      </c>
      <c r="E98" s="44" t="e">
        <f t="shared" ca="1" si="7"/>
        <v>#NAME?</v>
      </c>
      <c r="F98" s="5" t="e">
        <f t="shared" ca="1" si="8"/>
        <v>#NAME?</v>
      </c>
      <c r="G98" s="15" t="s">
        <v>207</v>
      </c>
      <c r="H98" s="15">
        <f>IF('Steel Angle Lintel Design'!$AM$16=1,1,IF('Steel Angle Lintel Design'!$AM$16=2,0,1))</f>
        <v>0</v>
      </c>
      <c r="I98" s="18">
        <v>6.11</v>
      </c>
      <c r="J98" s="15">
        <v>3.5</v>
      </c>
      <c r="K98" s="15">
        <v>2.5</v>
      </c>
      <c r="L98" s="15">
        <v>2.2000000000000002</v>
      </c>
      <c r="M98" s="15">
        <v>1.67</v>
      </c>
      <c r="N98" s="15">
        <v>0.92500000000000004</v>
      </c>
      <c r="O98" s="15">
        <v>0.93700000000000006</v>
      </c>
      <c r="P98" s="15">
        <v>0.9</v>
      </c>
      <c r="Q98" s="15">
        <v>0.501</v>
      </c>
      <c r="R98" s="13">
        <v>0.3125</v>
      </c>
      <c r="S98" s="13">
        <v>1</v>
      </c>
      <c r="T98" s="13" t="str">
        <f>IF(S98=2,"Y",IF(J98/R98&lt;0.54*(SQRT(29000/'Steel Angle Lintel Design'!$H$31)),"Y","N"))</f>
        <v>Y</v>
      </c>
      <c r="U98" s="13" t="str">
        <f>IF(J98/R98&gt;0.91*(SQRT(29000/'Steel Angle Lintel Design'!$H$31)),"Y","N")</f>
        <v>N</v>
      </c>
      <c r="V98" s="13" t="s">
        <v>208</v>
      </c>
      <c r="W98" s="13"/>
      <c r="X98" s="13">
        <v>0.91600000000000004</v>
      </c>
      <c r="Y98" s="13">
        <v>27.4</v>
      </c>
      <c r="Z98" s="13">
        <v>15.2</v>
      </c>
      <c r="AA98" s="13">
        <v>0.39</v>
      </c>
      <c r="AB98" s="13">
        <v>14.7</v>
      </c>
      <c r="AC98" s="13">
        <v>8.2100000000000009</v>
      </c>
      <c r="AD98" s="8"/>
    </row>
    <row r="99" spans="1:30" s="9" customFormat="1" ht="15.75">
      <c r="A99" s="43" t="str">
        <f>IF(AND(H99=1,L99&gt;='Steel Angle Lintel Design'!$M$98,'AISC Angle Database'!N99&gt;='Steel Angle Lintel Design'!$M$96,'AISC Angle Database'!J99&gt;='Steel Angle Lintel Design'!$F$40,'AISC Angle Database'!J99&lt;='Steel Angle Lintel Design'!$F$41,'AISC Angle Database'!K99&gt;='Steel Angle Lintel Design'!$K$40,'AISC Angle Database'!K99&lt;='Steel Angle Lintel Design'!$K$41),1,"")</f>
        <v/>
      </c>
      <c r="B99" s="44">
        <f t="shared" si="5"/>
        <v>0</v>
      </c>
      <c r="C99" s="44">
        <f t="shared" si="6"/>
        <v>0</v>
      </c>
      <c r="D99" s="42" t="e">
        <f t="shared" ca="1" si="9"/>
        <v>#NAME?</v>
      </c>
      <c r="E99" s="44" t="e">
        <f t="shared" ca="1" si="7"/>
        <v>#NAME?</v>
      </c>
      <c r="F99" s="5" t="e">
        <f t="shared" ca="1" si="8"/>
        <v>#NAME?</v>
      </c>
      <c r="G99" s="15" t="s">
        <v>209</v>
      </c>
      <c r="H99" s="15">
        <f>IF('Steel Angle Lintel Design'!$AM$16=1,1,IF('Steel Angle Lintel Design'!$AM$16=2,0,1))</f>
        <v>0</v>
      </c>
      <c r="I99" s="18">
        <v>4.91</v>
      </c>
      <c r="J99" s="15">
        <v>3.5</v>
      </c>
      <c r="K99" s="15">
        <v>2.5</v>
      </c>
      <c r="L99" s="15">
        <v>1.81</v>
      </c>
      <c r="M99" s="15">
        <v>1.36</v>
      </c>
      <c r="N99" s="15">
        <v>0.753</v>
      </c>
      <c r="O99" s="15">
        <v>0.77500000000000002</v>
      </c>
      <c r="P99" s="15">
        <v>0.72799999999999998</v>
      </c>
      <c r="Q99" s="15">
        <v>0.41</v>
      </c>
      <c r="R99" s="13">
        <v>0.25</v>
      </c>
      <c r="S99" s="13">
        <v>1</v>
      </c>
      <c r="T99" s="13" t="str">
        <f>IF(S99=2,"Y",IF(J99/R99&lt;0.54*(SQRT(29000/'Steel Angle Lintel Design'!$H$31)),"Y","N"))</f>
        <v>Y</v>
      </c>
      <c r="U99" s="13" t="str">
        <f>IF(J99/R99&gt;0.91*(SQRT(29000/'Steel Angle Lintel Design'!$H$31)),"Y","N")</f>
        <v>N</v>
      </c>
      <c r="V99" s="13" t="s">
        <v>210</v>
      </c>
      <c r="W99" s="13"/>
      <c r="X99" s="13">
        <v>0.753</v>
      </c>
      <c r="Y99" s="13">
        <v>22.3</v>
      </c>
      <c r="Z99" s="13">
        <v>12.3</v>
      </c>
      <c r="AA99" s="13">
        <v>0.32300000000000001</v>
      </c>
      <c r="AB99" s="13">
        <v>11.9</v>
      </c>
      <c r="AC99" s="13">
        <v>6.72</v>
      </c>
      <c r="AD99" s="8"/>
    </row>
    <row r="100" spans="1:30" s="9" customFormat="1" ht="15.75">
      <c r="A100" s="43" t="str">
        <f>IF(AND(H100=1,L100&gt;='Steel Angle Lintel Design'!$M$98,'AISC Angle Database'!N100&gt;='Steel Angle Lintel Design'!$M$96,'AISC Angle Database'!J100&gt;='Steel Angle Lintel Design'!$F$40,'AISC Angle Database'!J100&lt;='Steel Angle Lintel Design'!$F$41,'AISC Angle Database'!K100&gt;='Steel Angle Lintel Design'!$K$40,'AISC Angle Database'!K100&lt;='Steel Angle Lintel Design'!$K$41),1,"")</f>
        <v/>
      </c>
      <c r="B100" s="44">
        <f t="shared" si="5"/>
        <v>0</v>
      </c>
      <c r="C100" s="44">
        <f t="shared" si="6"/>
        <v>0</v>
      </c>
      <c r="D100" s="42" t="e">
        <f t="shared" ca="1" si="9"/>
        <v>#NAME?</v>
      </c>
      <c r="E100" s="44" t="e">
        <f t="shared" ca="1" si="7"/>
        <v>#NAME?</v>
      </c>
      <c r="F100" s="5" t="e">
        <f t="shared" ca="1" si="8"/>
        <v>#NAME?</v>
      </c>
      <c r="G100" s="15" t="s">
        <v>211</v>
      </c>
      <c r="H100" s="15">
        <f>IF('Steel Angle Lintel Design'!$AM$16=1,1,IF('Steel Angle Lintel Design'!$AM$16=2,0,1))</f>
        <v>0</v>
      </c>
      <c r="I100" s="18">
        <v>9.4</v>
      </c>
      <c r="J100" s="15">
        <v>3</v>
      </c>
      <c r="K100" s="15">
        <v>3</v>
      </c>
      <c r="L100" s="15">
        <v>2.2000000000000002</v>
      </c>
      <c r="M100" s="15">
        <v>1.91</v>
      </c>
      <c r="N100" s="15">
        <v>1.06</v>
      </c>
      <c r="O100" s="15">
        <v>2.2000000000000002</v>
      </c>
      <c r="P100" s="15">
        <v>1.91</v>
      </c>
      <c r="Q100" s="15">
        <v>1.06</v>
      </c>
      <c r="R100" s="13">
        <v>0.5</v>
      </c>
      <c r="S100" s="13">
        <v>1</v>
      </c>
      <c r="T100" s="13" t="str">
        <f>IF(S100=2,"Y",IF(J100/R100&lt;0.54*(SQRT(29000/'Steel Angle Lintel Design'!$H$31)),"Y","N"))</f>
        <v>Y</v>
      </c>
      <c r="U100" s="13" t="str">
        <f>IF(J100/R100&gt;0.91*(SQRT(29000/'Steel Angle Lintel Design'!$H$31)),"Y","N")</f>
        <v>N</v>
      </c>
      <c r="V100" s="13" t="s">
        <v>212</v>
      </c>
      <c r="W100" s="13"/>
      <c r="X100" s="13">
        <v>0.91600000000000004</v>
      </c>
      <c r="Y100" s="13">
        <v>31.3</v>
      </c>
      <c r="Z100" s="13">
        <v>17.399999999999999</v>
      </c>
      <c r="AA100" s="13">
        <v>0.91600000000000004</v>
      </c>
      <c r="AB100" s="13">
        <v>31.3</v>
      </c>
      <c r="AC100" s="13">
        <v>17.399999999999999</v>
      </c>
      <c r="AD100" s="8"/>
    </row>
    <row r="101" spans="1:30" s="9" customFormat="1" ht="15.75">
      <c r="A101" s="43" t="str">
        <f>IF(AND(H101=1,L101&gt;='Steel Angle Lintel Design'!$M$98,'AISC Angle Database'!N101&gt;='Steel Angle Lintel Design'!$M$96,'AISC Angle Database'!J101&gt;='Steel Angle Lintel Design'!$F$40,'AISC Angle Database'!J101&lt;='Steel Angle Lintel Design'!$F$41,'AISC Angle Database'!K101&gt;='Steel Angle Lintel Design'!$K$40,'AISC Angle Database'!K101&lt;='Steel Angle Lintel Design'!$K$41),1,"")</f>
        <v/>
      </c>
      <c r="B101" s="44">
        <f t="shared" si="5"/>
        <v>0</v>
      </c>
      <c r="C101" s="44">
        <f t="shared" si="6"/>
        <v>0</v>
      </c>
      <c r="D101" s="42" t="e">
        <f t="shared" ca="1" si="9"/>
        <v>#NAME?</v>
      </c>
      <c r="E101" s="44" t="e">
        <f t="shared" ca="1" si="7"/>
        <v>#NAME?</v>
      </c>
      <c r="F101" s="5" t="e">
        <f t="shared" ca="1" si="8"/>
        <v>#NAME?</v>
      </c>
      <c r="G101" s="15" t="s">
        <v>213</v>
      </c>
      <c r="H101" s="15">
        <f>IF('Steel Angle Lintel Design'!$AM$16=1,1,IF('Steel Angle Lintel Design'!$AM$16=2,0,1))</f>
        <v>0</v>
      </c>
      <c r="I101" s="18">
        <v>8.3000000000000007</v>
      </c>
      <c r="J101" s="15">
        <v>3</v>
      </c>
      <c r="K101" s="15">
        <v>3</v>
      </c>
      <c r="L101" s="15">
        <v>1.98</v>
      </c>
      <c r="M101" s="15">
        <v>1.7</v>
      </c>
      <c r="N101" s="15">
        <v>0.94599999999999995</v>
      </c>
      <c r="O101" s="15">
        <v>1.98</v>
      </c>
      <c r="P101" s="15">
        <v>1.7</v>
      </c>
      <c r="Q101" s="15">
        <v>0.94599999999999995</v>
      </c>
      <c r="R101" s="13">
        <v>0.4375</v>
      </c>
      <c r="S101" s="13">
        <v>1</v>
      </c>
      <c r="T101" s="13" t="str">
        <f>IF(S101=2,"Y",IF(J101/R101&lt;0.54*(SQRT(29000/'Steel Angle Lintel Design'!$H$31)),"Y","N"))</f>
        <v>Y</v>
      </c>
      <c r="U101" s="13" t="str">
        <f>IF(J101/R101&gt;0.91*(SQRT(29000/'Steel Angle Lintel Design'!$H$31)),"Y","N")</f>
        <v>N</v>
      </c>
      <c r="V101" s="13" t="s">
        <v>214</v>
      </c>
      <c r="W101" s="13"/>
      <c r="X101" s="13">
        <v>0.82399999999999995</v>
      </c>
      <c r="Y101" s="13">
        <v>27.9</v>
      </c>
      <c r="Z101" s="13">
        <v>15.5</v>
      </c>
      <c r="AA101" s="13">
        <v>0.82399999999999995</v>
      </c>
      <c r="AB101" s="13">
        <v>27.9</v>
      </c>
      <c r="AC101" s="13">
        <v>15.5</v>
      </c>
      <c r="AD101" s="8"/>
    </row>
    <row r="102" spans="1:30" s="9" customFormat="1" ht="15.75">
      <c r="A102" s="43" t="str">
        <f>IF(AND(H102=1,L102&gt;='Steel Angle Lintel Design'!$M$98,'AISC Angle Database'!N102&gt;='Steel Angle Lintel Design'!$M$96,'AISC Angle Database'!J102&gt;='Steel Angle Lintel Design'!$F$40,'AISC Angle Database'!J102&lt;='Steel Angle Lintel Design'!$F$41,'AISC Angle Database'!K102&gt;='Steel Angle Lintel Design'!$K$40,'AISC Angle Database'!K102&lt;='Steel Angle Lintel Design'!$K$41),1,"")</f>
        <v/>
      </c>
      <c r="B102" s="44">
        <f t="shared" si="5"/>
        <v>0</v>
      </c>
      <c r="C102" s="44">
        <f t="shared" si="6"/>
        <v>0</v>
      </c>
      <c r="D102" s="42" t="e">
        <f t="shared" ca="1" si="9"/>
        <v>#NAME?</v>
      </c>
      <c r="E102" s="44" t="e">
        <f t="shared" ca="1" si="7"/>
        <v>#NAME?</v>
      </c>
      <c r="F102" s="5" t="e">
        <f t="shared" ca="1" si="8"/>
        <v>#NAME?</v>
      </c>
      <c r="G102" s="15" t="s">
        <v>215</v>
      </c>
      <c r="H102" s="15">
        <f>IF('Steel Angle Lintel Design'!$AM$16=1,1,IF('Steel Angle Lintel Design'!$AM$16=2,0,1))</f>
        <v>0</v>
      </c>
      <c r="I102" s="18">
        <v>7.2</v>
      </c>
      <c r="J102" s="15">
        <v>3</v>
      </c>
      <c r="K102" s="15">
        <v>3</v>
      </c>
      <c r="L102" s="15">
        <v>1.75</v>
      </c>
      <c r="M102" s="15">
        <v>1.48</v>
      </c>
      <c r="N102" s="15">
        <v>0.82499999999999996</v>
      </c>
      <c r="O102" s="15">
        <v>1.75</v>
      </c>
      <c r="P102" s="15">
        <v>1.48</v>
      </c>
      <c r="Q102" s="15">
        <v>0.82499999999999996</v>
      </c>
      <c r="R102" s="13">
        <v>0.375</v>
      </c>
      <c r="S102" s="13">
        <v>1</v>
      </c>
      <c r="T102" s="13" t="str">
        <f>IF(S102=2,"Y",IF(J102/R102&lt;0.54*(SQRT(29000/'Steel Angle Lintel Design'!$H$31)),"Y","N"))</f>
        <v>Y</v>
      </c>
      <c r="U102" s="13" t="str">
        <f>IF(J102/R102&gt;0.91*(SQRT(29000/'Steel Angle Lintel Design'!$H$31)),"Y","N")</f>
        <v>N</v>
      </c>
      <c r="V102" s="13" t="s">
        <v>216</v>
      </c>
      <c r="W102" s="13"/>
      <c r="X102" s="13">
        <v>0.72799999999999998</v>
      </c>
      <c r="Y102" s="13">
        <v>24.3</v>
      </c>
      <c r="Z102" s="13">
        <v>13.5</v>
      </c>
      <c r="AA102" s="13">
        <v>0.72799999999999998</v>
      </c>
      <c r="AB102" s="13">
        <v>24.3</v>
      </c>
      <c r="AC102" s="13">
        <v>13.5</v>
      </c>
      <c r="AD102" s="8"/>
    </row>
    <row r="103" spans="1:30" s="9" customFormat="1" ht="15.75">
      <c r="A103" s="43" t="str">
        <f>IF(AND(H103=1,L103&gt;='Steel Angle Lintel Design'!$M$98,'AISC Angle Database'!N103&gt;='Steel Angle Lintel Design'!$M$96,'AISC Angle Database'!J103&gt;='Steel Angle Lintel Design'!$F$40,'AISC Angle Database'!J103&lt;='Steel Angle Lintel Design'!$F$41,'AISC Angle Database'!K103&gt;='Steel Angle Lintel Design'!$K$40,'AISC Angle Database'!K103&lt;='Steel Angle Lintel Design'!$K$41),1,"")</f>
        <v/>
      </c>
      <c r="B103" s="44">
        <f t="shared" si="5"/>
        <v>0</v>
      </c>
      <c r="C103" s="44">
        <f t="shared" si="6"/>
        <v>0</v>
      </c>
      <c r="D103" s="42" t="e">
        <f t="shared" ca="1" si="9"/>
        <v>#NAME?</v>
      </c>
      <c r="E103" s="44" t="e">
        <f t="shared" ca="1" si="7"/>
        <v>#NAME?</v>
      </c>
      <c r="F103" s="5" t="e">
        <f t="shared" ca="1" si="8"/>
        <v>#NAME?</v>
      </c>
      <c r="G103" s="15" t="s">
        <v>217</v>
      </c>
      <c r="H103" s="15">
        <f>IF('Steel Angle Lintel Design'!$AM$16=1,1,IF('Steel Angle Lintel Design'!$AM$16=2,0,1))</f>
        <v>0</v>
      </c>
      <c r="I103" s="18">
        <v>6.1</v>
      </c>
      <c r="J103" s="15">
        <v>3</v>
      </c>
      <c r="K103" s="15">
        <v>3</v>
      </c>
      <c r="L103" s="15">
        <v>1.5</v>
      </c>
      <c r="M103" s="15">
        <v>1.26</v>
      </c>
      <c r="N103" s="15">
        <v>0.69899999999999995</v>
      </c>
      <c r="O103" s="15">
        <v>1.5</v>
      </c>
      <c r="P103" s="15">
        <v>1.25</v>
      </c>
      <c r="Q103" s="15">
        <v>0.69899999999999995</v>
      </c>
      <c r="R103" s="13">
        <v>0.3125</v>
      </c>
      <c r="S103" s="13">
        <v>1</v>
      </c>
      <c r="T103" s="13" t="str">
        <f>IF(S103=2,"Y",IF(J103/R103&lt;0.54*(SQRT(29000/'Steel Angle Lintel Design'!$H$31)),"Y","N"))</f>
        <v>Y</v>
      </c>
      <c r="U103" s="13" t="str">
        <f>IF(J103/R103&gt;0.91*(SQRT(29000/'Steel Angle Lintel Design'!$H$31)),"Y","N")</f>
        <v>N</v>
      </c>
      <c r="V103" s="13" t="s">
        <v>218</v>
      </c>
      <c r="W103" s="13"/>
      <c r="X103" s="13">
        <v>0.624</v>
      </c>
      <c r="Y103" s="13">
        <v>20.6</v>
      </c>
      <c r="Z103" s="13">
        <v>11.5</v>
      </c>
      <c r="AA103" s="13">
        <v>0.624</v>
      </c>
      <c r="AB103" s="13">
        <v>20.5</v>
      </c>
      <c r="AC103" s="13">
        <v>11.5</v>
      </c>
      <c r="AD103" s="8"/>
    </row>
    <row r="104" spans="1:30" s="9" customFormat="1" ht="15.75">
      <c r="A104" s="43" t="str">
        <f>IF(AND(H104=1,L104&gt;='Steel Angle Lintel Design'!$M$98,'AISC Angle Database'!N104&gt;='Steel Angle Lintel Design'!$M$96,'AISC Angle Database'!J104&gt;='Steel Angle Lintel Design'!$F$40,'AISC Angle Database'!J104&lt;='Steel Angle Lintel Design'!$F$41,'AISC Angle Database'!K104&gt;='Steel Angle Lintel Design'!$K$40,'AISC Angle Database'!K104&lt;='Steel Angle Lintel Design'!$K$41),1,"")</f>
        <v/>
      </c>
      <c r="B104" s="44">
        <f t="shared" si="5"/>
        <v>0</v>
      </c>
      <c r="C104" s="44">
        <f t="shared" si="6"/>
        <v>0</v>
      </c>
      <c r="D104" s="42" t="e">
        <f t="shared" ca="1" si="9"/>
        <v>#NAME?</v>
      </c>
      <c r="E104" s="44" t="e">
        <f t="shared" ca="1" si="7"/>
        <v>#NAME?</v>
      </c>
      <c r="F104" s="5" t="e">
        <f t="shared" ca="1" si="8"/>
        <v>#NAME?</v>
      </c>
      <c r="G104" s="15" t="s">
        <v>219</v>
      </c>
      <c r="H104" s="15">
        <f>IF('Steel Angle Lintel Design'!$AM$16=1,1,IF('Steel Angle Lintel Design'!$AM$16=2,0,1))</f>
        <v>0</v>
      </c>
      <c r="I104" s="18">
        <v>4.9000000000000004</v>
      </c>
      <c r="J104" s="15">
        <v>3</v>
      </c>
      <c r="K104" s="15">
        <v>3</v>
      </c>
      <c r="L104" s="15">
        <v>1.23</v>
      </c>
      <c r="M104" s="15">
        <v>1.02</v>
      </c>
      <c r="N104" s="15">
        <v>0.56899999999999995</v>
      </c>
      <c r="O104" s="15">
        <v>1.23</v>
      </c>
      <c r="P104" s="15">
        <v>1.02</v>
      </c>
      <c r="Q104" s="15">
        <v>0.56899999999999995</v>
      </c>
      <c r="R104" s="13">
        <v>0.25</v>
      </c>
      <c r="S104" s="13">
        <v>1</v>
      </c>
      <c r="T104" s="13" t="str">
        <f>IF(S104=2,"Y",IF(J104/R104&lt;0.54*(SQRT(29000/'Steel Angle Lintel Design'!$H$31)),"Y","N"))</f>
        <v>Y</v>
      </c>
      <c r="U104" s="13" t="str">
        <f>IF(J104/R104&gt;0.91*(SQRT(29000/'Steel Angle Lintel Design'!$H$31)),"Y","N")</f>
        <v>N</v>
      </c>
      <c r="V104" s="13" t="s">
        <v>220</v>
      </c>
      <c r="W104" s="13"/>
      <c r="X104" s="13">
        <v>0.51200000000000001</v>
      </c>
      <c r="Y104" s="13">
        <v>16.7</v>
      </c>
      <c r="Z104" s="13">
        <v>9.32</v>
      </c>
      <c r="AA104" s="13">
        <v>0.51200000000000001</v>
      </c>
      <c r="AB104" s="13">
        <v>16.7</v>
      </c>
      <c r="AC104" s="13">
        <v>9.32</v>
      </c>
      <c r="AD104" s="8"/>
    </row>
    <row r="105" spans="1:30" s="9" customFormat="1" ht="15.75">
      <c r="A105" s="43" t="str">
        <f>IF(AND(H105=1,L105&gt;='Steel Angle Lintel Design'!$M$98,'AISC Angle Database'!N105&gt;='Steel Angle Lintel Design'!$M$96,'AISC Angle Database'!J105&gt;='Steel Angle Lintel Design'!$F$40,'AISC Angle Database'!J105&lt;='Steel Angle Lintel Design'!$F$41,'AISC Angle Database'!K105&gt;='Steel Angle Lintel Design'!$K$40,'AISC Angle Database'!K105&lt;='Steel Angle Lintel Design'!$K$41),1,"")</f>
        <v/>
      </c>
      <c r="B105" s="44">
        <f t="shared" si="5"/>
        <v>0</v>
      </c>
      <c r="C105" s="44">
        <f t="shared" si="6"/>
        <v>0</v>
      </c>
      <c r="D105" s="42" t="e">
        <f t="shared" ca="1" si="9"/>
        <v>#NAME?</v>
      </c>
      <c r="E105" s="44" t="e">
        <f t="shared" ca="1" si="7"/>
        <v>#NAME?</v>
      </c>
      <c r="F105" s="5" t="e">
        <f t="shared" ca="1" si="8"/>
        <v>#NAME?</v>
      </c>
      <c r="G105" s="15" t="s">
        <v>221</v>
      </c>
      <c r="H105" s="15">
        <f>IF('Steel Angle Lintel Design'!$AM$16=1,1,IF('Steel Angle Lintel Design'!$AM$16=2,0,1))</f>
        <v>0</v>
      </c>
      <c r="I105" s="18">
        <v>6.59</v>
      </c>
      <c r="J105" s="15">
        <v>3</v>
      </c>
      <c r="K105" s="15">
        <v>3</v>
      </c>
      <c r="L105" s="15">
        <v>0.94799999999999995</v>
      </c>
      <c r="M105" s="15">
        <v>0.77400000000000002</v>
      </c>
      <c r="N105" s="15">
        <v>0.433</v>
      </c>
      <c r="O105" s="15">
        <v>0.94799999999999995</v>
      </c>
      <c r="P105" s="15">
        <v>0.77400000000000002</v>
      </c>
      <c r="Q105" s="15">
        <v>0.433</v>
      </c>
      <c r="R105" s="13">
        <v>0.1875</v>
      </c>
      <c r="S105" s="13">
        <v>1</v>
      </c>
      <c r="T105" s="13" t="str">
        <f>IF(S105=2,"Y",IF(J105/R105&lt;0.54*(SQRT(29000/'Steel Angle Lintel Design'!$H$31)),"Y","N"))</f>
        <v>N</v>
      </c>
      <c r="U105" s="13" t="str">
        <f>IF(J105/R105&gt;0.91*(SQRT(29000/'Steel Angle Lintel Design'!$H$31)),"Y","N")</f>
        <v>N</v>
      </c>
      <c r="V105" s="13" t="s">
        <v>222</v>
      </c>
      <c r="W105" s="13"/>
      <c r="X105" s="13">
        <v>0.39500000000000002</v>
      </c>
      <c r="Y105" s="13">
        <v>12.7</v>
      </c>
      <c r="Z105" s="13">
        <v>7.1</v>
      </c>
      <c r="AA105" s="13">
        <v>0.39500000000000002</v>
      </c>
      <c r="AB105" s="13">
        <v>12.7</v>
      </c>
      <c r="AC105" s="13">
        <v>7.1</v>
      </c>
      <c r="AD105" s="8"/>
    </row>
    <row r="106" spans="1:30" s="9" customFormat="1" ht="15.75">
      <c r="A106" s="43" t="str">
        <f>IF(AND(H106=1,L106&gt;='Steel Angle Lintel Design'!$M$98,'AISC Angle Database'!N106&gt;='Steel Angle Lintel Design'!$M$96,'AISC Angle Database'!J106&gt;='Steel Angle Lintel Design'!$F$40,'AISC Angle Database'!J106&lt;='Steel Angle Lintel Design'!$F$41,'AISC Angle Database'!K106&gt;='Steel Angle Lintel Design'!$K$40,'AISC Angle Database'!K106&lt;='Steel Angle Lintel Design'!$K$41),1,"")</f>
        <v/>
      </c>
      <c r="B106" s="44">
        <f t="shared" si="5"/>
        <v>0</v>
      </c>
      <c r="C106" s="44">
        <f t="shared" si="6"/>
        <v>0</v>
      </c>
      <c r="D106" s="42" t="e">
        <f t="shared" ca="1" si="9"/>
        <v>#NAME?</v>
      </c>
      <c r="E106" s="44" t="e">
        <f t="shared" ca="1" si="7"/>
        <v>#NAME?</v>
      </c>
      <c r="F106" s="5" t="e">
        <f t="shared" ca="1" si="8"/>
        <v>#NAME?</v>
      </c>
      <c r="G106" s="15" t="s">
        <v>223</v>
      </c>
      <c r="H106" s="15">
        <f>IF('Steel Angle Lintel Design'!$AM$16=1,1,IF('Steel Angle Lintel Design'!$AM$16=2,0,1))</f>
        <v>0</v>
      </c>
      <c r="I106" s="18">
        <v>8.5</v>
      </c>
      <c r="J106" s="15">
        <v>3</v>
      </c>
      <c r="K106" s="15">
        <v>2.5</v>
      </c>
      <c r="L106" s="15">
        <v>2.0699999999999998</v>
      </c>
      <c r="M106" s="15">
        <v>1.86</v>
      </c>
      <c r="N106" s="15">
        <v>1.03</v>
      </c>
      <c r="O106" s="15">
        <v>1.29</v>
      </c>
      <c r="P106" s="15">
        <v>1.34</v>
      </c>
      <c r="Q106" s="15">
        <v>0.73599999999999999</v>
      </c>
      <c r="R106" s="13">
        <v>0.5</v>
      </c>
      <c r="S106" s="13">
        <v>1</v>
      </c>
      <c r="T106" s="13" t="str">
        <f>IF(S106=2,"Y",IF(J106/R106&lt;0.54*(SQRT(29000/'Steel Angle Lintel Design'!$H$31)),"Y","N"))</f>
        <v>Y</v>
      </c>
      <c r="U106" s="13" t="str">
        <f>IF(J106/R106&gt;0.91*(SQRT(29000/'Steel Angle Lintel Design'!$H$31)),"Y","N")</f>
        <v>N</v>
      </c>
      <c r="V106" s="13" t="s">
        <v>224</v>
      </c>
      <c r="W106" s="13"/>
      <c r="X106" s="13">
        <v>0.86199999999999999</v>
      </c>
      <c r="Y106" s="13">
        <v>30.5</v>
      </c>
      <c r="Z106" s="13">
        <v>16.899999999999999</v>
      </c>
      <c r="AA106" s="13">
        <v>0.53700000000000003</v>
      </c>
      <c r="AB106" s="13">
        <v>22</v>
      </c>
      <c r="AC106" s="13">
        <v>12.1</v>
      </c>
      <c r="AD106" s="8"/>
    </row>
    <row r="107" spans="1:30" s="9" customFormat="1" ht="15.75">
      <c r="A107" s="43" t="str">
        <f>IF(AND(H107=1,L107&gt;='Steel Angle Lintel Design'!$M$98,'AISC Angle Database'!N107&gt;='Steel Angle Lintel Design'!$M$96,'AISC Angle Database'!J107&gt;='Steel Angle Lintel Design'!$F$40,'AISC Angle Database'!J107&lt;='Steel Angle Lintel Design'!$F$41,'AISC Angle Database'!K107&gt;='Steel Angle Lintel Design'!$K$40,'AISC Angle Database'!K107&lt;='Steel Angle Lintel Design'!$K$41),1,"")</f>
        <v/>
      </c>
      <c r="B107" s="44">
        <f t="shared" si="5"/>
        <v>0</v>
      </c>
      <c r="C107" s="44">
        <f t="shared" si="6"/>
        <v>0</v>
      </c>
      <c r="D107" s="42" t="e">
        <f t="shared" ca="1" si="9"/>
        <v>#NAME?</v>
      </c>
      <c r="E107" s="44" t="e">
        <f t="shared" ca="1" si="7"/>
        <v>#NAME?</v>
      </c>
      <c r="F107" s="5" t="e">
        <f t="shared" ca="1" si="8"/>
        <v>#NAME?</v>
      </c>
      <c r="G107" s="15" t="s">
        <v>225</v>
      </c>
      <c r="H107" s="15">
        <f>IF('Steel Angle Lintel Design'!$AM$16=1,1,IF('Steel Angle Lintel Design'!$AM$16=2,0,1))</f>
        <v>0</v>
      </c>
      <c r="I107" s="18">
        <v>7.6</v>
      </c>
      <c r="J107" s="15">
        <v>3</v>
      </c>
      <c r="K107" s="15">
        <v>2.5</v>
      </c>
      <c r="L107" s="15">
        <v>1.87</v>
      </c>
      <c r="M107" s="15">
        <v>1.66</v>
      </c>
      <c r="N107" s="15">
        <v>0.92100000000000004</v>
      </c>
      <c r="O107" s="15">
        <v>1.17</v>
      </c>
      <c r="P107" s="15">
        <v>1.19</v>
      </c>
      <c r="Q107" s="15">
        <v>0.65600000000000003</v>
      </c>
      <c r="R107" s="13">
        <v>0.4375</v>
      </c>
      <c r="S107" s="13">
        <v>1</v>
      </c>
      <c r="T107" s="13" t="str">
        <f>IF(S107=2,"Y",IF(J107/R107&lt;0.54*(SQRT(29000/'Steel Angle Lintel Design'!$H$31)),"Y","N"))</f>
        <v>Y</v>
      </c>
      <c r="U107" s="13" t="str">
        <f>IF(J107/R107&gt;0.91*(SQRT(29000/'Steel Angle Lintel Design'!$H$31)),"Y","N")</f>
        <v>N</v>
      </c>
      <c r="V107" s="13" t="s">
        <v>226</v>
      </c>
      <c r="W107" s="13"/>
      <c r="X107" s="13">
        <v>0.77800000000000002</v>
      </c>
      <c r="Y107" s="13">
        <v>27.2</v>
      </c>
      <c r="Z107" s="13">
        <v>15.1</v>
      </c>
      <c r="AA107" s="13">
        <v>0.48699999999999999</v>
      </c>
      <c r="AB107" s="13">
        <v>19.5</v>
      </c>
      <c r="AC107" s="13">
        <v>10.7</v>
      </c>
      <c r="AD107" s="8"/>
    </row>
    <row r="108" spans="1:30" s="9" customFormat="1" ht="15.75">
      <c r="A108" s="43" t="str">
        <f>IF(AND(H108=1,L108&gt;='Steel Angle Lintel Design'!$M$98,'AISC Angle Database'!N108&gt;='Steel Angle Lintel Design'!$M$96,'AISC Angle Database'!J108&gt;='Steel Angle Lintel Design'!$F$40,'AISC Angle Database'!J108&lt;='Steel Angle Lintel Design'!$F$41,'AISC Angle Database'!K108&gt;='Steel Angle Lintel Design'!$K$40,'AISC Angle Database'!K108&lt;='Steel Angle Lintel Design'!$K$41),1,"")</f>
        <v/>
      </c>
      <c r="B108" s="44">
        <f t="shared" si="5"/>
        <v>0</v>
      </c>
      <c r="C108" s="44">
        <f t="shared" si="6"/>
        <v>0</v>
      </c>
      <c r="D108" s="42" t="e">
        <f t="shared" ca="1" si="9"/>
        <v>#NAME?</v>
      </c>
      <c r="E108" s="44" t="e">
        <f t="shared" ca="1" si="7"/>
        <v>#NAME?</v>
      </c>
      <c r="F108" s="5" t="e">
        <f t="shared" ca="1" si="8"/>
        <v>#NAME?</v>
      </c>
      <c r="G108" s="15" t="s">
        <v>227</v>
      </c>
      <c r="H108" s="15">
        <f>IF('Steel Angle Lintel Design'!$AM$16=1,1,IF('Steel Angle Lintel Design'!$AM$16=2,0,1))</f>
        <v>0</v>
      </c>
      <c r="I108" s="18">
        <v>6.63</v>
      </c>
      <c r="J108" s="15">
        <v>3</v>
      </c>
      <c r="K108" s="15">
        <v>2.5</v>
      </c>
      <c r="L108" s="15">
        <v>1.65</v>
      </c>
      <c r="M108" s="15">
        <v>1.45</v>
      </c>
      <c r="N108" s="15">
        <v>0.80300000000000005</v>
      </c>
      <c r="O108" s="15">
        <v>1.03</v>
      </c>
      <c r="P108" s="15">
        <v>1.03</v>
      </c>
      <c r="Q108" s="15">
        <v>0.57299999999999995</v>
      </c>
      <c r="R108" s="13">
        <v>0.375</v>
      </c>
      <c r="S108" s="13">
        <v>1</v>
      </c>
      <c r="T108" s="13" t="str">
        <f>IF(S108=2,"Y",IF(J108/R108&lt;0.54*(SQRT(29000/'Steel Angle Lintel Design'!$H$31)),"Y","N"))</f>
        <v>Y</v>
      </c>
      <c r="U108" s="13" t="str">
        <f>IF(J108/R108&gt;0.91*(SQRT(29000/'Steel Angle Lintel Design'!$H$31)),"Y","N")</f>
        <v>N</v>
      </c>
      <c r="V108" s="13" t="s">
        <v>228</v>
      </c>
      <c r="W108" s="13"/>
      <c r="X108" s="13">
        <v>0.68700000000000006</v>
      </c>
      <c r="Y108" s="13">
        <v>23.8</v>
      </c>
      <c r="Z108" s="13">
        <v>13.2</v>
      </c>
      <c r="AA108" s="13">
        <v>0.42899999999999999</v>
      </c>
      <c r="AB108" s="13">
        <v>16.899999999999999</v>
      </c>
      <c r="AC108" s="13">
        <v>9.39</v>
      </c>
      <c r="AD108" s="8"/>
    </row>
    <row r="109" spans="1:30" s="9" customFormat="1" ht="15.75">
      <c r="A109" s="43" t="str">
        <f>IF(AND(H109=1,L109&gt;='Steel Angle Lintel Design'!$M$98,'AISC Angle Database'!N109&gt;='Steel Angle Lintel Design'!$M$96,'AISC Angle Database'!J109&gt;='Steel Angle Lintel Design'!$F$40,'AISC Angle Database'!J109&lt;='Steel Angle Lintel Design'!$F$41,'AISC Angle Database'!K109&gt;='Steel Angle Lintel Design'!$K$40,'AISC Angle Database'!K109&lt;='Steel Angle Lintel Design'!$K$41),1,"")</f>
        <v/>
      </c>
      <c r="B109" s="44">
        <f t="shared" si="5"/>
        <v>0</v>
      </c>
      <c r="C109" s="44">
        <f t="shared" si="6"/>
        <v>0</v>
      </c>
      <c r="D109" s="42" t="e">
        <f t="shared" ca="1" si="9"/>
        <v>#NAME?</v>
      </c>
      <c r="E109" s="44" t="e">
        <f t="shared" ca="1" si="7"/>
        <v>#NAME?</v>
      </c>
      <c r="F109" s="5" t="e">
        <f t="shared" ca="1" si="8"/>
        <v>#NAME?</v>
      </c>
      <c r="G109" s="15" t="s">
        <v>229</v>
      </c>
      <c r="H109" s="15">
        <f>IF('Steel Angle Lintel Design'!$AM$16=1,1,IF('Steel Angle Lintel Design'!$AM$16=2,0,1))</f>
        <v>0</v>
      </c>
      <c r="I109" s="18">
        <v>5.6</v>
      </c>
      <c r="J109" s="15">
        <v>3</v>
      </c>
      <c r="K109" s="15">
        <v>2.5</v>
      </c>
      <c r="L109" s="15">
        <v>1.41</v>
      </c>
      <c r="M109" s="15">
        <v>1.23</v>
      </c>
      <c r="N109" s="15">
        <v>0.68100000000000005</v>
      </c>
      <c r="O109" s="15">
        <v>0.88800000000000001</v>
      </c>
      <c r="P109" s="15">
        <v>0.873</v>
      </c>
      <c r="Q109" s="15">
        <v>0.48699999999999999</v>
      </c>
      <c r="R109" s="13">
        <v>0.3125</v>
      </c>
      <c r="S109" s="13">
        <v>1</v>
      </c>
      <c r="T109" s="13" t="str">
        <f>IF(S109=2,"Y",IF(J109/R109&lt;0.54*(SQRT(29000/'Steel Angle Lintel Design'!$H$31)),"Y","N"))</f>
        <v>Y</v>
      </c>
      <c r="U109" s="13" t="str">
        <f>IF(J109/R109&gt;0.91*(SQRT(29000/'Steel Angle Lintel Design'!$H$31)),"Y","N")</f>
        <v>N</v>
      </c>
      <c r="V109" s="13" t="s">
        <v>230</v>
      </c>
      <c r="W109" s="13"/>
      <c r="X109" s="13">
        <v>0.58699999999999997</v>
      </c>
      <c r="Y109" s="13">
        <v>20.2</v>
      </c>
      <c r="Z109" s="13">
        <v>11.2</v>
      </c>
      <c r="AA109" s="13">
        <v>0.37</v>
      </c>
      <c r="AB109" s="13">
        <v>14.3</v>
      </c>
      <c r="AC109" s="13">
        <v>7.98</v>
      </c>
      <c r="AD109" s="8"/>
    </row>
    <row r="110" spans="1:30" s="9" customFormat="1" ht="15.75">
      <c r="A110" s="43" t="str">
        <f>IF(AND(H110=1,L110&gt;='Steel Angle Lintel Design'!$M$98,'AISC Angle Database'!N110&gt;='Steel Angle Lintel Design'!$M$96,'AISC Angle Database'!J110&gt;='Steel Angle Lintel Design'!$F$40,'AISC Angle Database'!J110&lt;='Steel Angle Lintel Design'!$F$41,'AISC Angle Database'!K110&gt;='Steel Angle Lintel Design'!$K$40,'AISC Angle Database'!K110&lt;='Steel Angle Lintel Design'!$K$41),1,"")</f>
        <v/>
      </c>
      <c r="B110" s="44">
        <f t="shared" si="5"/>
        <v>0</v>
      </c>
      <c r="C110" s="44">
        <f t="shared" si="6"/>
        <v>0</v>
      </c>
      <c r="D110" s="42" t="e">
        <f t="shared" ca="1" si="9"/>
        <v>#NAME?</v>
      </c>
      <c r="E110" s="44" t="e">
        <f t="shared" ca="1" si="7"/>
        <v>#NAME?</v>
      </c>
      <c r="F110" s="5" t="e">
        <f t="shared" ca="1" si="8"/>
        <v>#NAME?</v>
      </c>
      <c r="G110" s="15" t="s">
        <v>231</v>
      </c>
      <c r="H110" s="15">
        <f>IF('Steel Angle Lintel Design'!$AM$16=1,1,IF('Steel Angle Lintel Design'!$AM$16=2,0,1))</f>
        <v>0</v>
      </c>
      <c r="I110" s="18">
        <v>4.51</v>
      </c>
      <c r="J110" s="15">
        <v>3</v>
      </c>
      <c r="K110" s="15">
        <v>2.5</v>
      </c>
      <c r="L110" s="15">
        <v>1.1599999999999999</v>
      </c>
      <c r="M110" s="15">
        <v>1</v>
      </c>
      <c r="N110" s="15">
        <v>0.55500000000000005</v>
      </c>
      <c r="O110" s="15">
        <v>0.73399999999999999</v>
      </c>
      <c r="P110" s="15">
        <v>0.70699999999999996</v>
      </c>
      <c r="Q110" s="15">
        <v>0.39700000000000002</v>
      </c>
      <c r="R110" s="13">
        <v>0.25</v>
      </c>
      <c r="S110" s="13">
        <v>1</v>
      </c>
      <c r="T110" s="13" t="str">
        <f>IF(S110=2,"Y",IF(J110/R110&lt;0.54*(SQRT(29000/'Steel Angle Lintel Design'!$H$31)),"Y","N"))</f>
        <v>Y</v>
      </c>
      <c r="U110" s="13" t="str">
        <f>IF(J110/R110&gt;0.91*(SQRT(29000/'Steel Angle Lintel Design'!$H$31)),"Y","N")</f>
        <v>N</v>
      </c>
      <c r="V110" s="13" t="s">
        <v>232</v>
      </c>
      <c r="W110" s="13"/>
      <c r="X110" s="13">
        <v>0.48299999999999998</v>
      </c>
      <c r="Y110" s="13">
        <v>16.399999999999999</v>
      </c>
      <c r="Z110" s="13">
        <v>9.09</v>
      </c>
      <c r="AA110" s="13">
        <v>0.30599999999999999</v>
      </c>
      <c r="AB110" s="13">
        <v>11.6</v>
      </c>
      <c r="AC110" s="13">
        <v>6.51</v>
      </c>
      <c r="AD110" s="8"/>
    </row>
    <row r="111" spans="1:30" s="9" customFormat="1" ht="15.75">
      <c r="A111" s="43" t="str">
        <f>IF(AND(H111=1,L111&gt;='Steel Angle Lintel Design'!$M$98,'AISC Angle Database'!N111&gt;='Steel Angle Lintel Design'!$M$96,'AISC Angle Database'!J111&gt;='Steel Angle Lintel Design'!$F$40,'AISC Angle Database'!J111&lt;='Steel Angle Lintel Design'!$F$41,'AISC Angle Database'!K111&gt;='Steel Angle Lintel Design'!$K$40,'AISC Angle Database'!K111&lt;='Steel Angle Lintel Design'!$K$41),1,"")</f>
        <v/>
      </c>
      <c r="B111" s="44">
        <f t="shared" si="5"/>
        <v>0</v>
      </c>
      <c r="C111" s="44">
        <f t="shared" si="6"/>
        <v>0</v>
      </c>
      <c r="D111" s="42" t="e">
        <f t="shared" ca="1" si="9"/>
        <v>#NAME?</v>
      </c>
      <c r="E111" s="44" t="e">
        <f t="shared" ca="1" si="7"/>
        <v>#NAME?</v>
      </c>
      <c r="F111" s="5" t="e">
        <f t="shared" ca="1" si="8"/>
        <v>#NAME?</v>
      </c>
      <c r="G111" s="15" t="s">
        <v>233</v>
      </c>
      <c r="H111" s="15">
        <f>IF('Steel Angle Lintel Design'!$AM$16=1,1,IF('Steel Angle Lintel Design'!$AM$16=2,0,1))</f>
        <v>0</v>
      </c>
      <c r="I111" s="18">
        <v>3.39</v>
      </c>
      <c r="J111" s="15">
        <v>3</v>
      </c>
      <c r="K111" s="15">
        <v>2.5</v>
      </c>
      <c r="L111" s="15">
        <v>0.89900000000000002</v>
      </c>
      <c r="M111" s="15">
        <v>0.76100000000000001</v>
      </c>
      <c r="N111" s="15">
        <v>0.42299999999999999</v>
      </c>
      <c r="O111" s="15">
        <v>0.56799999999999995</v>
      </c>
      <c r="P111" s="15">
        <v>0.53600000000000003</v>
      </c>
      <c r="Q111" s="15">
        <v>0.30299999999999999</v>
      </c>
      <c r="R111" s="13">
        <v>0.1875</v>
      </c>
      <c r="S111" s="13">
        <v>1</v>
      </c>
      <c r="T111" s="13" t="str">
        <f>IF(S111=2,"Y",IF(J111/R111&lt;0.54*(SQRT(29000/'Steel Angle Lintel Design'!$H$31)),"Y","N"))</f>
        <v>N</v>
      </c>
      <c r="U111" s="13" t="str">
        <f>IF(J111/R111&gt;0.91*(SQRT(29000/'Steel Angle Lintel Design'!$H$31)),"Y","N")</f>
        <v>N</v>
      </c>
      <c r="V111" s="13" t="s">
        <v>234</v>
      </c>
      <c r="W111" s="13"/>
      <c r="X111" s="13">
        <v>0.374</v>
      </c>
      <c r="Y111" s="13">
        <v>12.5</v>
      </c>
      <c r="Z111" s="13">
        <v>6.93</v>
      </c>
      <c r="AA111" s="13">
        <v>0.23599999999999999</v>
      </c>
      <c r="AB111" s="13">
        <v>8.7799999999999994</v>
      </c>
      <c r="AC111" s="13">
        <v>4.97</v>
      </c>
      <c r="AD111" s="8"/>
    </row>
    <row r="112" spans="1:30" s="9" customFormat="1" ht="15.75">
      <c r="A112" s="43" t="str">
        <f>IF(AND(H112=1,L112&gt;='Steel Angle Lintel Design'!$M$98,'AISC Angle Database'!N112&gt;='Steel Angle Lintel Design'!$M$96,'AISC Angle Database'!J112&gt;='Steel Angle Lintel Design'!$F$40,'AISC Angle Database'!J112&lt;='Steel Angle Lintel Design'!$F$41,'AISC Angle Database'!K112&gt;='Steel Angle Lintel Design'!$K$40,'AISC Angle Database'!K112&lt;='Steel Angle Lintel Design'!$K$41),1,"")</f>
        <v/>
      </c>
      <c r="B112" s="44">
        <f t="shared" si="5"/>
        <v>0</v>
      </c>
      <c r="C112" s="44">
        <f t="shared" si="6"/>
        <v>0</v>
      </c>
      <c r="D112" s="42" t="e">
        <f t="shared" ca="1" si="9"/>
        <v>#NAME?</v>
      </c>
      <c r="E112" s="44" t="e">
        <f t="shared" ca="1" si="7"/>
        <v>#NAME?</v>
      </c>
      <c r="F112" s="5" t="e">
        <f t="shared" ca="1" si="8"/>
        <v>#NAME?</v>
      </c>
      <c r="G112" s="15" t="s">
        <v>235</v>
      </c>
      <c r="H112" s="15">
        <f>IF('Steel Angle Lintel Design'!$AM$16=1,1,IF('Steel Angle Lintel Design'!$AM$16=2,0,1))</f>
        <v>0</v>
      </c>
      <c r="I112" s="19">
        <v>7.71</v>
      </c>
      <c r="J112" s="15">
        <v>3</v>
      </c>
      <c r="K112" s="15">
        <v>2</v>
      </c>
      <c r="L112" s="15">
        <v>1.92</v>
      </c>
      <c r="M112" s="15">
        <v>1.78</v>
      </c>
      <c r="N112" s="15">
        <v>1</v>
      </c>
      <c r="O112" s="15">
        <v>0.66700000000000004</v>
      </c>
      <c r="P112" s="15">
        <v>0.88700000000000001</v>
      </c>
      <c r="Q112" s="15">
        <v>0.47</v>
      </c>
      <c r="R112" s="13">
        <v>0.5</v>
      </c>
      <c r="S112" s="13">
        <v>1</v>
      </c>
      <c r="T112" s="13" t="str">
        <f>IF(S112=2,"Y",IF(J112/R112&lt;0.54*(SQRT(29000/'Steel Angle Lintel Design'!$H$31)),"Y","N"))</f>
        <v>Y</v>
      </c>
      <c r="U112" s="13" t="str">
        <f>IF(J112/R112&gt;0.91*(SQRT(29000/'Steel Angle Lintel Design'!$H$31)),"Y","N")</f>
        <v>N</v>
      </c>
      <c r="V112" s="13" t="s">
        <v>236</v>
      </c>
      <c r="W112" s="13"/>
      <c r="X112" s="13">
        <v>0.79900000000000004</v>
      </c>
      <c r="Y112" s="13">
        <v>29.2</v>
      </c>
      <c r="Z112" s="13">
        <v>16.399999999999999</v>
      </c>
      <c r="AA112" s="13">
        <v>0.27800000000000002</v>
      </c>
      <c r="AB112" s="13">
        <v>14.5</v>
      </c>
      <c r="AC112" s="13">
        <v>7.7</v>
      </c>
      <c r="AD112" s="8"/>
    </row>
    <row r="113" spans="1:30" s="8" customFormat="1" ht="15.75">
      <c r="A113" s="43" t="str">
        <f>IF(AND(H113=1,L113&gt;='Steel Angle Lintel Design'!$M$98,'AISC Angle Database'!N113&gt;='Steel Angle Lintel Design'!$M$96,'AISC Angle Database'!J113&gt;='Steel Angle Lintel Design'!$F$40,'AISC Angle Database'!J113&lt;='Steel Angle Lintel Design'!$F$41,'AISC Angle Database'!K113&gt;='Steel Angle Lintel Design'!$K$40,'AISC Angle Database'!K113&lt;='Steel Angle Lintel Design'!$K$41),1,"")</f>
        <v/>
      </c>
      <c r="B113" s="44">
        <f t="shared" si="5"/>
        <v>0</v>
      </c>
      <c r="C113" s="44">
        <f t="shared" si="6"/>
        <v>0</v>
      </c>
      <c r="D113" s="42" t="e">
        <f t="shared" ca="1" si="9"/>
        <v>#NAME?</v>
      </c>
      <c r="E113" s="44" t="e">
        <f t="shared" ca="1" si="7"/>
        <v>#NAME?</v>
      </c>
      <c r="F113" s="5" t="e">
        <f t="shared" ca="1" si="8"/>
        <v>#NAME?</v>
      </c>
      <c r="G113" s="15" t="s">
        <v>237</v>
      </c>
      <c r="H113" s="15">
        <f>IF('Steel Angle Lintel Design'!$AM$16=1,1,IF('Steel Angle Lintel Design'!$AM$16=2,0,1))</f>
        <v>0</v>
      </c>
      <c r="I113" s="18">
        <v>5.91</v>
      </c>
      <c r="J113" s="15">
        <v>3</v>
      </c>
      <c r="K113" s="15">
        <v>2</v>
      </c>
      <c r="L113" s="15">
        <v>1.54</v>
      </c>
      <c r="M113" s="15">
        <v>1.39</v>
      </c>
      <c r="N113" s="15">
        <v>0.77900000000000003</v>
      </c>
      <c r="O113" s="15">
        <v>0.53900000000000003</v>
      </c>
      <c r="P113" s="15">
        <v>0.67900000000000005</v>
      </c>
      <c r="Q113" s="15">
        <v>0.36799999999999999</v>
      </c>
      <c r="R113" s="13">
        <v>0.375</v>
      </c>
      <c r="S113" s="13">
        <v>1</v>
      </c>
      <c r="T113" s="13" t="str">
        <f>IF(S113=2,"Y",IF(J113/R113&lt;0.54*(SQRT(29000/'Steel Angle Lintel Design'!$H$31)),"Y","N"))</f>
        <v>Y</v>
      </c>
      <c r="U113" s="13" t="str">
        <f>IF(J113/R113&gt;0.91*(SQRT(29000/'Steel Angle Lintel Design'!$H$31)),"Y","N")</f>
        <v>N</v>
      </c>
      <c r="V113" s="13" t="s">
        <v>238</v>
      </c>
      <c r="W113" s="13"/>
      <c r="X113" s="13">
        <v>0.64100000000000001</v>
      </c>
      <c r="Y113" s="13">
        <v>22.8</v>
      </c>
      <c r="Z113" s="13">
        <v>12.8</v>
      </c>
      <c r="AA113" s="13">
        <v>0.224</v>
      </c>
      <c r="AB113" s="13">
        <v>11.1</v>
      </c>
      <c r="AC113" s="13">
        <v>6.03</v>
      </c>
    </row>
    <row r="114" spans="1:30" s="9" customFormat="1" ht="15.75">
      <c r="A114" s="43" t="str">
        <f>IF(AND(H114=1,L114&gt;='Steel Angle Lintel Design'!$M$98,'AISC Angle Database'!N114&gt;='Steel Angle Lintel Design'!$M$96,'AISC Angle Database'!J114&gt;='Steel Angle Lintel Design'!$F$40,'AISC Angle Database'!J114&lt;='Steel Angle Lintel Design'!$F$41,'AISC Angle Database'!K114&gt;='Steel Angle Lintel Design'!$K$40,'AISC Angle Database'!K114&lt;='Steel Angle Lintel Design'!$K$41),1,"")</f>
        <v/>
      </c>
      <c r="B114" s="44">
        <f t="shared" si="5"/>
        <v>0</v>
      </c>
      <c r="C114" s="44">
        <f t="shared" si="6"/>
        <v>0</v>
      </c>
      <c r="D114" s="42" t="e">
        <f t="shared" ca="1" si="9"/>
        <v>#NAME?</v>
      </c>
      <c r="E114" s="44" t="e">
        <f t="shared" ca="1" si="7"/>
        <v>#NAME?</v>
      </c>
      <c r="F114" s="5" t="e">
        <f t="shared" ca="1" si="8"/>
        <v>#NAME?</v>
      </c>
      <c r="G114" s="15" t="s">
        <v>239</v>
      </c>
      <c r="H114" s="15">
        <f>IF('Steel Angle Lintel Design'!$AM$16=1,1,IF('Steel Angle Lintel Design'!$AM$16=2,0,1))</f>
        <v>0</v>
      </c>
      <c r="I114" s="18">
        <v>5.01</v>
      </c>
      <c r="J114" s="15">
        <v>3</v>
      </c>
      <c r="K114" s="15">
        <v>2</v>
      </c>
      <c r="L114" s="15">
        <v>1.32</v>
      </c>
      <c r="M114" s="15">
        <v>1.19</v>
      </c>
      <c r="N114" s="15">
        <v>0.66200000000000003</v>
      </c>
      <c r="O114" s="15">
        <v>0.46700000000000003</v>
      </c>
      <c r="P114" s="15">
        <v>0.57199999999999995</v>
      </c>
      <c r="Q114" s="15">
        <v>0.314</v>
      </c>
      <c r="R114" s="13">
        <v>0.3125</v>
      </c>
      <c r="S114" s="13">
        <v>1</v>
      </c>
      <c r="T114" s="13" t="str">
        <f>IF(S114=2,"Y",IF(J114/R114&lt;0.54*(SQRT(29000/'Steel Angle Lintel Design'!$H$31)),"Y","N"))</f>
        <v>Y</v>
      </c>
      <c r="U114" s="13" t="str">
        <f>IF(J114/R114&gt;0.91*(SQRT(29000/'Steel Angle Lintel Design'!$H$31)),"Y","N")</f>
        <v>N</v>
      </c>
      <c r="V114" s="13" t="s">
        <v>240</v>
      </c>
      <c r="W114" s="13"/>
      <c r="X114" s="13">
        <v>0.54900000000000004</v>
      </c>
      <c r="Y114" s="13">
        <v>19.5</v>
      </c>
      <c r="Z114" s="13">
        <v>10.8</v>
      </c>
      <c r="AA114" s="13">
        <v>0.19400000000000001</v>
      </c>
      <c r="AB114" s="13">
        <v>9.3699999999999992</v>
      </c>
      <c r="AC114" s="13">
        <v>5.15</v>
      </c>
      <c r="AD114" s="8"/>
    </row>
    <row r="115" spans="1:30" s="9" customFormat="1" ht="15.75">
      <c r="A115" s="43" t="str">
        <f>IF(AND(H115=1,L115&gt;='Steel Angle Lintel Design'!$M$98,'AISC Angle Database'!N115&gt;='Steel Angle Lintel Design'!$M$96,'AISC Angle Database'!J115&gt;='Steel Angle Lintel Design'!$F$40,'AISC Angle Database'!J115&lt;='Steel Angle Lintel Design'!$F$41,'AISC Angle Database'!K115&gt;='Steel Angle Lintel Design'!$K$40,'AISC Angle Database'!K115&lt;='Steel Angle Lintel Design'!$K$41),1,"")</f>
        <v/>
      </c>
      <c r="B115" s="44">
        <f t="shared" si="5"/>
        <v>0</v>
      </c>
      <c r="C115" s="44">
        <f t="shared" si="6"/>
        <v>0</v>
      </c>
      <c r="D115" s="42" t="e">
        <f t="shared" ca="1" si="9"/>
        <v>#NAME?</v>
      </c>
      <c r="E115" s="44" t="e">
        <f t="shared" ca="1" si="7"/>
        <v>#NAME?</v>
      </c>
      <c r="F115" s="5" t="e">
        <f t="shared" ca="1" si="8"/>
        <v>#NAME?</v>
      </c>
      <c r="G115" s="15" t="s">
        <v>241</v>
      </c>
      <c r="H115" s="15">
        <f>IF('Steel Angle Lintel Design'!$AM$16=1,1,IF('Steel Angle Lintel Design'!$AM$16=2,0,1))</f>
        <v>0</v>
      </c>
      <c r="I115" s="18">
        <v>4.1100000000000003</v>
      </c>
      <c r="J115" s="15">
        <v>3</v>
      </c>
      <c r="K115" s="15">
        <v>2</v>
      </c>
      <c r="L115" s="15">
        <v>1.0900000000000001</v>
      </c>
      <c r="M115" s="15">
        <v>0.96899999999999997</v>
      </c>
      <c r="N115" s="15">
        <v>0.54100000000000004</v>
      </c>
      <c r="O115" s="15">
        <v>0.39</v>
      </c>
      <c r="P115" s="15">
        <v>0.46300000000000002</v>
      </c>
      <c r="Q115" s="15">
        <v>0.25800000000000001</v>
      </c>
      <c r="R115" s="13">
        <v>0.25</v>
      </c>
      <c r="S115" s="13">
        <v>1</v>
      </c>
      <c r="T115" s="13" t="str">
        <f>IF(S115=2,"Y",IF(J115/R115&lt;0.54*(SQRT(29000/'Steel Angle Lintel Design'!$H$31)),"Y","N"))</f>
        <v>Y</v>
      </c>
      <c r="U115" s="13" t="str">
        <f>IF(J115/R115&gt;0.91*(SQRT(29000/'Steel Angle Lintel Design'!$H$31)),"Y","N")</f>
        <v>N</v>
      </c>
      <c r="V115" s="13" t="s">
        <v>242</v>
      </c>
      <c r="W115" s="13"/>
      <c r="X115" s="13">
        <v>0.45400000000000001</v>
      </c>
      <c r="Y115" s="13">
        <v>15.9</v>
      </c>
      <c r="Z115" s="13">
        <v>8.8699999999999992</v>
      </c>
      <c r="AA115" s="13">
        <v>0.16200000000000001</v>
      </c>
      <c r="AB115" s="13">
        <v>7.59</v>
      </c>
      <c r="AC115" s="13">
        <v>4.2300000000000004</v>
      </c>
      <c r="AD115" s="8"/>
    </row>
    <row r="116" spans="1:30" s="9" customFormat="1" ht="15.75">
      <c r="A116" s="43" t="str">
        <f>IF(AND(H116=1,L116&gt;='Steel Angle Lintel Design'!$M$98,'AISC Angle Database'!N116&gt;='Steel Angle Lintel Design'!$M$96,'AISC Angle Database'!J116&gt;='Steel Angle Lintel Design'!$F$40,'AISC Angle Database'!J116&lt;='Steel Angle Lintel Design'!$F$41,'AISC Angle Database'!K116&gt;='Steel Angle Lintel Design'!$K$40,'AISC Angle Database'!K116&lt;='Steel Angle Lintel Design'!$K$41),1,"")</f>
        <v/>
      </c>
      <c r="B116" s="44">
        <f t="shared" si="5"/>
        <v>0</v>
      </c>
      <c r="C116" s="44">
        <f t="shared" si="6"/>
        <v>0</v>
      </c>
      <c r="D116" s="42" t="e">
        <f t="shared" ca="1" si="9"/>
        <v>#NAME?</v>
      </c>
      <c r="E116" s="44" t="e">
        <f t="shared" ca="1" si="7"/>
        <v>#NAME?</v>
      </c>
      <c r="F116" s="5" t="e">
        <f t="shared" ca="1" si="8"/>
        <v>#NAME?</v>
      </c>
      <c r="G116" s="15" t="s">
        <v>243</v>
      </c>
      <c r="H116" s="15">
        <f>IF('Steel Angle Lintel Design'!$AM$16=1,1,IF('Steel Angle Lintel Design'!$AM$16=2,0,1))</f>
        <v>0</v>
      </c>
      <c r="I116" s="18">
        <v>3.08</v>
      </c>
      <c r="J116" s="15">
        <v>3</v>
      </c>
      <c r="K116" s="15">
        <v>2</v>
      </c>
      <c r="L116" s="15">
        <v>0.84699999999999998</v>
      </c>
      <c r="M116" s="15">
        <v>0.74299999999999999</v>
      </c>
      <c r="N116" s="15">
        <v>0.41399999999999998</v>
      </c>
      <c r="O116" s="15">
        <v>0.30499999999999999</v>
      </c>
      <c r="P116" s="15">
        <v>0.35099999999999998</v>
      </c>
      <c r="Q116" s="15">
        <v>0.19800000000000001</v>
      </c>
      <c r="R116" s="13">
        <v>0.1875</v>
      </c>
      <c r="S116" s="13">
        <v>1</v>
      </c>
      <c r="T116" s="13" t="str">
        <f>IF(S116=2,"Y",IF(J116/R116&lt;0.54*(SQRT(29000/'Steel Angle Lintel Design'!$H$31)),"Y","N"))</f>
        <v>N</v>
      </c>
      <c r="U116" s="13" t="str">
        <f>IF(J116/R116&gt;0.91*(SQRT(29000/'Steel Angle Lintel Design'!$H$31)),"Y","N")</f>
        <v>N</v>
      </c>
      <c r="V116" s="13" t="s">
        <v>244</v>
      </c>
      <c r="W116" s="13"/>
      <c r="X116" s="13">
        <v>0.35299999999999998</v>
      </c>
      <c r="Y116" s="13">
        <v>12.2</v>
      </c>
      <c r="Z116" s="13">
        <v>6.78</v>
      </c>
      <c r="AA116" s="13">
        <v>0.127</v>
      </c>
      <c r="AB116" s="13">
        <v>5.75</v>
      </c>
      <c r="AC116" s="13">
        <v>3.24</v>
      </c>
      <c r="AD116" s="8"/>
    </row>
    <row r="117" spans="1:30" s="9" customFormat="1" ht="15.75">
      <c r="A117" s="43" t="str">
        <f>IF(AND(H117=1,L117&gt;='Steel Angle Lintel Design'!$M$98,'AISC Angle Database'!N117&gt;='Steel Angle Lintel Design'!$M$96,'AISC Angle Database'!J117&gt;='Steel Angle Lintel Design'!$F$40,'AISC Angle Database'!J117&lt;='Steel Angle Lintel Design'!$F$41,'AISC Angle Database'!K117&gt;='Steel Angle Lintel Design'!$K$40,'AISC Angle Database'!K117&lt;='Steel Angle Lintel Design'!$K$41),1,"")</f>
        <v/>
      </c>
      <c r="B117" s="44">
        <f t="shared" si="5"/>
        <v>0</v>
      </c>
      <c r="C117" s="44">
        <f t="shared" si="6"/>
        <v>0</v>
      </c>
      <c r="D117" s="42" t="e">
        <f t="shared" ca="1" si="9"/>
        <v>#NAME?</v>
      </c>
      <c r="E117" s="44" t="e">
        <f t="shared" ca="1" si="7"/>
        <v>#NAME?</v>
      </c>
      <c r="F117" s="5" t="e">
        <f t="shared" ca="1" si="8"/>
        <v>#NAME?</v>
      </c>
      <c r="G117" s="15" t="s">
        <v>245</v>
      </c>
      <c r="H117" s="15">
        <f>IF('Steel Angle Lintel Design'!$AM$16=1,1,IF('Steel Angle Lintel Design'!$AM$16=2,0,1))</f>
        <v>0</v>
      </c>
      <c r="I117" s="18">
        <v>7.7</v>
      </c>
      <c r="J117" s="15">
        <v>2.5</v>
      </c>
      <c r="K117" s="15">
        <v>2.5</v>
      </c>
      <c r="L117" s="15">
        <v>1.22</v>
      </c>
      <c r="M117" s="15">
        <v>1.29</v>
      </c>
      <c r="N117" s="15">
        <v>0.71599999999999997</v>
      </c>
      <c r="O117" s="15">
        <v>1.22</v>
      </c>
      <c r="P117" s="15">
        <v>1.29</v>
      </c>
      <c r="Q117" s="15">
        <v>0.71599999999999997</v>
      </c>
      <c r="R117" s="13">
        <v>0.5</v>
      </c>
      <c r="S117" s="13">
        <v>1</v>
      </c>
      <c r="T117" s="13" t="str">
        <f>IF(S117=2,"Y",IF(J117/R117&lt;0.54*(SQRT(29000/'Steel Angle Lintel Design'!$H$31)),"Y","N"))</f>
        <v>Y</v>
      </c>
      <c r="U117" s="13" t="str">
        <f>IF(J117/R117&gt;0.91*(SQRT(29000/'Steel Angle Lintel Design'!$H$31)),"Y","N")</f>
        <v>N</v>
      </c>
      <c r="V117" s="13" t="s">
        <v>246</v>
      </c>
      <c r="W117" s="13"/>
      <c r="X117" s="13">
        <v>0.50800000000000001</v>
      </c>
      <c r="Y117" s="13">
        <v>21.1</v>
      </c>
      <c r="Z117" s="13">
        <v>11.7</v>
      </c>
      <c r="AA117" s="13">
        <v>0.50800000000000001</v>
      </c>
      <c r="AB117" s="13">
        <v>21.1</v>
      </c>
      <c r="AC117" s="13">
        <v>11.7</v>
      </c>
      <c r="AD117" s="8"/>
    </row>
    <row r="118" spans="1:30" s="9" customFormat="1" ht="15.75">
      <c r="A118" s="43" t="str">
        <f>IF(AND(H118=1,L118&gt;='Steel Angle Lintel Design'!$M$98,'AISC Angle Database'!N118&gt;='Steel Angle Lintel Design'!$M$96,'AISC Angle Database'!J118&gt;='Steel Angle Lintel Design'!$F$40,'AISC Angle Database'!J118&lt;='Steel Angle Lintel Design'!$F$41,'AISC Angle Database'!K118&gt;='Steel Angle Lintel Design'!$K$40,'AISC Angle Database'!K118&lt;='Steel Angle Lintel Design'!$K$41),1,"")</f>
        <v/>
      </c>
      <c r="B118" s="44">
        <f t="shared" si="5"/>
        <v>0</v>
      </c>
      <c r="C118" s="44">
        <f t="shared" si="6"/>
        <v>0</v>
      </c>
      <c r="D118" s="42" t="e">
        <f t="shared" ca="1" si="9"/>
        <v>#NAME?</v>
      </c>
      <c r="E118" s="44" t="e">
        <f t="shared" ca="1" si="7"/>
        <v>#NAME?</v>
      </c>
      <c r="F118" s="5" t="e">
        <f t="shared" ca="1" si="8"/>
        <v>#NAME?</v>
      </c>
      <c r="G118" s="15" t="s">
        <v>247</v>
      </c>
      <c r="H118" s="15">
        <f>IF('Steel Angle Lintel Design'!$AM$16=1,1,IF('Steel Angle Lintel Design'!$AM$16=2,0,1))</f>
        <v>0</v>
      </c>
      <c r="I118" s="18">
        <v>5.9</v>
      </c>
      <c r="J118" s="15">
        <v>2.5</v>
      </c>
      <c r="K118" s="15">
        <v>2.5</v>
      </c>
      <c r="L118" s="15">
        <v>0.97199999999999998</v>
      </c>
      <c r="M118" s="15">
        <v>1.01</v>
      </c>
      <c r="N118" s="15">
        <v>0.55800000000000005</v>
      </c>
      <c r="O118" s="15">
        <v>0.97199999999999998</v>
      </c>
      <c r="P118" s="15">
        <v>1</v>
      </c>
      <c r="Q118" s="15">
        <v>0.55800000000000005</v>
      </c>
      <c r="R118" s="13">
        <v>0.375</v>
      </c>
      <c r="S118" s="13">
        <v>1</v>
      </c>
      <c r="T118" s="13" t="str">
        <f>IF(S118=2,"Y",IF(J118/R118&lt;0.54*(SQRT(29000/'Steel Angle Lintel Design'!$H$31)),"Y","N"))</f>
        <v>Y</v>
      </c>
      <c r="U118" s="13" t="str">
        <f>IF(J118/R118&gt;0.91*(SQRT(29000/'Steel Angle Lintel Design'!$H$31)),"Y","N")</f>
        <v>N</v>
      </c>
      <c r="V118" s="13" t="s">
        <v>248</v>
      </c>
      <c r="W118" s="13"/>
      <c r="X118" s="13">
        <v>0.40500000000000003</v>
      </c>
      <c r="Y118" s="13">
        <v>16.600000000000001</v>
      </c>
      <c r="Z118" s="13">
        <v>9.14</v>
      </c>
      <c r="AA118" s="13">
        <v>0.40500000000000003</v>
      </c>
      <c r="AB118" s="13">
        <v>16.399999999999999</v>
      </c>
      <c r="AC118" s="13">
        <v>9.14</v>
      </c>
      <c r="AD118" s="8"/>
    </row>
    <row r="119" spans="1:30" s="9" customFormat="1" ht="15.75">
      <c r="A119" s="43" t="str">
        <f>IF(AND(H119=1,L119&gt;='Steel Angle Lintel Design'!$M$98,'AISC Angle Database'!N119&gt;='Steel Angle Lintel Design'!$M$96,'AISC Angle Database'!J119&gt;='Steel Angle Lintel Design'!$F$40,'AISC Angle Database'!J119&lt;='Steel Angle Lintel Design'!$F$41,'AISC Angle Database'!K119&gt;='Steel Angle Lintel Design'!$K$40,'AISC Angle Database'!K119&lt;='Steel Angle Lintel Design'!$K$41),1,"")</f>
        <v/>
      </c>
      <c r="B119" s="44">
        <f t="shared" si="5"/>
        <v>0</v>
      </c>
      <c r="C119" s="44">
        <f t="shared" si="6"/>
        <v>0</v>
      </c>
      <c r="D119" s="42" t="e">
        <f t="shared" ca="1" si="9"/>
        <v>#NAME?</v>
      </c>
      <c r="E119" s="44" t="e">
        <f t="shared" ca="1" si="7"/>
        <v>#NAME?</v>
      </c>
      <c r="F119" s="5" t="e">
        <f t="shared" ca="1" si="8"/>
        <v>#NAME?</v>
      </c>
      <c r="G119" s="15" t="s">
        <v>249</v>
      </c>
      <c r="H119" s="15">
        <f>IF('Steel Angle Lintel Design'!$AM$16=1,1,IF('Steel Angle Lintel Design'!$AM$16=2,0,1))</f>
        <v>0</v>
      </c>
      <c r="I119" s="18">
        <v>5</v>
      </c>
      <c r="J119" s="15">
        <v>2.5</v>
      </c>
      <c r="K119" s="15">
        <v>2.5</v>
      </c>
      <c r="L119" s="15">
        <v>0.83699999999999997</v>
      </c>
      <c r="M119" s="15">
        <v>0.85299999999999998</v>
      </c>
      <c r="N119" s="15">
        <v>0.47399999999999998</v>
      </c>
      <c r="O119" s="15">
        <v>0.83699999999999997</v>
      </c>
      <c r="P119" s="15">
        <v>0.85299999999999998</v>
      </c>
      <c r="Q119" s="15">
        <v>0.47399999999999998</v>
      </c>
      <c r="R119" s="13">
        <v>0.3125</v>
      </c>
      <c r="S119" s="13">
        <v>1</v>
      </c>
      <c r="T119" s="13" t="str">
        <f>IF(S119=2,"Y",IF(J119/R119&lt;0.54*(SQRT(29000/'Steel Angle Lintel Design'!$H$31)),"Y","N"))</f>
        <v>Y</v>
      </c>
      <c r="U119" s="13" t="str">
        <f>IF(J119/R119&gt;0.91*(SQRT(29000/'Steel Angle Lintel Design'!$H$31)),"Y","N")</f>
        <v>N</v>
      </c>
      <c r="V119" s="13" t="s">
        <v>250</v>
      </c>
      <c r="W119" s="13"/>
      <c r="X119" s="13">
        <v>0.34799999999999998</v>
      </c>
      <c r="Y119" s="13">
        <v>14</v>
      </c>
      <c r="Z119" s="13">
        <v>7.77</v>
      </c>
      <c r="AA119" s="13">
        <v>0.34799999999999998</v>
      </c>
      <c r="AB119" s="13">
        <v>14</v>
      </c>
      <c r="AC119" s="13">
        <v>7.77</v>
      </c>
      <c r="AD119" s="8"/>
    </row>
    <row r="120" spans="1:30" s="9" customFormat="1" ht="15.75">
      <c r="A120" s="43" t="str">
        <f>IF(AND(H120=1,L120&gt;='Steel Angle Lintel Design'!$M$98,'AISC Angle Database'!N120&gt;='Steel Angle Lintel Design'!$M$96,'AISC Angle Database'!J120&gt;='Steel Angle Lintel Design'!$F$40,'AISC Angle Database'!J120&lt;='Steel Angle Lintel Design'!$F$41,'AISC Angle Database'!K120&gt;='Steel Angle Lintel Design'!$K$40,'AISC Angle Database'!K120&lt;='Steel Angle Lintel Design'!$K$41),1,"")</f>
        <v/>
      </c>
      <c r="B120" s="44">
        <f t="shared" si="5"/>
        <v>0</v>
      </c>
      <c r="C120" s="44">
        <f t="shared" si="6"/>
        <v>0</v>
      </c>
      <c r="D120" s="42" t="e">
        <f t="shared" ca="1" si="9"/>
        <v>#NAME?</v>
      </c>
      <c r="E120" s="44" t="e">
        <f t="shared" ca="1" si="7"/>
        <v>#NAME?</v>
      </c>
      <c r="F120" s="5" t="e">
        <f t="shared" ca="1" si="8"/>
        <v>#NAME?</v>
      </c>
      <c r="G120" s="15" t="s">
        <v>251</v>
      </c>
      <c r="H120" s="15">
        <f>IF('Steel Angle Lintel Design'!$AM$16=1,1,IF('Steel Angle Lintel Design'!$AM$16=2,0,1))</f>
        <v>0</v>
      </c>
      <c r="I120" s="18">
        <v>4.0999999999999996</v>
      </c>
      <c r="J120" s="15">
        <v>2.5</v>
      </c>
      <c r="K120" s="15">
        <v>2.5</v>
      </c>
      <c r="L120" s="15">
        <v>0.69199999999999995</v>
      </c>
      <c r="M120" s="15">
        <v>0.69499999999999995</v>
      </c>
      <c r="N120" s="15">
        <v>0.38700000000000001</v>
      </c>
      <c r="O120" s="15">
        <v>0.69199999999999995</v>
      </c>
      <c r="P120" s="15">
        <v>0.69399999999999995</v>
      </c>
      <c r="Q120" s="15">
        <v>0.38700000000000001</v>
      </c>
      <c r="R120" s="13">
        <v>0.25</v>
      </c>
      <c r="S120" s="13">
        <v>1</v>
      </c>
      <c r="T120" s="13" t="str">
        <f>IF(S120=2,"Y",IF(J120/R120&lt;0.54*(SQRT(29000/'Steel Angle Lintel Design'!$H$31)),"Y","N"))</f>
        <v>Y</v>
      </c>
      <c r="U120" s="13" t="str">
        <f>IF(J120/R120&gt;0.91*(SQRT(29000/'Steel Angle Lintel Design'!$H$31)),"Y","N")</f>
        <v>N</v>
      </c>
      <c r="V120" s="13" t="s">
        <v>252</v>
      </c>
      <c r="W120" s="13"/>
      <c r="X120" s="13">
        <v>0.28799999999999998</v>
      </c>
      <c r="Y120" s="13">
        <v>11.4</v>
      </c>
      <c r="Z120" s="13">
        <v>6.34</v>
      </c>
      <c r="AA120" s="13">
        <v>0.28799999999999998</v>
      </c>
      <c r="AB120" s="13">
        <v>11.4</v>
      </c>
      <c r="AC120" s="13">
        <v>6.34</v>
      </c>
      <c r="AD120" s="8"/>
    </row>
    <row r="121" spans="1:30" s="9" customFormat="1" ht="15.75">
      <c r="A121" s="43" t="str">
        <f>IF(AND(H121=1,L121&gt;='Steel Angle Lintel Design'!$M$98,'AISC Angle Database'!N121&gt;='Steel Angle Lintel Design'!$M$96,'AISC Angle Database'!J121&gt;='Steel Angle Lintel Design'!$F$40,'AISC Angle Database'!J121&lt;='Steel Angle Lintel Design'!$F$41,'AISC Angle Database'!K121&gt;='Steel Angle Lintel Design'!$K$40,'AISC Angle Database'!K121&lt;='Steel Angle Lintel Design'!$K$41),1,"")</f>
        <v/>
      </c>
      <c r="B121" s="44">
        <f t="shared" si="5"/>
        <v>0</v>
      </c>
      <c r="C121" s="44">
        <f t="shared" si="6"/>
        <v>0</v>
      </c>
      <c r="D121" s="42" t="e">
        <f t="shared" ca="1" si="9"/>
        <v>#NAME?</v>
      </c>
      <c r="E121" s="44" t="e">
        <f t="shared" ca="1" si="7"/>
        <v>#NAME?</v>
      </c>
      <c r="F121" s="5" t="e">
        <f t="shared" ca="1" si="8"/>
        <v>#NAME?</v>
      </c>
      <c r="G121" s="15" t="s">
        <v>253</v>
      </c>
      <c r="H121" s="15">
        <f>IF('Steel Angle Lintel Design'!$AM$16=1,1,IF('Steel Angle Lintel Design'!$AM$16=2,0,1))</f>
        <v>0</v>
      </c>
      <c r="I121" s="18">
        <v>3.07</v>
      </c>
      <c r="J121" s="15">
        <v>2.5</v>
      </c>
      <c r="K121" s="15">
        <v>2.5</v>
      </c>
      <c r="L121" s="15">
        <v>0.53500000000000003</v>
      </c>
      <c r="M121" s="15">
        <v>0.52900000000000003</v>
      </c>
      <c r="N121" s="15">
        <v>0.29499999999999998</v>
      </c>
      <c r="O121" s="15">
        <v>0.53500000000000003</v>
      </c>
      <c r="P121" s="15">
        <v>0.52800000000000002</v>
      </c>
      <c r="Q121" s="15">
        <v>0.29499999999999998</v>
      </c>
      <c r="R121" s="13">
        <v>0.1875</v>
      </c>
      <c r="S121" s="13">
        <v>1</v>
      </c>
      <c r="T121" s="13" t="str">
        <f>IF(S121=2,"Y",IF(J121/R121&lt;0.54*(SQRT(29000/'Steel Angle Lintel Design'!$H$31)),"Y","N"))</f>
        <v>Y</v>
      </c>
      <c r="U121" s="13" t="str">
        <f>IF(J121/R121&gt;0.91*(SQRT(29000/'Steel Angle Lintel Design'!$H$31)),"Y","N")</f>
        <v>N</v>
      </c>
      <c r="V121" s="13" t="s">
        <v>254</v>
      </c>
      <c r="W121" s="13"/>
      <c r="X121" s="13">
        <v>0.223</v>
      </c>
      <c r="Y121" s="13">
        <v>8.67</v>
      </c>
      <c r="Z121" s="13">
        <v>4.83</v>
      </c>
      <c r="AA121" s="13">
        <v>0.223</v>
      </c>
      <c r="AB121" s="13">
        <v>8.65</v>
      </c>
      <c r="AC121" s="13">
        <v>4.83</v>
      </c>
      <c r="AD121" s="8"/>
    </row>
    <row r="122" spans="1:30" s="9" customFormat="1" ht="15.75">
      <c r="A122" s="43" t="str">
        <f>IF(AND(H122=1,L122&gt;='Steel Angle Lintel Design'!$M$98,'AISC Angle Database'!N122&gt;='Steel Angle Lintel Design'!$M$96,'AISC Angle Database'!J122&gt;='Steel Angle Lintel Design'!$F$40,'AISC Angle Database'!J122&lt;='Steel Angle Lintel Design'!$F$41,'AISC Angle Database'!K122&gt;='Steel Angle Lintel Design'!$K$40,'AISC Angle Database'!K122&lt;='Steel Angle Lintel Design'!$K$41),1,"")</f>
        <v/>
      </c>
      <c r="B122" s="44">
        <f t="shared" si="5"/>
        <v>0</v>
      </c>
      <c r="C122" s="44">
        <f t="shared" si="6"/>
        <v>0</v>
      </c>
      <c r="D122" s="42" t="e">
        <f t="shared" ca="1" si="9"/>
        <v>#NAME?</v>
      </c>
      <c r="E122" s="44" t="e">
        <f t="shared" ca="1" si="7"/>
        <v>#NAME?</v>
      </c>
      <c r="F122" s="5" t="e">
        <f t="shared" ca="1" si="8"/>
        <v>#NAME?</v>
      </c>
      <c r="G122" s="15" t="s">
        <v>255</v>
      </c>
      <c r="H122" s="15">
        <f>IF('Steel Angle Lintel Design'!$AM$16=1,1,IF('Steel Angle Lintel Design'!$AM$16=2,0,1))</f>
        <v>0</v>
      </c>
      <c r="I122" s="18">
        <v>5.3</v>
      </c>
      <c r="J122" s="15">
        <v>2.5</v>
      </c>
      <c r="K122" s="15">
        <v>2</v>
      </c>
      <c r="L122" s="15">
        <v>0.91400000000000003</v>
      </c>
      <c r="M122" s="15">
        <v>0.98199999999999998</v>
      </c>
      <c r="N122" s="15">
        <v>0.54600000000000004</v>
      </c>
      <c r="O122" s="15">
        <v>0.51300000000000001</v>
      </c>
      <c r="P122" s="15">
        <v>0.65700000000000003</v>
      </c>
      <c r="Q122" s="15">
        <v>0.36099999999999999</v>
      </c>
      <c r="R122" s="13">
        <v>0.375</v>
      </c>
      <c r="S122" s="13">
        <v>1</v>
      </c>
      <c r="T122" s="13" t="str">
        <f>IF(S122=2,"Y",IF(J122/R122&lt;0.54*(SQRT(29000/'Steel Angle Lintel Design'!$H$31)),"Y","N"))</f>
        <v>Y</v>
      </c>
      <c r="U122" s="13" t="str">
        <f>IF(J122/R122&gt;0.91*(SQRT(29000/'Steel Angle Lintel Design'!$H$31)),"Y","N")</f>
        <v>N</v>
      </c>
      <c r="V122" s="13" t="s">
        <v>256</v>
      </c>
      <c r="W122" s="13"/>
      <c r="X122" s="13">
        <v>0.38</v>
      </c>
      <c r="Y122" s="13">
        <v>16.100000000000001</v>
      </c>
      <c r="Z122" s="13">
        <v>8.9499999999999993</v>
      </c>
      <c r="AA122" s="13">
        <v>0.214</v>
      </c>
      <c r="AB122" s="13">
        <v>10.8</v>
      </c>
      <c r="AC122" s="13">
        <v>5.92</v>
      </c>
      <c r="AD122" s="8"/>
    </row>
    <row r="123" spans="1:30" s="9" customFormat="1" ht="15.75">
      <c r="A123" s="43" t="str">
        <f>IF(AND(H123=1,L123&gt;='Steel Angle Lintel Design'!$M$98,'AISC Angle Database'!N123&gt;='Steel Angle Lintel Design'!$M$96,'AISC Angle Database'!J123&gt;='Steel Angle Lintel Design'!$F$40,'AISC Angle Database'!J123&lt;='Steel Angle Lintel Design'!$F$41,'AISC Angle Database'!K123&gt;='Steel Angle Lintel Design'!$K$40,'AISC Angle Database'!K123&lt;='Steel Angle Lintel Design'!$K$41),1,"")</f>
        <v/>
      </c>
      <c r="B123" s="44">
        <f t="shared" si="5"/>
        <v>0</v>
      </c>
      <c r="C123" s="44">
        <f t="shared" si="6"/>
        <v>0</v>
      </c>
      <c r="D123" s="42" t="e">
        <f t="shared" ca="1" si="9"/>
        <v>#NAME?</v>
      </c>
      <c r="E123" s="44" t="e">
        <f t="shared" ca="1" si="7"/>
        <v>#NAME?</v>
      </c>
      <c r="F123" s="5" t="e">
        <f t="shared" ca="1" si="8"/>
        <v>#NAME?</v>
      </c>
      <c r="G123" s="15" t="s">
        <v>257</v>
      </c>
      <c r="H123" s="15">
        <f>IF('Steel Angle Lintel Design'!$AM$16=1,1,IF('Steel Angle Lintel Design'!$AM$16=2,0,1))</f>
        <v>0</v>
      </c>
      <c r="I123" s="18">
        <v>4.5</v>
      </c>
      <c r="J123" s="15">
        <v>2.5</v>
      </c>
      <c r="K123" s="15">
        <v>2</v>
      </c>
      <c r="L123" s="15">
        <v>0.79</v>
      </c>
      <c r="M123" s="15">
        <v>0.83899999999999997</v>
      </c>
      <c r="N123" s="15">
        <v>0.46500000000000002</v>
      </c>
      <c r="O123" s="15">
        <v>0.44600000000000001</v>
      </c>
      <c r="P123" s="15">
        <v>0.55700000000000005</v>
      </c>
      <c r="Q123" s="15">
        <v>0.309</v>
      </c>
      <c r="R123" s="13">
        <v>0.3125</v>
      </c>
      <c r="S123" s="13">
        <v>1</v>
      </c>
      <c r="T123" s="13" t="str">
        <f>IF(S123=2,"Y",IF(J123/R123&lt;0.54*(SQRT(29000/'Steel Angle Lintel Design'!$H$31)),"Y","N"))</f>
        <v>Y</v>
      </c>
      <c r="U123" s="13" t="str">
        <f>IF(J123/R123&gt;0.91*(SQRT(29000/'Steel Angle Lintel Design'!$H$31)),"Y","N")</f>
        <v>N</v>
      </c>
      <c r="V123" s="13" t="s">
        <v>258</v>
      </c>
      <c r="W123" s="13"/>
      <c r="X123" s="13">
        <v>0.32900000000000001</v>
      </c>
      <c r="Y123" s="13">
        <v>13.7</v>
      </c>
      <c r="Z123" s="13">
        <v>7.62</v>
      </c>
      <c r="AA123" s="13">
        <v>0.186</v>
      </c>
      <c r="AB123" s="13">
        <v>9.1300000000000008</v>
      </c>
      <c r="AC123" s="13">
        <v>5.0599999999999996</v>
      </c>
      <c r="AD123" s="8"/>
    </row>
    <row r="124" spans="1:30" s="9" customFormat="1" ht="15.75">
      <c r="A124" s="43" t="str">
        <f>IF(AND(H124=1,L124&gt;='Steel Angle Lintel Design'!$M$98,'AISC Angle Database'!N124&gt;='Steel Angle Lintel Design'!$M$96,'AISC Angle Database'!J124&gt;='Steel Angle Lintel Design'!$F$40,'AISC Angle Database'!J124&lt;='Steel Angle Lintel Design'!$F$41,'AISC Angle Database'!K124&gt;='Steel Angle Lintel Design'!$K$40,'AISC Angle Database'!K124&lt;='Steel Angle Lintel Design'!$K$41),1,"")</f>
        <v/>
      </c>
      <c r="B124" s="44">
        <f t="shared" si="5"/>
        <v>0</v>
      </c>
      <c r="C124" s="44">
        <f t="shared" si="6"/>
        <v>0</v>
      </c>
      <c r="D124" s="42" t="e">
        <f t="shared" ca="1" si="9"/>
        <v>#NAME?</v>
      </c>
      <c r="E124" s="44" t="e">
        <f t="shared" ca="1" si="7"/>
        <v>#NAME?</v>
      </c>
      <c r="F124" s="5" t="e">
        <f t="shared" ca="1" si="8"/>
        <v>#NAME?</v>
      </c>
      <c r="G124" s="15" t="s">
        <v>259</v>
      </c>
      <c r="H124" s="15">
        <f>IF('Steel Angle Lintel Design'!$AM$16=1,1,IF('Steel Angle Lintel Design'!$AM$16=2,0,1))</f>
        <v>0</v>
      </c>
      <c r="I124" s="18">
        <v>3.62</v>
      </c>
      <c r="J124" s="15">
        <v>2.5</v>
      </c>
      <c r="K124" s="15">
        <v>2</v>
      </c>
      <c r="L124" s="15">
        <v>0.65600000000000003</v>
      </c>
      <c r="M124" s="15">
        <v>0.68799999999999994</v>
      </c>
      <c r="N124" s="15">
        <v>0.38100000000000001</v>
      </c>
      <c r="O124" s="15">
        <v>0.372</v>
      </c>
      <c r="P124" s="15">
        <v>0.45400000000000001</v>
      </c>
      <c r="Q124" s="15">
        <v>0.253</v>
      </c>
      <c r="R124" s="13">
        <v>0.25</v>
      </c>
      <c r="S124" s="13">
        <v>1</v>
      </c>
      <c r="T124" s="13" t="str">
        <f>IF(S124=2,"Y",IF(J124/R124&lt;0.54*(SQRT(29000/'Steel Angle Lintel Design'!$H$31)),"Y","N"))</f>
        <v>Y</v>
      </c>
      <c r="U124" s="13" t="str">
        <f>IF(J124/R124&gt;0.91*(SQRT(29000/'Steel Angle Lintel Design'!$H$31)),"Y","N")</f>
        <v>N</v>
      </c>
      <c r="V124" s="13" t="s">
        <v>260</v>
      </c>
      <c r="W124" s="13"/>
      <c r="X124" s="13">
        <v>0.27300000000000002</v>
      </c>
      <c r="Y124" s="13">
        <v>11.3</v>
      </c>
      <c r="Z124" s="13">
        <v>6.24</v>
      </c>
      <c r="AA124" s="13">
        <v>0.155</v>
      </c>
      <c r="AB124" s="13">
        <v>7.44</v>
      </c>
      <c r="AC124" s="13">
        <v>4.1500000000000004</v>
      </c>
      <c r="AD124" s="8"/>
    </row>
    <row r="125" spans="1:30" s="9" customFormat="1" ht="15.75">
      <c r="A125" s="43" t="str">
        <f>IF(AND(H125=1,L125&gt;='Steel Angle Lintel Design'!$M$98,'AISC Angle Database'!N125&gt;='Steel Angle Lintel Design'!$M$96,'AISC Angle Database'!J125&gt;='Steel Angle Lintel Design'!$F$40,'AISC Angle Database'!J125&lt;='Steel Angle Lintel Design'!$F$41,'AISC Angle Database'!K125&gt;='Steel Angle Lintel Design'!$K$40,'AISC Angle Database'!K125&lt;='Steel Angle Lintel Design'!$K$41),1,"")</f>
        <v/>
      </c>
      <c r="B125" s="44">
        <f t="shared" si="5"/>
        <v>0</v>
      </c>
      <c r="C125" s="44">
        <f t="shared" si="6"/>
        <v>0</v>
      </c>
      <c r="D125" s="42" t="e">
        <f t="shared" ca="1" si="9"/>
        <v>#NAME?</v>
      </c>
      <c r="E125" s="44" t="e">
        <f t="shared" ca="1" si="7"/>
        <v>#NAME?</v>
      </c>
      <c r="F125" s="5" t="e">
        <f t="shared" ca="1" si="8"/>
        <v>#NAME?</v>
      </c>
      <c r="G125" s="15" t="s">
        <v>261</v>
      </c>
      <c r="H125" s="15">
        <f>IF('Steel Angle Lintel Design'!$AM$16=1,1,IF('Steel Angle Lintel Design'!$AM$16=2,0,1))</f>
        <v>0</v>
      </c>
      <c r="I125" s="18">
        <v>2.75</v>
      </c>
      <c r="J125" s="15">
        <v>2.5</v>
      </c>
      <c r="K125" s="15">
        <v>2</v>
      </c>
      <c r="L125" s="15">
        <v>0.51100000000000001</v>
      </c>
      <c r="M125" s="15">
        <v>0.52900000000000003</v>
      </c>
      <c r="N125" s="15">
        <v>0.29299999999999998</v>
      </c>
      <c r="O125" s="15">
        <v>0.29199999999999998</v>
      </c>
      <c r="P125" s="15">
        <v>0.34699999999999998</v>
      </c>
      <c r="Q125" s="15">
        <v>0.19500000000000001</v>
      </c>
      <c r="R125" s="13">
        <v>0.1875</v>
      </c>
      <c r="S125" s="13">
        <v>1</v>
      </c>
      <c r="T125" s="13" t="str">
        <f>IF(S125=2,"Y",IF(J125/R125&lt;0.54*(SQRT(29000/'Steel Angle Lintel Design'!$H$31)),"Y","N"))</f>
        <v>Y</v>
      </c>
      <c r="U125" s="13" t="str">
        <f>IF(J125/R125&gt;0.91*(SQRT(29000/'Steel Angle Lintel Design'!$H$31)),"Y","N")</f>
        <v>N</v>
      </c>
      <c r="V125" s="13" t="s">
        <v>262</v>
      </c>
      <c r="W125" s="13"/>
      <c r="X125" s="13">
        <v>0.21299999999999999</v>
      </c>
      <c r="Y125" s="13">
        <v>8.67</v>
      </c>
      <c r="Z125" s="13">
        <v>4.8</v>
      </c>
      <c r="AA125" s="13">
        <v>0.122</v>
      </c>
      <c r="AB125" s="13">
        <v>5.69</v>
      </c>
      <c r="AC125" s="13">
        <v>3.2</v>
      </c>
      <c r="AD125" s="8"/>
    </row>
    <row r="126" spans="1:30" s="9" customFormat="1" ht="15.75">
      <c r="A126" s="43" t="str">
        <f>IF(AND(H126=1,L126&gt;='Steel Angle Lintel Design'!$M$98,'AISC Angle Database'!N126&gt;='Steel Angle Lintel Design'!$M$96,'AISC Angle Database'!J126&gt;='Steel Angle Lintel Design'!$F$40,'AISC Angle Database'!J126&lt;='Steel Angle Lintel Design'!$F$41,'AISC Angle Database'!K126&gt;='Steel Angle Lintel Design'!$K$40,'AISC Angle Database'!K126&lt;='Steel Angle Lintel Design'!$K$41),1,"")</f>
        <v/>
      </c>
      <c r="B126" s="44">
        <f t="shared" si="5"/>
        <v>0</v>
      </c>
      <c r="C126" s="44">
        <f t="shared" si="6"/>
        <v>0</v>
      </c>
      <c r="D126" s="42" t="e">
        <f t="shared" ca="1" si="9"/>
        <v>#NAME?</v>
      </c>
      <c r="E126" s="44" t="e">
        <f t="shared" ca="1" si="7"/>
        <v>#NAME?</v>
      </c>
      <c r="F126" s="5" t="e">
        <f t="shared" ca="1" si="8"/>
        <v>#NAME?</v>
      </c>
      <c r="G126" s="15" t="s">
        <v>263</v>
      </c>
      <c r="H126" s="15">
        <f>IF('Steel Angle Lintel Design'!$AM$16=1,1,IF('Steel Angle Lintel Design'!$AM$16=2,0,1))</f>
        <v>0</v>
      </c>
      <c r="I126" s="19">
        <v>3.22</v>
      </c>
      <c r="J126" s="15">
        <v>2.5</v>
      </c>
      <c r="K126" s="15">
        <v>1.5</v>
      </c>
      <c r="L126" s="15">
        <v>0.59399999999999997</v>
      </c>
      <c r="M126" s="15">
        <v>0.64400000000000002</v>
      </c>
      <c r="N126" s="15">
        <v>0.36399999999999999</v>
      </c>
      <c r="O126" s="15">
        <v>0.16</v>
      </c>
      <c r="P126" s="15">
        <v>0.26100000000000001</v>
      </c>
      <c r="Q126" s="15">
        <v>0.14199999999999999</v>
      </c>
      <c r="R126" s="13">
        <v>0.25</v>
      </c>
      <c r="S126" s="13">
        <v>1</v>
      </c>
      <c r="T126" s="13" t="str">
        <f>IF(S126=2,"Y",IF(J126/R126&lt;0.54*(SQRT(29000/'Steel Angle Lintel Design'!$H$31)),"Y","N"))</f>
        <v>Y</v>
      </c>
      <c r="U126" s="13" t="str">
        <f>IF(J126/R126&gt;0.91*(SQRT(29000/'Steel Angle Lintel Design'!$H$31)),"Y","N")</f>
        <v>N</v>
      </c>
      <c r="V126" s="13" t="s">
        <v>264</v>
      </c>
      <c r="W126" s="13"/>
      <c r="X126" s="13">
        <v>0.247</v>
      </c>
      <c r="Y126" s="13">
        <v>10.6</v>
      </c>
      <c r="Z126" s="13">
        <v>5.96</v>
      </c>
      <c r="AA126" s="13">
        <v>6.6600000000000006E-2</v>
      </c>
      <c r="AB126" s="13">
        <v>4.28</v>
      </c>
      <c r="AC126" s="13">
        <v>2.33</v>
      </c>
      <c r="AD126" s="8"/>
    </row>
    <row r="127" spans="1:30" s="8" customFormat="1" ht="15.75">
      <c r="A127" s="43" t="str">
        <f>IF(AND(H127=1,L127&gt;='Steel Angle Lintel Design'!$M$98,'AISC Angle Database'!N127&gt;='Steel Angle Lintel Design'!$M$96,'AISC Angle Database'!J127&gt;='Steel Angle Lintel Design'!$F$40,'AISC Angle Database'!J127&lt;='Steel Angle Lintel Design'!$F$41,'AISC Angle Database'!K127&gt;='Steel Angle Lintel Design'!$K$40,'AISC Angle Database'!K127&lt;='Steel Angle Lintel Design'!$K$41),1,"")</f>
        <v/>
      </c>
      <c r="B127" s="44">
        <f t="shared" si="5"/>
        <v>0</v>
      </c>
      <c r="C127" s="44">
        <f t="shared" si="6"/>
        <v>0</v>
      </c>
      <c r="D127" s="42" t="e">
        <f t="shared" ca="1" si="9"/>
        <v>#NAME?</v>
      </c>
      <c r="E127" s="44" t="e">
        <f t="shared" ca="1" si="7"/>
        <v>#NAME?</v>
      </c>
      <c r="F127" s="5" t="e">
        <f t="shared" ca="1" si="8"/>
        <v>#NAME?</v>
      </c>
      <c r="G127" s="15" t="s">
        <v>265</v>
      </c>
      <c r="H127" s="15">
        <f>IF('Steel Angle Lintel Design'!$AM$16=1,1,IF('Steel Angle Lintel Design'!$AM$16=2,0,1))</f>
        <v>0</v>
      </c>
      <c r="I127" s="19">
        <v>2.4700000000000002</v>
      </c>
      <c r="J127" s="15">
        <v>2.5</v>
      </c>
      <c r="K127" s="15">
        <v>1.5</v>
      </c>
      <c r="L127" s="15">
        <v>0.46400000000000002</v>
      </c>
      <c r="M127" s="15">
        <v>0.497</v>
      </c>
      <c r="N127" s="15">
        <v>0.28000000000000003</v>
      </c>
      <c r="O127" s="15">
        <v>0.126</v>
      </c>
      <c r="P127" s="15">
        <v>0.19800000000000001</v>
      </c>
      <c r="Q127" s="15">
        <v>0.11</v>
      </c>
      <c r="R127" s="13">
        <v>0.1875</v>
      </c>
      <c r="S127" s="13">
        <v>1</v>
      </c>
      <c r="T127" s="13" t="str">
        <f>IF(S127=2,"Y",IF(J127/R127&lt;0.54*(SQRT(29000/'Steel Angle Lintel Design'!$H$31)),"Y","N"))</f>
        <v>Y</v>
      </c>
      <c r="U127" s="13" t="str">
        <f>IF(J127/R127&gt;0.91*(SQRT(29000/'Steel Angle Lintel Design'!$H$31)),"Y","N")</f>
        <v>N</v>
      </c>
      <c r="V127" s="13" t="s">
        <v>266</v>
      </c>
      <c r="W127" s="13"/>
      <c r="X127" s="13">
        <v>0.193</v>
      </c>
      <c r="Y127" s="13">
        <v>8.14</v>
      </c>
      <c r="Z127" s="13">
        <v>4.59</v>
      </c>
      <c r="AA127" s="13">
        <v>5.2400000000000002E-2</v>
      </c>
      <c r="AB127" s="13">
        <v>3.24</v>
      </c>
      <c r="AC127" s="13">
        <v>1.8</v>
      </c>
    </row>
    <row r="128" spans="1:30" s="8" customFormat="1" ht="15.75">
      <c r="A128" s="43" t="str">
        <f>IF(AND(H128=1,L128&gt;='Steel Angle Lintel Design'!$M$98,'AISC Angle Database'!N128&gt;='Steel Angle Lintel Design'!$M$96,'AISC Angle Database'!J128&gt;='Steel Angle Lintel Design'!$F$40,'AISC Angle Database'!J128&lt;='Steel Angle Lintel Design'!$F$41,'AISC Angle Database'!K128&gt;='Steel Angle Lintel Design'!$K$40,'AISC Angle Database'!K128&lt;='Steel Angle Lintel Design'!$K$41),1,"")</f>
        <v/>
      </c>
      <c r="B128" s="44">
        <f t="shared" si="5"/>
        <v>0</v>
      </c>
      <c r="C128" s="44">
        <f t="shared" si="6"/>
        <v>0</v>
      </c>
      <c r="D128" s="42" t="e">
        <f t="shared" ca="1" si="9"/>
        <v>#NAME?</v>
      </c>
      <c r="E128" s="44" t="e">
        <f t="shared" ca="1" si="7"/>
        <v>#NAME?</v>
      </c>
      <c r="F128" s="5" t="e">
        <f t="shared" ca="1" si="8"/>
        <v>#NAME?</v>
      </c>
      <c r="G128" s="15" t="s">
        <v>267</v>
      </c>
      <c r="H128" s="15">
        <f>IF('Steel Angle Lintel Design'!$AM$16=1,1,IF('Steel Angle Lintel Design'!$AM$16=2,0,1))</f>
        <v>0</v>
      </c>
      <c r="I128" s="18">
        <v>4.7</v>
      </c>
      <c r="J128" s="15">
        <v>2</v>
      </c>
      <c r="K128" s="15">
        <v>2</v>
      </c>
      <c r="L128" s="15">
        <v>0.47599999999999998</v>
      </c>
      <c r="M128" s="15">
        <v>0.629</v>
      </c>
      <c r="N128" s="15">
        <v>0.34799999999999998</v>
      </c>
      <c r="O128" s="15">
        <v>0.47599999999999998</v>
      </c>
      <c r="P128" s="15">
        <v>0.628</v>
      </c>
      <c r="Q128" s="15">
        <v>0.34799999999999998</v>
      </c>
      <c r="R128" s="13">
        <v>0.375</v>
      </c>
      <c r="S128" s="13">
        <v>1</v>
      </c>
      <c r="T128" s="13" t="str">
        <f>IF(S128=2,"Y",IF(J128/R128&lt;0.54*(SQRT(29000/'Steel Angle Lintel Design'!$H$31)),"Y","N"))</f>
        <v>Y</v>
      </c>
      <c r="U128" s="13" t="str">
        <f>IF(J128/R128&gt;0.91*(SQRT(29000/'Steel Angle Lintel Design'!$H$31)),"Y","N")</f>
        <v>N</v>
      </c>
      <c r="V128" s="13" t="s">
        <v>268</v>
      </c>
      <c r="W128" s="13"/>
      <c r="X128" s="13">
        <v>0.19800000000000001</v>
      </c>
      <c r="Y128" s="13">
        <v>10.3</v>
      </c>
      <c r="Z128" s="13">
        <v>5.7</v>
      </c>
      <c r="AA128" s="13">
        <v>0.19800000000000001</v>
      </c>
      <c r="AB128" s="13">
        <v>10.3</v>
      </c>
      <c r="AC128" s="13">
        <v>5.7</v>
      </c>
    </row>
    <row r="129" spans="1:30" s="9" customFormat="1" ht="15.75">
      <c r="A129" s="43" t="str">
        <f>IF(AND(H129=1,L129&gt;='Steel Angle Lintel Design'!$M$98,'AISC Angle Database'!N129&gt;='Steel Angle Lintel Design'!$M$96,'AISC Angle Database'!J129&gt;='Steel Angle Lintel Design'!$F$40,'AISC Angle Database'!J129&lt;='Steel Angle Lintel Design'!$F$41,'AISC Angle Database'!K129&gt;='Steel Angle Lintel Design'!$K$40,'AISC Angle Database'!K129&lt;='Steel Angle Lintel Design'!$K$41),1,"")</f>
        <v/>
      </c>
      <c r="B129" s="44">
        <f t="shared" si="5"/>
        <v>0</v>
      </c>
      <c r="C129" s="44">
        <f t="shared" si="6"/>
        <v>0</v>
      </c>
      <c r="D129" s="42" t="e">
        <f t="shared" ca="1" si="9"/>
        <v>#NAME?</v>
      </c>
      <c r="E129" s="44" t="e">
        <f t="shared" ca="1" si="7"/>
        <v>#NAME?</v>
      </c>
      <c r="F129" s="5" t="e">
        <f t="shared" ca="1" si="8"/>
        <v>#NAME?</v>
      </c>
      <c r="G129" s="15" t="s">
        <v>269</v>
      </c>
      <c r="H129" s="15">
        <f>IF('Steel Angle Lintel Design'!$AM$16=1,1,IF('Steel Angle Lintel Design'!$AM$16=2,0,1))</f>
        <v>0</v>
      </c>
      <c r="I129" s="18">
        <v>3.92</v>
      </c>
      <c r="J129" s="15">
        <v>2</v>
      </c>
      <c r="K129" s="15">
        <v>2</v>
      </c>
      <c r="L129" s="15">
        <v>0.41399999999999998</v>
      </c>
      <c r="M129" s="15">
        <v>0.53700000000000003</v>
      </c>
      <c r="N129" s="15">
        <v>0.29799999999999999</v>
      </c>
      <c r="O129" s="15">
        <v>0.41399999999999998</v>
      </c>
      <c r="P129" s="15">
        <v>0.53600000000000003</v>
      </c>
      <c r="Q129" s="15">
        <v>0.29799999999999999</v>
      </c>
      <c r="R129" s="13">
        <v>0.3125</v>
      </c>
      <c r="S129" s="13">
        <v>1</v>
      </c>
      <c r="T129" s="13" t="str">
        <f>IF(S129=2,"Y",IF(J129/R129&lt;0.54*(SQRT(29000/'Steel Angle Lintel Design'!$H$31)),"Y","N"))</f>
        <v>Y</v>
      </c>
      <c r="U129" s="13" t="str">
        <f>IF(J129/R129&gt;0.91*(SQRT(29000/'Steel Angle Lintel Design'!$H$31)),"Y","N")</f>
        <v>N</v>
      </c>
      <c r="V129" s="13" t="s">
        <v>270</v>
      </c>
      <c r="W129" s="13"/>
      <c r="X129" s="13">
        <v>0.17199999999999999</v>
      </c>
      <c r="Y129" s="13">
        <v>8.8000000000000007</v>
      </c>
      <c r="Z129" s="13">
        <v>4.88</v>
      </c>
      <c r="AA129" s="13">
        <v>0.17199999999999999</v>
      </c>
      <c r="AB129" s="13">
        <v>8.7799999999999994</v>
      </c>
      <c r="AC129" s="13">
        <v>4.88</v>
      </c>
      <c r="AD129" s="8"/>
    </row>
    <row r="130" spans="1:30" s="9" customFormat="1" ht="15.75">
      <c r="A130" s="43" t="str">
        <f>IF(AND(H130=1,L130&gt;='Steel Angle Lintel Design'!$M$98,'AISC Angle Database'!N130&gt;='Steel Angle Lintel Design'!$M$96,'AISC Angle Database'!J130&gt;='Steel Angle Lintel Design'!$F$40,'AISC Angle Database'!J130&lt;='Steel Angle Lintel Design'!$F$41,'AISC Angle Database'!K130&gt;='Steel Angle Lintel Design'!$K$40,'AISC Angle Database'!K130&lt;='Steel Angle Lintel Design'!$K$41),1,"")</f>
        <v/>
      </c>
      <c r="B130" s="44">
        <f t="shared" si="5"/>
        <v>0</v>
      </c>
      <c r="C130" s="44">
        <f t="shared" si="6"/>
        <v>0</v>
      </c>
      <c r="D130" s="42" t="e">
        <f t="shared" ca="1" si="9"/>
        <v>#NAME?</v>
      </c>
      <c r="E130" s="44" t="e">
        <f t="shared" ca="1" si="7"/>
        <v>#NAME?</v>
      </c>
      <c r="F130" s="5" t="e">
        <f t="shared" ca="1" si="8"/>
        <v>#NAME?</v>
      </c>
      <c r="G130" s="15" t="s">
        <v>271</v>
      </c>
      <c r="H130" s="15">
        <f>IF('Steel Angle Lintel Design'!$AM$16=1,1,IF('Steel Angle Lintel Design'!$AM$16=2,0,1))</f>
        <v>0</v>
      </c>
      <c r="I130" s="18">
        <v>3.19</v>
      </c>
      <c r="J130" s="15">
        <v>2</v>
      </c>
      <c r="K130" s="15">
        <v>2</v>
      </c>
      <c r="L130" s="15">
        <v>0.34599999999999997</v>
      </c>
      <c r="M130" s="15">
        <v>0.44</v>
      </c>
      <c r="N130" s="15">
        <v>0.24399999999999999</v>
      </c>
      <c r="O130" s="15">
        <v>0.34599999999999997</v>
      </c>
      <c r="P130" s="15">
        <v>0.44</v>
      </c>
      <c r="Q130" s="15">
        <v>0.24399999999999999</v>
      </c>
      <c r="R130" s="13">
        <v>0.25</v>
      </c>
      <c r="S130" s="13">
        <v>1</v>
      </c>
      <c r="T130" s="13" t="str">
        <f>IF(S130=2,"Y",IF(J130/R130&lt;0.54*(SQRT(29000/'Steel Angle Lintel Design'!$H$31)),"Y","N"))</f>
        <v>Y</v>
      </c>
      <c r="U130" s="13" t="str">
        <f>IF(J130/R130&gt;0.91*(SQRT(29000/'Steel Angle Lintel Design'!$H$31)),"Y","N")</f>
        <v>N</v>
      </c>
      <c r="V130" s="13" t="s">
        <v>272</v>
      </c>
      <c r="W130" s="13"/>
      <c r="X130" s="13">
        <v>0.14399999999999999</v>
      </c>
      <c r="Y130" s="13">
        <v>7.21</v>
      </c>
      <c r="Z130" s="13">
        <v>4</v>
      </c>
      <c r="AA130" s="13">
        <v>0.14399999999999999</v>
      </c>
      <c r="AB130" s="13">
        <v>7.21</v>
      </c>
      <c r="AC130" s="13">
        <v>4</v>
      </c>
      <c r="AD130" s="8"/>
    </row>
    <row r="131" spans="1:30" s="9" customFormat="1" ht="15.75">
      <c r="A131" s="43" t="str">
        <f>IF(AND(H131=1,L131&gt;='Steel Angle Lintel Design'!$M$98,'AISC Angle Database'!N131&gt;='Steel Angle Lintel Design'!$M$96,'AISC Angle Database'!J131&gt;='Steel Angle Lintel Design'!$F$40,'AISC Angle Database'!J131&lt;='Steel Angle Lintel Design'!$F$41,'AISC Angle Database'!K131&gt;='Steel Angle Lintel Design'!$K$40,'AISC Angle Database'!K131&lt;='Steel Angle Lintel Design'!$K$41),1,"")</f>
        <v/>
      </c>
      <c r="B131" s="44">
        <f t="shared" si="5"/>
        <v>0</v>
      </c>
      <c r="C131" s="44">
        <f t="shared" si="6"/>
        <v>0</v>
      </c>
      <c r="D131" s="42" t="e">
        <f t="shared" ca="1" si="9"/>
        <v>#NAME?</v>
      </c>
      <c r="E131" s="44" t="e">
        <f t="shared" ca="1" si="7"/>
        <v>#NAME?</v>
      </c>
      <c r="F131" s="5" t="e">
        <f t="shared" ca="1" si="8"/>
        <v>#NAME?</v>
      </c>
      <c r="G131" s="15" t="s">
        <v>273</v>
      </c>
      <c r="H131" s="15">
        <f>IF('Steel Angle Lintel Design'!$AM$16=1,1,IF('Steel Angle Lintel Design'!$AM$16=2,0,1))</f>
        <v>0</v>
      </c>
      <c r="I131" s="18">
        <v>2.44</v>
      </c>
      <c r="J131" s="15">
        <v>2</v>
      </c>
      <c r="K131" s="15">
        <v>2</v>
      </c>
      <c r="L131" s="15">
        <v>0.27100000000000002</v>
      </c>
      <c r="M131" s="15">
        <v>0.33800000000000002</v>
      </c>
      <c r="N131" s="15">
        <v>0.188</v>
      </c>
      <c r="O131" s="15">
        <v>0.27100000000000002</v>
      </c>
      <c r="P131" s="15">
        <v>0.33800000000000002</v>
      </c>
      <c r="Q131" s="15">
        <v>0.188</v>
      </c>
      <c r="R131" s="13">
        <v>0.1875</v>
      </c>
      <c r="S131" s="13">
        <v>1</v>
      </c>
      <c r="T131" s="13" t="str">
        <f>IF(S131=2,"Y",IF(J131/R131&lt;0.54*(SQRT(29000/'Steel Angle Lintel Design'!$H$31)),"Y","N"))</f>
        <v>Y</v>
      </c>
      <c r="U131" s="13" t="str">
        <f>IF(J131/R131&gt;0.91*(SQRT(29000/'Steel Angle Lintel Design'!$H$31)),"Y","N")</f>
        <v>N</v>
      </c>
      <c r="V131" s="13" t="s">
        <v>274</v>
      </c>
      <c r="W131" s="13"/>
      <c r="X131" s="13">
        <v>0.113</v>
      </c>
      <c r="Y131" s="13">
        <v>5.54</v>
      </c>
      <c r="Z131" s="13">
        <v>3.08</v>
      </c>
      <c r="AA131" s="13">
        <v>0.113</v>
      </c>
      <c r="AB131" s="13">
        <v>5.54</v>
      </c>
      <c r="AC131" s="13">
        <v>3.08</v>
      </c>
      <c r="AD131" s="8"/>
    </row>
    <row r="132" spans="1:30" s="9" customFormat="1" ht="15.75">
      <c r="A132" s="43" t="str">
        <f>IF(AND(H132=1,L132&gt;='Steel Angle Lintel Design'!$M$98,'AISC Angle Database'!N132&gt;='Steel Angle Lintel Design'!$M$96,'AISC Angle Database'!J132&gt;='Steel Angle Lintel Design'!$F$40,'AISC Angle Database'!J132&lt;='Steel Angle Lintel Design'!$F$41,'AISC Angle Database'!K132&gt;='Steel Angle Lintel Design'!$K$40,'AISC Angle Database'!K132&lt;='Steel Angle Lintel Design'!$K$41),1,"")</f>
        <v/>
      </c>
      <c r="B132" s="44">
        <f t="shared" si="5"/>
        <v>0</v>
      </c>
      <c r="C132" s="44">
        <f t="shared" si="6"/>
        <v>0</v>
      </c>
      <c r="D132" s="42" t="e">
        <f t="shared" ca="1" si="9"/>
        <v>#NAME?</v>
      </c>
      <c r="E132" s="44" t="e">
        <f t="shared" ca="1" si="7"/>
        <v>#NAME?</v>
      </c>
      <c r="F132" s="5" t="e">
        <f t="shared" ca="1" si="8"/>
        <v>#NAME?</v>
      </c>
      <c r="G132" s="15" t="s">
        <v>275</v>
      </c>
      <c r="H132" s="15">
        <f>IF('Steel Angle Lintel Design'!$AM$16=1,1,IF('Steel Angle Lintel Design'!$AM$16=2,0,1))</f>
        <v>0</v>
      </c>
      <c r="I132" s="18">
        <v>1.65</v>
      </c>
      <c r="J132" s="15">
        <v>2</v>
      </c>
      <c r="K132" s="15">
        <v>2</v>
      </c>
      <c r="L132" s="15">
        <v>0.189</v>
      </c>
      <c r="M132" s="15">
        <v>0.23</v>
      </c>
      <c r="N132" s="15">
        <v>0.129</v>
      </c>
      <c r="O132" s="15">
        <v>0.189</v>
      </c>
      <c r="P132" s="15">
        <v>0.23</v>
      </c>
      <c r="Q132" s="15">
        <v>0.129</v>
      </c>
      <c r="R132" s="13">
        <v>0.125</v>
      </c>
      <c r="S132" s="13">
        <v>1</v>
      </c>
      <c r="T132" s="13" t="str">
        <f>IF(S132=2,"Y",IF(J132/R132&lt;0.54*(SQRT(29000/'Steel Angle Lintel Design'!$H$31)),"Y","N"))</f>
        <v>N</v>
      </c>
      <c r="U132" s="13" t="str">
        <f>IF(J132/R132&gt;0.91*(SQRT(29000/'Steel Angle Lintel Design'!$H$31)),"Y","N")</f>
        <v>N</v>
      </c>
      <c r="V132" s="13" t="s">
        <v>276</v>
      </c>
      <c r="W132" s="13"/>
      <c r="X132" s="13">
        <v>7.8700000000000006E-2</v>
      </c>
      <c r="Y132" s="13">
        <v>3.77</v>
      </c>
      <c r="Z132" s="13">
        <v>2.11</v>
      </c>
      <c r="AA132" s="13">
        <v>7.8700000000000006E-2</v>
      </c>
      <c r="AB132" s="13">
        <v>3.77</v>
      </c>
      <c r="AC132" s="13">
        <v>2.11</v>
      </c>
      <c r="AD132" s="8"/>
    </row>
    <row r="133" spans="1:30" s="9" customFormat="1" ht="15.75">
      <c r="A133" s="43" t="str">
        <f>IF(AND(H133=1,L133&gt;='Steel Angle Lintel Design'!$M$98,'AISC Angle Database'!N133&gt;='Steel Angle Lintel Design'!$M$96,'AISC Angle Database'!J133&gt;='Steel Angle Lintel Design'!$F$40,'AISC Angle Database'!J133&lt;='Steel Angle Lintel Design'!$F$41,'AISC Angle Database'!K133&gt;='Steel Angle Lintel Design'!$K$40,'AISC Angle Database'!K133&lt;='Steel Angle Lintel Design'!$K$41),1,"")</f>
        <v/>
      </c>
      <c r="B133" s="45">
        <f t="shared" si="5"/>
        <v>0</v>
      </c>
      <c r="C133" s="45">
        <f t="shared" si="6"/>
        <v>0</v>
      </c>
      <c r="D133" s="23" t="e">
        <f t="shared" ca="1" si="9"/>
        <v>#NAME?</v>
      </c>
      <c r="E133" s="45" t="e">
        <f t="shared" ca="1" si="7"/>
        <v>#NAME?</v>
      </c>
      <c r="F133" s="6" t="e">
        <f t="shared" ca="1" si="8"/>
        <v>#NAME?</v>
      </c>
      <c r="G133" s="30"/>
      <c r="H133" s="30"/>
      <c r="I133" s="31"/>
      <c r="J133" s="30"/>
      <c r="K133" s="30"/>
      <c r="L133" s="30"/>
      <c r="M133" s="30"/>
      <c r="N133" s="30"/>
      <c r="O133" s="30"/>
      <c r="P133" s="30"/>
      <c r="Q133" s="30"/>
      <c r="R133" s="22"/>
      <c r="S133" s="32"/>
      <c r="T133" s="13"/>
      <c r="U133" s="13"/>
      <c r="V133" s="32"/>
      <c r="W133" s="32"/>
      <c r="X133" s="32"/>
      <c r="Y133" s="32"/>
      <c r="Z133" s="32"/>
      <c r="AA133" s="32"/>
      <c r="AB133" s="32"/>
      <c r="AC133" s="32"/>
      <c r="AD133" s="8"/>
    </row>
    <row r="134" spans="1:30" s="34" customFormat="1" ht="29.25" customHeight="1">
      <c r="A134" s="43" t="str">
        <f>IF(AND(H134=1,L134&gt;='Steel Angle Lintel Design'!$M$98,'AISC Angle Database'!N134&gt;='Steel Angle Lintel Design'!$M$96,'AISC Angle Database'!J134&gt;='Steel Angle Lintel Design'!$F$40,'AISC Angle Database'!J134&lt;='Steel Angle Lintel Design'!$F$41,'AISC Angle Database'!K134&gt;='Steel Angle Lintel Design'!$K$40,'AISC Angle Database'!K134&lt;='Steel Angle Lintel Design'!$K$41),1,"")</f>
        <v/>
      </c>
      <c r="B134" s="52"/>
      <c r="C134" s="52"/>
      <c r="D134" s="53"/>
      <c r="E134" s="52"/>
      <c r="F134" s="41" t="s">
        <v>709</v>
      </c>
      <c r="G134" s="38" t="s">
        <v>710</v>
      </c>
      <c r="H134" s="39" t="s">
        <v>693</v>
      </c>
      <c r="I134" s="40" t="s">
        <v>6</v>
      </c>
      <c r="J134" s="38" t="s">
        <v>284</v>
      </c>
      <c r="K134" s="38" t="s">
        <v>285</v>
      </c>
      <c r="L134" s="38" t="s">
        <v>278</v>
      </c>
      <c r="M134" s="38" t="s">
        <v>279</v>
      </c>
      <c r="N134" s="38" t="s">
        <v>280</v>
      </c>
      <c r="O134" s="38" t="s">
        <v>281</v>
      </c>
      <c r="P134" s="38" t="s">
        <v>282</v>
      </c>
      <c r="Q134" s="38" t="s">
        <v>283</v>
      </c>
      <c r="R134" s="33" t="s">
        <v>727</v>
      </c>
      <c r="S134" s="41"/>
      <c r="T134" s="54"/>
      <c r="U134" s="54" t="s">
        <v>793</v>
      </c>
      <c r="V134" s="37" t="s">
        <v>277</v>
      </c>
      <c r="W134" s="37" t="s">
        <v>688</v>
      </c>
      <c r="X134" s="37" t="s">
        <v>278</v>
      </c>
      <c r="Y134" s="37" t="s">
        <v>279</v>
      </c>
      <c r="Z134" s="37" t="s">
        <v>280</v>
      </c>
      <c r="AA134" s="37" t="s">
        <v>281</v>
      </c>
      <c r="AB134" s="37" t="s">
        <v>282</v>
      </c>
      <c r="AC134" s="37" t="s">
        <v>283</v>
      </c>
    </row>
    <row r="135" spans="1:30" s="8" customFormat="1" ht="15.75">
      <c r="A135" s="43">
        <f>IF(AND(H135=1,L135&gt;='Steel Angle Lintel Design'!$M$98,'AISC Angle Database'!N135&gt;='Steel Angle Lintel Design'!$M$96,'AISC Angle Database'!J135&gt;='Steel Angle Lintel Design'!$F$40,'AISC Angle Database'!J135&lt;='Steel Angle Lintel Design'!$F$41,'AISC Angle Database'!K135&gt;='Steel Angle Lintel Design'!$K$40,'AISC Angle Database'!K135&lt;='Steel Angle Lintel Design'!$K$41),1,"")</f>
        <v>1</v>
      </c>
      <c r="B135" s="44">
        <f t="shared" ref="B135:B197" si="10">IF(A135=1,B134+1,B134)</f>
        <v>1</v>
      </c>
      <c r="C135" s="44">
        <f t="shared" ref="C135:C197" si="11">IF(A135=1,I135,0)</f>
        <v>114</v>
      </c>
      <c r="D135" s="42" t="e">
        <f t="shared" ref="D135:D198" ca="1" si="12">_xlfn.RANK.EQ(C135,$C$6:$C$333)</f>
        <v>#NAME?</v>
      </c>
      <c r="E135" s="44" t="e">
        <f t="shared" ref="E135:E197" ca="1" si="13">D135-D$335</f>
        <v>#NAME?</v>
      </c>
      <c r="F135" s="5" t="e">
        <f t="shared" ref="F135:F197" ca="1" si="14">E135*-1</f>
        <v>#NAME?</v>
      </c>
      <c r="G135" s="15" t="s">
        <v>286</v>
      </c>
      <c r="H135" s="15">
        <f>IF('Steel Angle Lintel Design'!$AM$16=1,0,IF('Steel Angle Lintel Design'!$AM$16=2,1,1))</f>
        <v>1</v>
      </c>
      <c r="I135" s="19">
        <v>114</v>
      </c>
      <c r="J135" s="15">
        <v>8</v>
      </c>
      <c r="K135" s="15">
        <v>8</v>
      </c>
      <c r="L135" s="15">
        <v>196</v>
      </c>
      <c r="M135" s="15">
        <v>63.2</v>
      </c>
      <c r="N135" s="15">
        <v>35</v>
      </c>
      <c r="O135" s="13">
        <v>389.57</v>
      </c>
      <c r="P135" s="15">
        <v>0</v>
      </c>
      <c r="Q135" s="15">
        <v>0</v>
      </c>
      <c r="R135" s="13">
        <v>1.125</v>
      </c>
      <c r="S135" s="13">
        <v>2</v>
      </c>
      <c r="T135" s="13" t="str">
        <f>IF(S135=2,"Y",IF(J135/R135&lt;0.54*(SQRT(29000/'Steel Angle Lintel Design'!$H$31)),"Y","N"))</f>
        <v>Y</v>
      </c>
      <c r="U135" s="13" t="str">
        <f>IF(J135/R135&gt;0.91*(SQRT(29000/'Steel Angle Lintel Design'!$H$31)),"Y","N")</f>
        <v>N</v>
      </c>
      <c r="V135" s="13" t="s">
        <v>287</v>
      </c>
      <c r="W135" s="13"/>
      <c r="X135" s="13">
        <v>81.599999999999994</v>
      </c>
      <c r="Y135" s="13">
        <v>1040</v>
      </c>
      <c r="Z135" s="13">
        <v>574</v>
      </c>
      <c r="AA135" s="13"/>
      <c r="AB135" s="13">
        <v>0</v>
      </c>
      <c r="AC135" s="13">
        <v>0</v>
      </c>
    </row>
    <row r="136" spans="1:30" s="8" customFormat="1" ht="15.75">
      <c r="A136" s="43">
        <f>IF(AND(H136=1,L136&gt;='Steel Angle Lintel Design'!$M$98,'AISC Angle Database'!N136&gt;='Steel Angle Lintel Design'!$M$96,'AISC Angle Database'!J136&gt;='Steel Angle Lintel Design'!$F$40,'AISC Angle Database'!J136&lt;='Steel Angle Lintel Design'!$F$41,'AISC Angle Database'!K136&gt;='Steel Angle Lintel Design'!$K$40,'AISC Angle Database'!K136&lt;='Steel Angle Lintel Design'!$K$41),1,"")</f>
        <v>1</v>
      </c>
      <c r="B136" s="44">
        <f t="shared" si="10"/>
        <v>2</v>
      </c>
      <c r="C136" s="44">
        <f t="shared" si="11"/>
        <v>103</v>
      </c>
      <c r="D136" s="42" t="e">
        <f t="shared" ca="1" si="12"/>
        <v>#NAME?</v>
      </c>
      <c r="E136" s="44" t="e">
        <f t="shared" ca="1" si="13"/>
        <v>#NAME?</v>
      </c>
      <c r="F136" s="5" t="e">
        <f t="shared" ca="1" si="14"/>
        <v>#NAME?</v>
      </c>
      <c r="G136" s="15" t="s">
        <v>288</v>
      </c>
      <c r="H136" s="15">
        <f>IF('Steel Angle Lintel Design'!$AM$16=1,0,IF('Steel Angle Lintel Design'!$AM$16=2,1,1))</f>
        <v>1</v>
      </c>
      <c r="I136" s="19">
        <v>103</v>
      </c>
      <c r="J136" s="15">
        <v>8</v>
      </c>
      <c r="K136" s="15">
        <v>8</v>
      </c>
      <c r="L136" s="15">
        <v>178</v>
      </c>
      <c r="M136" s="15">
        <v>57</v>
      </c>
      <c r="N136" s="15">
        <v>31.6</v>
      </c>
      <c r="O136" s="13">
        <v>347.86</v>
      </c>
      <c r="P136" s="15">
        <v>0</v>
      </c>
      <c r="Q136" s="15">
        <v>0</v>
      </c>
      <c r="R136" s="13">
        <v>1</v>
      </c>
      <c r="S136" s="13">
        <v>2</v>
      </c>
      <c r="T136" s="13" t="str">
        <f>IF(S136=2,"Y",IF(J136/R136&lt;0.54*(SQRT(29000/'Steel Angle Lintel Design'!$H$31)),"Y","N"))</f>
        <v>Y</v>
      </c>
      <c r="U136" s="13" t="str">
        <f>IF(J136/R136&gt;0.91*(SQRT(29000/'Steel Angle Lintel Design'!$H$31)),"Y","N")</f>
        <v>N</v>
      </c>
      <c r="V136" s="13" t="s">
        <v>289</v>
      </c>
      <c r="W136" s="13"/>
      <c r="X136" s="13">
        <v>74.099999999999994</v>
      </c>
      <c r="Y136" s="13">
        <v>934</v>
      </c>
      <c r="Z136" s="13">
        <v>518</v>
      </c>
      <c r="AA136" s="13"/>
      <c r="AB136" s="13">
        <v>0</v>
      </c>
      <c r="AC136" s="13">
        <v>0</v>
      </c>
    </row>
    <row r="137" spans="1:30" s="8" customFormat="1" ht="15.75">
      <c r="A137" s="43">
        <f>IF(AND(H137=1,L137&gt;='Steel Angle Lintel Design'!$M$98,'AISC Angle Database'!N137&gt;='Steel Angle Lintel Design'!$M$96,'AISC Angle Database'!J137&gt;='Steel Angle Lintel Design'!$F$40,'AISC Angle Database'!J137&lt;='Steel Angle Lintel Design'!$F$41,'AISC Angle Database'!K137&gt;='Steel Angle Lintel Design'!$K$40,'AISC Angle Database'!K137&lt;='Steel Angle Lintel Design'!$K$41),1,"")</f>
        <v>1</v>
      </c>
      <c r="B137" s="44">
        <f t="shared" si="10"/>
        <v>3</v>
      </c>
      <c r="C137" s="44">
        <f t="shared" si="11"/>
        <v>90.6</v>
      </c>
      <c r="D137" s="42" t="e">
        <f t="shared" ca="1" si="12"/>
        <v>#NAME?</v>
      </c>
      <c r="E137" s="44" t="e">
        <f t="shared" ca="1" si="13"/>
        <v>#NAME?</v>
      </c>
      <c r="F137" s="5" t="e">
        <f t="shared" ca="1" si="14"/>
        <v>#NAME?</v>
      </c>
      <c r="G137" s="15" t="s">
        <v>290</v>
      </c>
      <c r="H137" s="15">
        <f>IF('Steel Angle Lintel Design'!$AM$16=1,0,IF('Steel Angle Lintel Design'!$AM$16=2,1,1))</f>
        <v>1</v>
      </c>
      <c r="I137" s="19">
        <v>90.6</v>
      </c>
      <c r="J137" s="15">
        <v>8</v>
      </c>
      <c r="K137" s="15">
        <v>8</v>
      </c>
      <c r="L137" s="15">
        <v>159</v>
      </c>
      <c r="M137" s="15">
        <v>50.5</v>
      </c>
      <c r="N137" s="15">
        <v>28</v>
      </c>
      <c r="O137" s="13">
        <v>300.58999999999997</v>
      </c>
      <c r="P137" s="15">
        <v>0</v>
      </c>
      <c r="Q137" s="15">
        <v>0</v>
      </c>
      <c r="R137" s="13">
        <v>0.875</v>
      </c>
      <c r="S137" s="13">
        <v>2</v>
      </c>
      <c r="T137" s="13" t="str">
        <f>IF(S137=2,"Y",IF(J137/R137&lt;0.54*(SQRT(29000/'Steel Angle Lintel Design'!$H$31)),"Y","N"))</f>
        <v>Y</v>
      </c>
      <c r="U137" s="13" t="str">
        <f>IF(J137/R137&gt;0.91*(SQRT(29000/'Steel Angle Lintel Design'!$H$31)),"Y","N")</f>
        <v>N</v>
      </c>
      <c r="V137" s="13" t="s">
        <v>291</v>
      </c>
      <c r="W137" s="13"/>
      <c r="X137" s="13">
        <v>66.2</v>
      </c>
      <c r="Y137" s="13">
        <v>828</v>
      </c>
      <c r="Z137" s="13">
        <v>459</v>
      </c>
      <c r="AA137" s="13"/>
      <c r="AB137" s="13">
        <v>0</v>
      </c>
      <c r="AC137" s="13">
        <v>0</v>
      </c>
    </row>
    <row r="138" spans="1:30" s="8" customFormat="1" ht="15.75">
      <c r="A138" s="43">
        <f>IF(AND(H138=1,L138&gt;='Steel Angle Lintel Design'!$M$98,'AISC Angle Database'!N138&gt;='Steel Angle Lintel Design'!$M$96,'AISC Angle Database'!J138&gt;='Steel Angle Lintel Design'!$F$40,'AISC Angle Database'!J138&lt;='Steel Angle Lintel Design'!$F$41,'AISC Angle Database'!K138&gt;='Steel Angle Lintel Design'!$K$40,'AISC Angle Database'!K138&lt;='Steel Angle Lintel Design'!$K$41),1,"")</f>
        <v>1</v>
      </c>
      <c r="B138" s="44">
        <f t="shared" si="10"/>
        <v>4</v>
      </c>
      <c r="C138" s="44">
        <f t="shared" si="11"/>
        <v>78.400000000000006</v>
      </c>
      <c r="D138" s="42" t="e">
        <f t="shared" ca="1" si="12"/>
        <v>#NAME?</v>
      </c>
      <c r="E138" s="44" t="e">
        <f t="shared" ca="1" si="13"/>
        <v>#NAME?</v>
      </c>
      <c r="F138" s="5" t="e">
        <f t="shared" ca="1" si="14"/>
        <v>#NAME?</v>
      </c>
      <c r="G138" s="15" t="s">
        <v>292</v>
      </c>
      <c r="H138" s="15">
        <f>IF('Steel Angle Lintel Design'!$AM$16=1,0,IF('Steel Angle Lintel Design'!$AM$16=2,1,1))</f>
        <v>1</v>
      </c>
      <c r="I138" s="19">
        <v>78.400000000000006</v>
      </c>
      <c r="J138" s="15">
        <v>8</v>
      </c>
      <c r="K138" s="15">
        <v>8</v>
      </c>
      <c r="L138" s="15">
        <v>140</v>
      </c>
      <c r="M138" s="15">
        <v>43.9</v>
      </c>
      <c r="N138" s="15">
        <v>24.4</v>
      </c>
      <c r="O138" s="13">
        <v>257.02999999999997</v>
      </c>
      <c r="P138" s="15">
        <v>0</v>
      </c>
      <c r="Q138" s="15">
        <v>0</v>
      </c>
      <c r="R138" s="13">
        <v>0.75</v>
      </c>
      <c r="S138" s="13">
        <v>2</v>
      </c>
      <c r="T138" s="13" t="str">
        <f>IF(S138=2,"Y",IF(J138/R138&lt;0.54*(SQRT(29000/'Steel Angle Lintel Design'!$H$31)),"Y","N"))</f>
        <v>Y</v>
      </c>
      <c r="U138" s="13" t="str">
        <f>IF(J138/R138&gt;0.91*(SQRT(29000/'Steel Angle Lintel Design'!$H$31)),"Y","N")</f>
        <v>N</v>
      </c>
      <c r="V138" s="13" t="s">
        <v>293</v>
      </c>
      <c r="W138" s="13"/>
      <c r="X138" s="13">
        <v>58.3</v>
      </c>
      <c r="Y138" s="13">
        <v>719</v>
      </c>
      <c r="Z138" s="13">
        <v>400</v>
      </c>
      <c r="AA138" s="13"/>
      <c r="AB138" s="13">
        <v>0</v>
      </c>
      <c r="AC138" s="13">
        <v>0</v>
      </c>
    </row>
    <row r="139" spans="1:30" s="8" customFormat="1" ht="15.75">
      <c r="A139" s="43">
        <f>IF(AND(H139=1,L139&gt;='Steel Angle Lintel Design'!$M$98,'AISC Angle Database'!N139&gt;='Steel Angle Lintel Design'!$M$96,'AISC Angle Database'!J139&gt;='Steel Angle Lintel Design'!$F$40,'AISC Angle Database'!J139&lt;='Steel Angle Lintel Design'!$F$41,'AISC Angle Database'!K139&gt;='Steel Angle Lintel Design'!$K$40,'AISC Angle Database'!K139&lt;='Steel Angle Lintel Design'!$K$41),1,"")</f>
        <v>1</v>
      </c>
      <c r="B139" s="44">
        <f t="shared" si="10"/>
        <v>5</v>
      </c>
      <c r="C139" s="44">
        <f t="shared" si="11"/>
        <v>66</v>
      </c>
      <c r="D139" s="42" t="e">
        <f t="shared" ca="1" si="12"/>
        <v>#NAME?</v>
      </c>
      <c r="E139" s="44" t="e">
        <f t="shared" ca="1" si="13"/>
        <v>#NAME?</v>
      </c>
      <c r="F139" s="5" t="e">
        <f t="shared" ca="1" si="14"/>
        <v>#NAME?</v>
      </c>
      <c r="G139" s="15" t="s">
        <v>294</v>
      </c>
      <c r="H139" s="15">
        <f>IF('Steel Angle Lintel Design'!$AM$16=1,0,IF('Steel Angle Lintel Design'!$AM$16=2,1,1))</f>
        <v>1</v>
      </c>
      <c r="I139" s="19">
        <v>66</v>
      </c>
      <c r="J139" s="15">
        <v>8</v>
      </c>
      <c r="K139" s="15">
        <v>8</v>
      </c>
      <c r="L139" s="15">
        <v>119</v>
      </c>
      <c r="M139" s="15">
        <v>37.1</v>
      </c>
      <c r="N139" s="15">
        <v>20.6</v>
      </c>
      <c r="O139" s="13">
        <v>214.79</v>
      </c>
      <c r="P139" s="15">
        <v>0</v>
      </c>
      <c r="Q139" s="15">
        <v>0</v>
      </c>
      <c r="R139" s="13">
        <v>0.625</v>
      </c>
      <c r="S139" s="13">
        <v>2</v>
      </c>
      <c r="T139" s="13" t="str">
        <f>IF(S139=2,"Y",IF(J139/R139&lt;0.54*(SQRT(29000/'Steel Angle Lintel Design'!$H$31)),"Y","N"))</f>
        <v>Y</v>
      </c>
      <c r="U139" s="13" t="str">
        <f>IF(J139/R139&gt;0.91*(SQRT(29000/'Steel Angle Lintel Design'!$H$31)),"Y","N")</f>
        <v>N</v>
      </c>
      <c r="V139" s="13" t="s">
        <v>295</v>
      </c>
      <c r="W139" s="13"/>
      <c r="X139" s="13">
        <v>49.5</v>
      </c>
      <c r="Y139" s="13">
        <v>608</v>
      </c>
      <c r="Z139" s="13">
        <v>338</v>
      </c>
      <c r="AA139" s="13"/>
      <c r="AB139" s="13">
        <v>0</v>
      </c>
      <c r="AC139" s="13">
        <v>0</v>
      </c>
    </row>
    <row r="140" spans="1:30" s="8" customFormat="1" ht="15.75">
      <c r="A140" s="43" t="str">
        <f>IF(AND(H140=1,L140&gt;='Steel Angle Lintel Design'!$M$98,'AISC Angle Database'!N140&gt;='Steel Angle Lintel Design'!$M$96,'AISC Angle Database'!J140&gt;='Steel Angle Lintel Design'!$F$40,'AISC Angle Database'!J140&lt;='Steel Angle Lintel Design'!$F$41,'AISC Angle Database'!K140&gt;='Steel Angle Lintel Design'!$K$40,'AISC Angle Database'!K140&lt;='Steel Angle Lintel Design'!$K$41),1,"")</f>
        <v/>
      </c>
      <c r="B140" s="44">
        <f t="shared" si="10"/>
        <v>5</v>
      </c>
      <c r="C140" s="44">
        <f t="shared" si="11"/>
        <v>0</v>
      </c>
      <c r="D140" s="42" t="e">
        <f t="shared" ca="1" si="12"/>
        <v>#NAME?</v>
      </c>
      <c r="E140" s="44" t="e">
        <f t="shared" ca="1" si="13"/>
        <v>#NAME?</v>
      </c>
      <c r="F140" s="5" t="e">
        <f t="shared" ca="1" si="14"/>
        <v>#NAME?</v>
      </c>
      <c r="G140" s="15" t="s">
        <v>296</v>
      </c>
      <c r="H140" s="15">
        <f>IF('Steel Angle Lintel Design'!$AM$16=1,0,IF('Steel Angle Lintel Design'!$AM$16=2,1,1))</f>
        <v>1</v>
      </c>
      <c r="I140" s="19">
        <v>59.7</v>
      </c>
      <c r="J140" s="15">
        <v>8</v>
      </c>
      <c r="K140" s="15">
        <v>8</v>
      </c>
      <c r="L140" s="15">
        <v>108</v>
      </c>
      <c r="M140" s="15">
        <v>33.700000000000003</v>
      </c>
      <c r="N140" s="15">
        <v>18.7</v>
      </c>
      <c r="O140" s="13">
        <v>192.22</v>
      </c>
      <c r="P140" s="15">
        <v>0</v>
      </c>
      <c r="Q140" s="15">
        <v>0</v>
      </c>
      <c r="R140" s="13">
        <v>0.5625</v>
      </c>
      <c r="S140" s="13">
        <v>2</v>
      </c>
      <c r="T140" s="13" t="str">
        <f>IF(S140=2,"Y",IF(J140/R140&lt;0.54*(SQRT(29000/'Steel Angle Lintel Design'!$H$31)),"Y","N"))</f>
        <v>Y</v>
      </c>
      <c r="U140" s="13" t="str">
        <f>IF(J140/R140&gt;0.91*(SQRT(29000/'Steel Angle Lintel Design'!$H$31)),"Y","N")</f>
        <v>N</v>
      </c>
      <c r="V140" s="13" t="s">
        <v>297</v>
      </c>
      <c r="W140" s="13"/>
      <c r="X140" s="13">
        <v>45</v>
      </c>
      <c r="Y140" s="13">
        <v>552</v>
      </c>
      <c r="Z140" s="13">
        <v>306</v>
      </c>
      <c r="AA140" s="13"/>
      <c r="AB140" s="13">
        <v>0</v>
      </c>
      <c r="AC140" s="13">
        <v>0</v>
      </c>
    </row>
    <row r="141" spans="1:30" s="8" customFormat="1" ht="15.75">
      <c r="A141" s="43" t="str">
        <f>IF(AND(H141=1,L141&gt;='Steel Angle Lintel Design'!$M$98,'AISC Angle Database'!N141&gt;='Steel Angle Lintel Design'!$M$96,'AISC Angle Database'!J141&gt;='Steel Angle Lintel Design'!$F$40,'AISC Angle Database'!J141&lt;='Steel Angle Lintel Design'!$F$41,'AISC Angle Database'!K141&gt;='Steel Angle Lintel Design'!$K$40,'AISC Angle Database'!K141&lt;='Steel Angle Lintel Design'!$K$41),1,"")</f>
        <v/>
      </c>
      <c r="B141" s="44">
        <f t="shared" si="10"/>
        <v>5</v>
      </c>
      <c r="C141" s="44">
        <f t="shared" si="11"/>
        <v>0</v>
      </c>
      <c r="D141" s="42" t="e">
        <f t="shared" ca="1" si="12"/>
        <v>#NAME?</v>
      </c>
      <c r="E141" s="44" t="e">
        <f t="shared" ca="1" si="13"/>
        <v>#NAME?</v>
      </c>
      <c r="F141" s="5" t="e">
        <f t="shared" ca="1" si="14"/>
        <v>#NAME?</v>
      </c>
      <c r="G141" s="15" t="s">
        <v>298</v>
      </c>
      <c r="H141" s="15">
        <f>IF('Steel Angle Lintel Design'!$AM$16=1,0,IF('Steel Angle Lintel Design'!$AM$16=2,1,1))</f>
        <v>1</v>
      </c>
      <c r="I141" s="19">
        <v>53.3</v>
      </c>
      <c r="J141" s="15">
        <v>8</v>
      </c>
      <c r="K141" s="15">
        <v>8</v>
      </c>
      <c r="L141" s="15">
        <v>97.6</v>
      </c>
      <c r="M141" s="15">
        <v>30.1</v>
      </c>
      <c r="N141" s="15">
        <v>16.7</v>
      </c>
      <c r="O141" s="13">
        <v>170.58</v>
      </c>
      <c r="P141" s="15">
        <v>0</v>
      </c>
      <c r="Q141" s="15">
        <v>0</v>
      </c>
      <c r="R141" s="13">
        <v>0.5</v>
      </c>
      <c r="S141" s="13">
        <v>2</v>
      </c>
      <c r="T141" s="13" t="str">
        <f>IF(S141=2,"Y",IF(J141/R141&lt;0.54*(SQRT(29000/'Steel Angle Lintel Design'!$H$31)),"Y","N"))</f>
        <v>Y</v>
      </c>
      <c r="U141" s="13" t="str">
        <f>IF(J141/R141&gt;0.91*(SQRT(29000/'Steel Angle Lintel Design'!$H$31)),"Y","N")</f>
        <v>N</v>
      </c>
      <c r="V141" s="13" t="s">
        <v>299</v>
      </c>
      <c r="W141" s="13"/>
      <c r="X141" s="13">
        <v>40.6</v>
      </c>
      <c r="Y141" s="13">
        <v>493</v>
      </c>
      <c r="Z141" s="13">
        <v>274</v>
      </c>
      <c r="AA141" s="13"/>
      <c r="AB141" s="13">
        <v>0</v>
      </c>
      <c r="AC141" s="13">
        <v>0</v>
      </c>
    </row>
    <row r="142" spans="1:30" s="8" customFormat="1" ht="15.75">
      <c r="A142" s="43" t="str">
        <f>IF(AND(H142=1,L142&gt;='Steel Angle Lintel Design'!$M$98,'AISC Angle Database'!N142&gt;='Steel Angle Lintel Design'!$M$96,'AISC Angle Database'!J142&gt;='Steel Angle Lintel Design'!$F$40,'AISC Angle Database'!J142&lt;='Steel Angle Lintel Design'!$F$41,'AISC Angle Database'!K142&gt;='Steel Angle Lintel Design'!$K$40,'AISC Angle Database'!K142&lt;='Steel Angle Lintel Design'!$K$41),1,"")</f>
        <v/>
      </c>
      <c r="B142" s="44">
        <f t="shared" si="10"/>
        <v>5</v>
      </c>
      <c r="C142" s="44">
        <f t="shared" si="11"/>
        <v>0</v>
      </c>
      <c r="D142" s="42" t="e">
        <f t="shared" ca="1" si="12"/>
        <v>#NAME?</v>
      </c>
      <c r="E142" s="44" t="e">
        <f t="shared" ca="1" si="13"/>
        <v>#NAME?</v>
      </c>
      <c r="F142" s="5" t="e">
        <f t="shared" ca="1" si="14"/>
        <v>#NAME?</v>
      </c>
      <c r="G142" s="15" t="s">
        <v>300</v>
      </c>
      <c r="H142" s="15">
        <f>IF('Steel Angle Lintel Design'!$AM$16=1,0,IF('Steel Angle Lintel Design'!$AM$16=2,1,1))</f>
        <v>1</v>
      </c>
      <c r="I142" s="19">
        <v>75</v>
      </c>
      <c r="J142" s="15">
        <v>6</v>
      </c>
      <c r="K142" s="15">
        <v>6</v>
      </c>
      <c r="L142" s="15">
        <v>70.8</v>
      </c>
      <c r="M142" s="15">
        <v>30.8</v>
      </c>
      <c r="N142" s="15">
        <v>17.100000000000001</v>
      </c>
      <c r="O142" s="13">
        <v>146.71</v>
      </c>
      <c r="P142" s="15">
        <v>0</v>
      </c>
      <c r="Q142" s="15">
        <v>0</v>
      </c>
      <c r="R142" s="13">
        <v>1</v>
      </c>
      <c r="S142" s="13">
        <v>2</v>
      </c>
      <c r="T142" s="13" t="str">
        <f>IF(S142=2,"Y",IF(J142/R142&lt;0.54*(SQRT(29000/'Steel Angle Lintel Design'!$H$31)),"Y","N"))</f>
        <v>Y</v>
      </c>
      <c r="U142" s="13" t="str">
        <f>IF(J142/R142&gt;0.91*(SQRT(29000/'Steel Angle Lintel Design'!$H$31)),"Y","N")</f>
        <v>N</v>
      </c>
      <c r="V142" s="13" t="s">
        <v>301</v>
      </c>
      <c r="W142" s="13"/>
      <c r="X142" s="13">
        <v>29.5</v>
      </c>
      <c r="Y142" s="13">
        <v>505</v>
      </c>
      <c r="Z142" s="13">
        <v>280</v>
      </c>
      <c r="AA142" s="13"/>
      <c r="AB142" s="13">
        <v>0</v>
      </c>
      <c r="AC142" s="13">
        <v>0</v>
      </c>
    </row>
    <row r="143" spans="1:30" s="8" customFormat="1" ht="15.75">
      <c r="A143" s="43" t="str">
        <f>IF(AND(H143=1,L143&gt;='Steel Angle Lintel Design'!$M$98,'AISC Angle Database'!N143&gt;='Steel Angle Lintel Design'!$M$96,'AISC Angle Database'!J143&gt;='Steel Angle Lintel Design'!$F$40,'AISC Angle Database'!J143&lt;='Steel Angle Lintel Design'!$F$41,'AISC Angle Database'!K143&gt;='Steel Angle Lintel Design'!$K$40,'AISC Angle Database'!K143&lt;='Steel Angle Lintel Design'!$K$41),1,"")</f>
        <v/>
      </c>
      <c r="B143" s="44">
        <f t="shared" si="10"/>
        <v>5</v>
      </c>
      <c r="C143" s="44">
        <f t="shared" si="11"/>
        <v>0</v>
      </c>
      <c r="D143" s="42" t="e">
        <f t="shared" ca="1" si="12"/>
        <v>#NAME?</v>
      </c>
      <c r="E143" s="44" t="e">
        <f t="shared" ca="1" si="13"/>
        <v>#NAME?</v>
      </c>
      <c r="F143" s="5" t="e">
        <f t="shared" ca="1" si="14"/>
        <v>#NAME?</v>
      </c>
      <c r="G143" s="15" t="s">
        <v>302</v>
      </c>
      <c r="H143" s="15">
        <f>IF('Steel Angle Lintel Design'!$AM$16=1,0,IF('Steel Angle Lintel Design'!$AM$16=2,1,1))</f>
        <v>1</v>
      </c>
      <c r="I143" s="19">
        <v>66.41</v>
      </c>
      <c r="J143" s="15">
        <v>6</v>
      </c>
      <c r="K143" s="15">
        <v>6</v>
      </c>
      <c r="L143" s="15">
        <v>63.8</v>
      </c>
      <c r="M143" s="15">
        <v>27.4</v>
      </c>
      <c r="N143" s="15">
        <v>15.2</v>
      </c>
      <c r="O143" s="13">
        <v>127.88</v>
      </c>
      <c r="P143" s="15">
        <v>0</v>
      </c>
      <c r="Q143" s="15">
        <v>0</v>
      </c>
      <c r="R143" s="13">
        <v>0.875</v>
      </c>
      <c r="S143" s="13">
        <v>2</v>
      </c>
      <c r="T143" s="13" t="str">
        <f>IF(S143=2,"Y",IF(J143/R143&lt;0.54*(SQRT(29000/'Steel Angle Lintel Design'!$H$31)),"Y","N"))</f>
        <v>Y</v>
      </c>
      <c r="U143" s="13" t="str">
        <f>IF(J143/R143&gt;0.91*(SQRT(29000/'Steel Angle Lintel Design'!$H$31)),"Y","N")</f>
        <v>N</v>
      </c>
      <c r="V143" s="13" t="s">
        <v>303</v>
      </c>
      <c r="W143" s="13"/>
      <c r="X143" s="13">
        <v>26.6</v>
      </c>
      <c r="Y143" s="13">
        <v>449</v>
      </c>
      <c r="Z143" s="13">
        <v>249</v>
      </c>
      <c r="AA143" s="13"/>
      <c r="AB143" s="13">
        <v>0</v>
      </c>
      <c r="AC143" s="13">
        <v>0</v>
      </c>
    </row>
    <row r="144" spans="1:30" s="8" customFormat="1" ht="15.75">
      <c r="A144" s="43" t="str">
        <f>IF(AND(H144=1,L144&gt;='Steel Angle Lintel Design'!$M$98,'AISC Angle Database'!N144&gt;='Steel Angle Lintel Design'!$M$96,'AISC Angle Database'!J144&gt;='Steel Angle Lintel Design'!$F$40,'AISC Angle Database'!J144&lt;='Steel Angle Lintel Design'!$F$41,'AISC Angle Database'!K144&gt;='Steel Angle Lintel Design'!$K$40,'AISC Angle Database'!K144&lt;='Steel Angle Lintel Design'!$K$41),1,"")</f>
        <v/>
      </c>
      <c r="B144" s="44">
        <f t="shared" si="10"/>
        <v>5</v>
      </c>
      <c r="C144" s="44">
        <f t="shared" si="11"/>
        <v>0</v>
      </c>
      <c r="D144" s="42" t="e">
        <f t="shared" ca="1" si="12"/>
        <v>#NAME?</v>
      </c>
      <c r="E144" s="44" t="e">
        <f t="shared" ca="1" si="13"/>
        <v>#NAME?</v>
      </c>
      <c r="F144" s="5" t="e">
        <f t="shared" ca="1" si="14"/>
        <v>#NAME?</v>
      </c>
      <c r="G144" s="15" t="s">
        <v>304</v>
      </c>
      <c r="H144" s="15">
        <f>IF('Steel Angle Lintel Design'!$AM$16=1,0,IF('Steel Angle Lintel Design'!$AM$16=2,1,1))</f>
        <v>1</v>
      </c>
      <c r="I144" s="19">
        <v>57.6</v>
      </c>
      <c r="J144" s="15">
        <v>6</v>
      </c>
      <c r="K144" s="15">
        <v>6</v>
      </c>
      <c r="L144" s="15">
        <v>56.2</v>
      </c>
      <c r="M144" s="15">
        <v>23.9</v>
      </c>
      <c r="N144" s="15">
        <v>13.3</v>
      </c>
      <c r="O144" s="13">
        <v>109.21</v>
      </c>
      <c r="P144" s="15">
        <v>0</v>
      </c>
      <c r="Q144" s="15">
        <v>0</v>
      </c>
      <c r="R144" s="13">
        <v>0.75</v>
      </c>
      <c r="S144" s="13">
        <v>2</v>
      </c>
      <c r="T144" s="13" t="str">
        <f>IF(S144=2,"Y",IF(J144/R144&lt;0.54*(SQRT(29000/'Steel Angle Lintel Design'!$H$31)),"Y","N"))</f>
        <v>Y</v>
      </c>
      <c r="U144" s="13" t="str">
        <f>IF(J144/R144&gt;0.91*(SQRT(29000/'Steel Angle Lintel Design'!$H$31)),"Y","N")</f>
        <v>N</v>
      </c>
      <c r="V144" s="13" t="s">
        <v>305</v>
      </c>
      <c r="W144" s="13"/>
      <c r="X144" s="13">
        <v>23.4</v>
      </c>
      <c r="Y144" s="13">
        <v>392</v>
      </c>
      <c r="Z144" s="13">
        <v>218</v>
      </c>
      <c r="AA144" s="13"/>
      <c r="AB144" s="13">
        <v>0</v>
      </c>
      <c r="AC144" s="13">
        <v>0</v>
      </c>
    </row>
    <row r="145" spans="1:29" s="8" customFormat="1" ht="15.75">
      <c r="A145" s="43" t="str">
        <f>IF(AND(H145=1,L145&gt;='Steel Angle Lintel Design'!$M$98,'AISC Angle Database'!N145&gt;='Steel Angle Lintel Design'!$M$96,'AISC Angle Database'!J145&gt;='Steel Angle Lintel Design'!$F$40,'AISC Angle Database'!J145&lt;='Steel Angle Lintel Design'!$F$41,'AISC Angle Database'!K145&gt;='Steel Angle Lintel Design'!$K$40,'AISC Angle Database'!K145&lt;='Steel Angle Lintel Design'!$K$41),1,"")</f>
        <v/>
      </c>
      <c r="B145" s="44">
        <f t="shared" si="10"/>
        <v>5</v>
      </c>
      <c r="C145" s="44">
        <f t="shared" si="11"/>
        <v>0</v>
      </c>
      <c r="D145" s="42" t="e">
        <f t="shared" ca="1" si="12"/>
        <v>#NAME?</v>
      </c>
      <c r="E145" s="44" t="e">
        <f t="shared" ca="1" si="13"/>
        <v>#NAME?</v>
      </c>
      <c r="F145" s="5" t="e">
        <f t="shared" ca="1" si="14"/>
        <v>#NAME?</v>
      </c>
      <c r="G145" s="15" t="s">
        <v>306</v>
      </c>
      <c r="H145" s="15">
        <f>IF('Steel Angle Lintel Design'!$AM$16=1,0,IF('Steel Angle Lintel Design'!$AM$16=2,1,1))</f>
        <v>1</v>
      </c>
      <c r="I145" s="19">
        <v>48.5</v>
      </c>
      <c r="J145" s="15">
        <v>6</v>
      </c>
      <c r="K145" s="15">
        <v>6</v>
      </c>
      <c r="L145" s="15">
        <v>48.2</v>
      </c>
      <c r="M145" s="15">
        <v>20.2</v>
      </c>
      <c r="N145" s="15">
        <v>11.3</v>
      </c>
      <c r="O145" s="13">
        <v>90.51</v>
      </c>
      <c r="P145" s="15">
        <v>0</v>
      </c>
      <c r="Q145" s="15">
        <v>0</v>
      </c>
      <c r="R145" s="13">
        <v>0.625</v>
      </c>
      <c r="S145" s="13">
        <v>2</v>
      </c>
      <c r="T145" s="13" t="str">
        <f>IF(S145=2,"Y",IF(J145/R145&lt;0.54*(SQRT(29000/'Steel Angle Lintel Design'!$H$31)),"Y","N"))</f>
        <v>Y</v>
      </c>
      <c r="U145" s="13" t="str">
        <f>IF(J145/R145&gt;0.91*(SQRT(29000/'Steel Angle Lintel Design'!$H$31)),"Y","N")</f>
        <v>N</v>
      </c>
      <c r="V145" s="13" t="s">
        <v>307</v>
      </c>
      <c r="W145" s="13"/>
      <c r="X145" s="13">
        <v>20.100000000000001</v>
      </c>
      <c r="Y145" s="13">
        <v>331</v>
      </c>
      <c r="Z145" s="13">
        <v>185</v>
      </c>
      <c r="AA145" s="13"/>
      <c r="AB145" s="13">
        <v>0</v>
      </c>
      <c r="AC145" s="13">
        <v>0</v>
      </c>
    </row>
    <row r="146" spans="1:29" s="8" customFormat="1" ht="15.75">
      <c r="A146" s="43" t="str">
        <f>IF(AND(H146=1,L146&gt;='Steel Angle Lintel Design'!$M$98,'AISC Angle Database'!N146&gt;='Steel Angle Lintel Design'!$M$96,'AISC Angle Database'!J146&gt;='Steel Angle Lintel Design'!$F$40,'AISC Angle Database'!J146&lt;='Steel Angle Lintel Design'!$F$41,'AISC Angle Database'!K146&gt;='Steel Angle Lintel Design'!$K$40,'AISC Angle Database'!K146&lt;='Steel Angle Lintel Design'!$K$41),1,"")</f>
        <v/>
      </c>
      <c r="B146" s="44">
        <f t="shared" si="10"/>
        <v>5</v>
      </c>
      <c r="C146" s="44">
        <f t="shared" si="11"/>
        <v>0</v>
      </c>
      <c r="D146" s="42" t="e">
        <f t="shared" ca="1" si="12"/>
        <v>#NAME?</v>
      </c>
      <c r="E146" s="44" t="e">
        <f t="shared" ca="1" si="13"/>
        <v>#NAME?</v>
      </c>
      <c r="F146" s="5" t="e">
        <f t="shared" ca="1" si="14"/>
        <v>#NAME?</v>
      </c>
      <c r="G146" s="15" t="s">
        <v>308</v>
      </c>
      <c r="H146" s="15">
        <f>IF('Steel Angle Lintel Design'!$AM$16=1,0,IF('Steel Angle Lintel Design'!$AM$16=2,1,1))</f>
        <v>1</v>
      </c>
      <c r="I146" s="19">
        <v>43.9</v>
      </c>
      <c r="J146" s="15">
        <v>6</v>
      </c>
      <c r="K146" s="15">
        <v>6</v>
      </c>
      <c r="L146" s="15">
        <v>44.1</v>
      </c>
      <c r="M146" s="15">
        <v>18.399999999999999</v>
      </c>
      <c r="N146" s="15">
        <v>10.199999999999999</v>
      </c>
      <c r="O146" s="13">
        <v>81.28</v>
      </c>
      <c r="P146" s="15">
        <v>0</v>
      </c>
      <c r="Q146" s="15">
        <v>0</v>
      </c>
      <c r="R146" s="13">
        <v>0.5625</v>
      </c>
      <c r="S146" s="13">
        <v>2</v>
      </c>
      <c r="T146" s="13" t="str">
        <f>IF(S146=2,"Y",IF(J146/R146&lt;0.54*(SQRT(29000/'Steel Angle Lintel Design'!$H$31)),"Y","N"))</f>
        <v>Y</v>
      </c>
      <c r="U146" s="13" t="str">
        <f>IF(J146/R146&gt;0.91*(SQRT(29000/'Steel Angle Lintel Design'!$H$31)),"Y","N")</f>
        <v>N</v>
      </c>
      <c r="V146" s="13" t="s">
        <v>309</v>
      </c>
      <c r="W146" s="13"/>
      <c r="X146" s="13">
        <v>18.399999999999999</v>
      </c>
      <c r="Y146" s="13">
        <v>302</v>
      </c>
      <c r="Z146" s="13">
        <v>167</v>
      </c>
      <c r="AA146" s="13"/>
      <c r="AB146" s="13">
        <v>0</v>
      </c>
      <c r="AC146" s="13">
        <v>0</v>
      </c>
    </row>
    <row r="147" spans="1:29" s="8" customFormat="1" ht="15.75">
      <c r="A147" s="43" t="str">
        <f>IF(AND(H147=1,L147&gt;='Steel Angle Lintel Design'!$M$98,'AISC Angle Database'!N147&gt;='Steel Angle Lintel Design'!$M$96,'AISC Angle Database'!J147&gt;='Steel Angle Lintel Design'!$F$40,'AISC Angle Database'!J147&lt;='Steel Angle Lintel Design'!$F$41,'AISC Angle Database'!K147&gt;='Steel Angle Lintel Design'!$K$40,'AISC Angle Database'!K147&lt;='Steel Angle Lintel Design'!$K$41),1,"")</f>
        <v/>
      </c>
      <c r="B147" s="44">
        <f t="shared" si="10"/>
        <v>5</v>
      </c>
      <c r="C147" s="44">
        <f t="shared" si="11"/>
        <v>0</v>
      </c>
      <c r="D147" s="42" t="e">
        <f t="shared" ca="1" si="12"/>
        <v>#NAME?</v>
      </c>
      <c r="E147" s="44" t="e">
        <f t="shared" ca="1" si="13"/>
        <v>#NAME?</v>
      </c>
      <c r="F147" s="5" t="e">
        <f t="shared" ca="1" si="14"/>
        <v>#NAME?</v>
      </c>
      <c r="G147" s="15" t="s">
        <v>310</v>
      </c>
      <c r="H147" s="15">
        <f>IF('Steel Angle Lintel Design'!$AM$16=1,0,IF('Steel Angle Lintel Design'!$AM$16=2,1,1))</f>
        <v>1</v>
      </c>
      <c r="I147" s="19">
        <v>39.299999999999997</v>
      </c>
      <c r="J147" s="15">
        <v>6</v>
      </c>
      <c r="K147" s="15">
        <v>6</v>
      </c>
      <c r="L147" s="15">
        <v>39.700000000000003</v>
      </c>
      <c r="M147" s="15">
        <v>16.399999999999999</v>
      </c>
      <c r="N147" s="15">
        <v>9.18</v>
      </c>
      <c r="O147" s="13">
        <v>72.180000000000007</v>
      </c>
      <c r="P147" s="15">
        <v>0</v>
      </c>
      <c r="Q147" s="15">
        <v>0</v>
      </c>
      <c r="R147" s="13">
        <v>0.5</v>
      </c>
      <c r="S147" s="13">
        <v>2</v>
      </c>
      <c r="T147" s="13" t="str">
        <f>IF(S147=2,"Y",IF(J147/R147&lt;0.54*(SQRT(29000/'Steel Angle Lintel Design'!$H$31)),"Y","N"))</f>
        <v>Y</v>
      </c>
      <c r="U147" s="13" t="str">
        <f>IF(J147/R147&gt;0.91*(SQRT(29000/'Steel Angle Lintel Design'!$H$31)),"Y","N")</f>
        <v>N</v>
      </c>
      <c r="V147" s="13" t="s">
        <v>311</v>
      </c>
      <c r="W147" s="13"/>
      <c r="X147" s="13">
        <v>16.5</v>
      </c>
      <c r="Y147" s="13">
        <v>269</v>
      </c>
      <c r="Z147" s="13">
        <v>150</v>
      </c>
      <c r="AA147" s="13"/>
      <c r="AB147" s="13">
        <v>0</v>
      </c>
      <c r="AC147" s="13">
        <v>0</v>
      </c>
    </row>
    <row r="148" spans="1:29" s="8" customFormat="1" ht="15.75">
      <c r="A148" s="43" t="str">
        <f>IF(AND(H148=1,L148&gt;='Steel Angle Lintel Design'!$M$98,'AISC Angle Database'!N148&gt;='Steel Angle Lintel Design'!$M$96,'AISC Angle Database'!J148&gt;='Steel Angle Lintel Design'!$F$40,'AISC Angle Database'!J148&lt;='Steel Angle Lintel Design'!$F$41,'AISC Angle Database'!K148&gt;='Steel Angle Lintel Design'!$K$40,'AISC Angle Database'!K148&lt;='Steel Angle Lintel Design'!$K$41),1,"")</f>
        <v/>
      </c>
      <c r="B148" s="44">
        <f t="shared" si="10"/>
        <v>5</v>
      </c>
      <c r="C148" s="44">
        <f t="shared" si="11"/>
        <v>0</v>
      </c>
      <c r="D148" s="42" t="e">
        <f t="shared" ca="1" si="12"/>
        <v>#NAME?</v>
      </c>
      <c r="E148" s="44" t="e">
        <f t="shared" ca="1" si="13"/>
        <v>#NAME?</v>
      </c>
      <c r="F148" s="5" t="e">
        <f t="shared" ca="1" si="14"/>
        <v>#NAME?</v>
      </c>
      <c r="G148" s="15" t="s">
        <v>312</v>
      </c>
      <c r="H148" s="15">
        <f>IF('Steel Angle Lintel Design'!$AM$16=1,0,IF('Steel Angle Lintel Design'!$AM$16=2,1,1))</f>
        <v>1</v>
      </c>
      <c r="I148" s="19">
        <v>34.6</v>
      </c>
      <c r="J148" s="15">
        <v>6</v>
      </c>
      <c r="K148" s="15">
        <v>6</v>
      </c>
      <c r="L148" s="15">
        <v>35.200000000000003</v>
      </c>
      <c r="M148" s="15">
        <v>14.5</v>
      </c>
      <c r="N148" s="15">
        <v>8.11</v>
      </c>
      <c r="O148" s="13">
        <v>63.04</v>
      </c>
      <c r="P148" s="15">
        <v>0</v>
      </c>
      <c r="Q148" s="15">
        <v>0</v>
      </c>
      <c r="R148" s="13">
        <v>0.4375</v>
      </c>
      <c r="S148" s="13">
        <v>2</v>
      </c>
      <c r="T148" s="13" t="str">
        <f>IF(S148=2,"Y",IF(J148/R148&lt;0.54*(SQRT(29000/'Steel Angle Lintel Design'!$H$31)),"Y","N"))</f>
        <v>Y</v>
      </c>
      <c r="U148" s="13" t="str">
        <f>IF(J148/R148&gt;0.91*(SQRT(29000/'Steel Angle Lintel Design'!$H$31)),"Y","N")</f>
        <v>N</v>
      </c>
      <c r="V148" s="13" t="s">
        <v>313</v>
      </c>
      <c r="W148" s="13"/>
      <c r="X148" s="13">
        <v>14.7</v>
      </c>
      <c r="Y148" s="13">
        <v>238</v>
      </c>
      <c r="Z148" s="13">
        <v>133</v>
      </c>
      <c r="AA148" s="13"/>
      <c r="AB148" s="13">
        <v>0</v>
      </c>
      <c r="AC148" s="13">
        <v>0</v>
      </c>
    </row>
    <row r="149" spans="1:29" s="8" customFormat="1" ht="15.75">
      <c r="A149" s="43" t="str">
        <f>IF(AND(H149=1,L149&gt;='Steel Angle Lintel Design'!$M$98,'AISC Angle Database'!N149&gt;='Steel Angle Lintel Design'!$M$96,'AISC Angle Database'!J149&gt;='Steel Angle Lintel Design'!$F$40,'AISC Angle Database'!J149&lt;='Steel Angle Lintel Design'!$F$41,'AISC Angle Database'!K149&gt;='Steel Angle Lintel Design'!$K$40,'AISC Angle Database'!K149&lt;='Steel Angle Lintel Design'!$K$41),1,"")</f>
        <v/>
      </c>
      <c r="B149" s="44">
        <f t="shared" si="10"/>
        <v>5</v>
      </c>
      <c r="C149" s="44">
        <f t="shared" si="11"/>
        <v>0</v>
      </c>
      <c r="D149" s="42" t="e">
        <f t="shared" ca="1" si="12"/>
        <v>#NAME?</v>
      </c>
      <c r="E149" s="44" t="e">
        <f t="shared" ca="1" si="13"/>
        <v>#NAME?</v>
      </c>
      <c r="F149" s="5" t="e">
        <f t="shared" ca="1" si="14"/>
        <v>#NAME?</v>
      </c>
      <c r="G149" s="15" t="s">
        <v>314</v>
      </c>
      <c r="H149" s="15">
        <f>IF('Steel Angle Lintel Design'!$AM$16=1,0,IF('Steel Angle Lintel Design'!$AM$16=2,1,1))</f>
        <v>1</v>
      </c>
      <c r="I149" s="19">
        <v>29.8</v>
      </c>
      <c r="J149" s="15">
        <v>6</v>
      </c>
      <c r="K149" s="15">
        <v>6</v>
      </c>
      <c r="L149" s="15">
        <v>30.7</v>
      </c>
      <c r="M149" s="15">
        <v>12.5</v>
      </c>
      <c r="N149" s="15">
        <v>7.01</v>
      </c>
      <c r="O149" s="13">
        <v>53.86</v>
      </c>
      <c r="P149" s="15">
        <v>0</v>
      </c>
      <c r="Q149" s="15">
        <v>0</v>
      </c>
      <c r="R149" s="13">
        <v>0.375</v>
      </c>
      <c r="S149" s="13">
        <v>2</v>
      </c>
      <c r="T149" s="13" t="str">
        <f>IF(S149=2,"Y",IF(J149/R149&lt;0.54*(SQRT(29000/'Steel Angle Lintel Design'!$H$31)),"Y","N"))</f>
        <v>Y</v>
      </c>
      <c r="U149" s="13" t="str">
        <f>IF(J149/R149&gt;0.91*(SQRT(29000/'Steel Angle Lintel Design'!$H$31)),"Y","N")</f>
        <v>N</v>
      </c>
      <c r="V149" s="13" t="s">
        <v>315</v>
      </c>
      <c r="W149" s="13"/>
      <c r="X149" s="13">
        <v>12.8</v>
      </c>
      <c r="Y149" s="13">
        <v>205</v>
      </c>
      <c r="Z149" s="13">
        <v>115</v>
      </c>
      <c r="AA149" s="13"/>
      <c r="AB149" s="13">
        <v>0</v>
      </c>
      <c r="AC149" s="13">
        <v>0</v>
      </c>
    </row>
    <row r="150" spans="1:29" s="8" customFormat="1" ht="15.75">
      <c r="A150" s="43" t="str">
        <f>IF(AND(H150=1,L150&gt;='Steel Angle Lintel Design'!$M$98,'AISC Angle Database'!N150&gt;='Steel Angle Lintel Design'!$M$96,'AISC Angle Database'!J150&gt;='Steel Angle Lintel Design'!$F$40,'AISC Angle Database'!J150&lt;='Steel Angle Lintel Design'!$F$41,'AISC Angle Database'!K150&gt;='Steel Angle Lintel Design'!$K$40,'AISC Angle Database'!K150&lt;='Steel Angle Lintel Design'!$K$41),1,"")</f>
        <v/>
      </c>
      <c r="B150" s="44">
        <f t="shared" si="10"/>
        <v>5</v>
      </c>
      <c r="C150" s="44">
        <f t="shared" si="11"/>
        <v>0</v>
      </c>
      <c r="D150" s="42" t="e">
        <f t="shared" ca="1" si="12"/>
        <v>#NAME?</v>
      </c>
      <c r="E150" s="44" t="e">
        <f t="shared" ca="1" si="13"/>
        <v>#NAME?</v>
      </c>
      <c r="F150" s="5" t="e">
        <f t="shared" ca="1" si="14"/>
        <v>#NAME?</v>
      </c>
      <c r="G150" s="15" t="s">
        <v>316</v>
      </c>
      <c r="H150" s="15">
        <f>IF('Steel Angle Lintel Design'!$AM$16=1,0,IF('Steel Angle Lintel Design'!$AM$16=2,1,1))</f>
        <v>1</v>
      </c>
      <c r="I150" s="19">
        <v>25</v>
      </c>
      <c r="J150" s="15">
        <v>6</v>
      </c>
      <c r="K150" s="15">
        <v>6</v>
      </c>
      <c r="L150" s="15">
        <v>26</v>
      </c>
      <c r="M150" s="15">
        <v>10.5</v>
      </c>
      <c r="N150" s="15">
        <v>5.9</v>
      </c>
      <c r="O150" s="13">
        <v>44.82</v>
      </c>
      <c r="P150" s="15">
        <v>0</v>
      </c>
      <c r="Q150" s="15">
        <v>0</v>
      </c>
      <c r="R150" s="13">
        <v>0.3125</v>
      </c>
      <c r="S150" s="13">
        <v>2</v>
      </c>
      <c r="T150" s="13" t="str">
        <f>IF(S150=2,"Y",IF(J150/R150&lt;0.54*(SQRT(29000/'Steel Angle Lintel Design'!$H$31)),"Y","N"))</f>
        <v>Y</v>
      </c>
      <c r="U150" s="13" t="str">
        <f>IF(J150/R150&gt;0.91*(SQRT(29000/'Steel Angle Lintel Design'!$H$31)),"Y","N")</f>
        <v>N</v>
      </c>
      <c r="V150" s="13" t="s">
        <v>317</v>
      </c>
      <c r="W150" s="13"/>
      <c r="X150" s="13">
        <v>10.8</v>
      </c>
      <c r="Y150" s="13">
        <v>172</v>
      </c>
      <c r="Z150" s="13">
        <v>96.7</v>
      </c>
      <c r="AA150" s="13"/>
      <c r="AB150" s="13">
        <v>0</v>
      </c>
      <c r="AC150" s="13">
        <v>0</v>
      </c>
    </row>
    <row r="151" spans="1:29" s="8" customFormat="1" ht="15.75">
      <c r="A151" s="43" t="str">
        <f>IF(AND(H151=1,L151&gt;='Steel Angle Lintel Design'!$M$98,'AISC Angle Database'!N151&gt;='Steel Angle Lintel Design'!$M$96,'AISC Angle Database'!J151&gt;='Steel Angle Lintel Design'!$F$40,'AISC Angle Database'!J151&lt;='Steel Angle Lintel Design'!$F$41,'AISC Angle Database'!K151&gt;='Steel Angle Lintel Design'!$K$40,'AISC Angle Database'!K151&lt;='Steel Angle Lintel Design'!$K$41),1,"")</f>
        <v/>
      </c>
      <c r="B151" s="44">
        <f t="shared" si="10"/>
        <v>5</v>
      </c>
      <c r="C151" s="44">
        <f t="shared" si="11"/>
        <v>0</v>
      </c>
      <c r="D151" s="42" t="e">
        <f t="shared" ca="1" si="12"/>
        <v>#NAME?</v>
      </c>
      <c r="E151" s="44" t="e">
        <f t="shared" ca="1" si="13"/>
        <v>#NAME?</v>
      </c>
      <c r="F151" s="5" t="e">
        <f t="shared" ca="1" si="14"/>
        <v>#NAME?</v>
      </c>
      <c r="G151" s="15" t="s">
        <v>318</v>
      </c>
      <c r="H151" s="15">
        <f>IF('Steel Angle Lintel Design'!$AM$16=1,0,IF('Steel Angle Lintel Design'!$AM$16=2,1,1))</f>
        <v>1</v>
      </c>
      <c r="I151" s="19">
        <v>54.6</v>
      </c>
      <c r="J151" s="15">
        <v>5</v>
      </c>
      <c r="K151" s="15">
        <v>5</v>
      </c>
      <c r="L151" s="15">
        <v>35.6</v>
      </c>
      <c r="M151" s="15">
        <v>18.600000000000001</v>
      </c>
      <c r="N151" s="15">
        <v>10.3</v>
      </c>
      <c r="O151" s="13">
        <v>74.86</v>
      </c>
      <c r="P151" s="15">
        <v>0</v>
      </c>
      <c r="Q151" s="15">
        <v>0</v>
      </c>
      <c r="R151" s="13">
        <v>0.875</v>
      </c>
      <c r="S151" s="13">
        <v>2</v>
      </c>
      <c r="T151" s="13" t="str">
        <f>IF(S151=2,"Y",IF(J151/R151&lt;0.54*(SQRT(29000/'Steel Angle Lintel Design'!$H$31)),"Y","N"))</f>
        <v>Y</v>
      </c>
      <c r="U151" s="13" t="str">
        <f>IF(J151/R151&gt;0.91*(SQRT(29000/'Steel Angle Lintel Design'!$H$31)),"Y","N")</f>
        <v>N</v>
      </c>
      <c r="V151" s="13" t="s">
        <v>319</v>
      </c>
      <c r="W151" s="13"/>
      <c r="X151" s="13">
        <v>14.8</v>
      </c>
      <c r="Y151" s="13">
        <v>305</v>
      </c>
      <c r="Z151" s="13">
        <v>169</v>
      </c>
      <c r="AA151" s="13"/>
      <c r="AB151" s="13">
        <v>0</v>
      </c>
      <c r="AC151" s="13">
        <v>0</v>
      </c>
    </row>
    <row r="152" spans="1:29" s="8" customFormat="1" ht="15.75">
      <c r="A152" s="43" t="str">
        <f>IF(AND(H152=1,L152&gt;='Steel Angle Lintel Design'!$M$98,'AISC Angle Database'!N152&gt;='Steel Angle Lintel Design'!$M$96,'AISC Angle Database'!J152&gt;='Steel Angle Lintel Design'!$F$40,'AISC Angle Database'!J152&lt;='Steel Angle Lintel Design'!$F$41,'AISC Angle Database'!K152&gt;='Steel Angle Lintel Design'!$K$40,'AISC Angle Database'!K152&lt;='Steel Angle Lintel Design'!$K$41),1,"")</f>
        <v/>
      </c>
      <c r="B152" s="44">
        <f t="shared" si="10"/>
        <v>5</v>
      </c>
      <c r="C152" s="44">
        <f t="shared" si="11"/>
        <v>0</v>
      </c>
      <c r="D152" s="42" t="e">
        <f t="shared" ca="1" si="12"/>
        <v>#NAME?</v>
      </c>
      <c r="E152" s="44" t="e">
        <f t="shared" ca="1" si="13"/>
        <v>#NAME?</v>
      </c>
      <c r="F152" s="5" t="e">
        <f t="shared" ca="1" si="14"/>
        <v>#NAME?</v>
      </c>
      <c r="G152" s="15" t="s">
        <v>320</v>
      </c>
      <c r="H152" s="15">
        <f>IF('Steel Angle Lintel Design'!$AM$16=1,0,IF('Steel Angle Lintel Design'!$AM$16=2,1,1))</f>
        <v>1</v>
      </c>
      <c r="I152" s="19">
        <v>47.5</v>
      </c>
      <c r="J152" s="15">
        <v>5</v>
      </c>
      <c r="K152" s="15">
        <v>5</v>
      </c>
      <c r="L152" s="15">
        <v>31.5</v>
      </c>
      <c r="M152" s="15">
        <v>16.3</v>
      </c>
      <c r="N152" s="15">
        <v>9.0399999999999991</v>
      </c>
      <c r="O152" s="13">
        <v>63.33</v>
      </c>
      <c r="P152" s="15">
        <v>0</v>
      </c>
      <c r="Q152" s="15">
        <v>0</v>
      </c>
      <c r="R152" s="13">
        <v>0.75</v>
      </c>
      <c r="S152" s="13">
        <v>2</v>
      </c>
      <c r="T152" s="13" t="str">
        <f>IF(S152=2,"Y",IF(J152/R152&lt;0.54*(SQRT(29000/'Steel Angle Lintel Design'!$H$31)),"Y","N"))</f>
        <v>Y</v>
      </c>
      <c r="U152" s="13" t="str">
        <f>IF(J152/R152&gt;0.91*(SQRT(29000/'Steel Angle Lintel Design'!$H$31)),"Y","N")</f>
        <v>N</v>
      </c>
      <c r="V152" s="13" t="s">
        <v>321</v>
      </c>
      <c r="W152" s="13"/>
      <c r="X152" s="13">
        <v>13.1</v>
      </c>
      <c r="Y152" s="13">
        <v>267</v>
      </c>
      <c r="Z152" s="13">
        <v>148</v>
      </c>
      <c r="AA152" s="13"/>
      <c r="AB152" s="13">
        <v>0</v>
      </c>
      <c r="AC152" s="13">
        <v>0</v>
      </c>
    </row>
    <row r="153" spans="1:29" s="8" customFormat="1" ht="15.75">
      <c r="A153" s="43" t="str">
        <f>IF(AND(H153=1,L153&gt;='Steel Angle Lintel Design'!$M$98,'AISC Angle Database'!N153&gt;='Steel Angle Lintel Design'!$M$96,'AISC Angle Database'!J153&gt;='Steel Angle Lintel Design'!$F$40,'AISC Angle Database'!J153&lt;='Steel Angle Lintel Design'!$F$41,'AISC Angle Database'!K153&gt;='Steel Angle Lintel Design'!$K$40,'AISC Angle Database'!K153&lt;='Steel Angle Lintel Design'!$K$41),1,"")</f>
        <v/>
      </c>
      <c r="B153" s="44">
        <f t="shared" si="10"/>
        <v>5</v>
      </c>
      <c r="C153" s="44">
        <f t="shared" si="11"/>
        <v>0</v>
      </c>
      <c r="D153" s="42" t="e">
        <f t="shared" ca="1" si="12"/>
        <v>#NAME?</v>
      </c>
      <c r="E153" s="44" t="e">
        <f t="shared" ca="1" si="13"/>
        <v>#NAME?</v>
      </c>
      <c r="F153" s="5" t="e">
        <f t="shared" ca="1" si="14"/>
        <v>#NAME?</v>
      </c>
      <c r="G153" s="15" t="s">
        <v>322</v>
      </c>
      <c r="H153" s="15">
        <f>IF('Steel Angle Lintel Design'!$AM$16=1,0,IF('Steel Angle Lintel Design'!$AM$16=2,1,1))</f>
        <v>1</v>
      </c>
      <c r="I153" s="19">
        <v>40.1</v>
      </c>
      <c r="J153" s="15">
        <v>5</v>
      </c>
      <c r="K153" s="15">
        <v>5</v>
      </c>
      <c r="L153" s="15">
        <v>27.2</v>
      </c>
      <c r="M153" s="15">
        <v>13.9</v>
      </c>
      <c r="N153" s="15">
        <v>7.7</v>
      </c>
      <c r="O153" s="13">
        <v>52.47</v>
      </c>
      <c r="P153" s="15">
        <v>0</v>
      </c>
      <c r="Q153" s="15">
        <v>0</v>
      </c>
      <c r="R153" s="13">
        <v>0.625</v>
      </c>
      <c r="S153" s="13">
        <v>2</v>
      </c>
      <c r="T153" s="13" t="str">
        <f>IF(S153=2,"Y",IF(J153/R153&lt;0.54*(SQRT(29000/'Steel Angle Lintel Design'!$H$31)),"Y","N"))</f>
        <v>Y</v>
      </c>
      <c r="U153" s="13" t="str">
        <f>IF(J153/R153&gt;0.91*(SQRT(29000/'Steel Angle Lintel Design'!$H$31)),"Y","N")</f>
        <v>N</v>
      </c>
      <c r="V153" s="13" t="s">
        <v>323</v>
      </c>
      <c r="W153" s="13"/>
      <c r="X153" s="13">
        <v>11.3</v>
      </c>
      <c r="Y153" s="13">
        <v>228</v>
      </c>
      <c r="Z153" s="13">
        <v>126</v>
      </c>
      <c r="AA153" s="13"/>
      <c r="AB153" s="13">
        <v>0</v>
      </c>
      <c r="AC153" s="13">
        <v>0</v>
      </c>
    </row>
    <row r="154" spans="1:29" s="8" customFormat="1" ht="15.75">
      <c r="A154" s="43" t="str">
        <f>IF(AND(H154=1,L154&gt;='Steel Angle Lintel Design'!$M$98,'AISC Angle Database'!N154&gt;='Steel Angle Lintel Design'!$M$96,'AISC Angle Database'!J154&gt;='Steel Angle Lintel Design'!$F$40,'AISC Angle Database'!J154&lt;='Steel Angle Lintel Design'!$F$41,'AISC Angle Database'!K154&gt;='Steel Angle Lintel Design'!$K$40,'AISC Angle Database'!K154&lt;='Steel Angle Lintel Design'!$K$41),1,"")</f>
        <v/>
      </c>
      <c r="B154" s="44">
        <f t="shared" si="10"/>
        <v>5</v>
      </c>
      <c r="C154" s="44">
        <f t="shared" si="11"/>
        <v>0</v>
      </c>
      <c r="D154" s="42" t="e">
        <f t="shared" ca="1" si="12"/>
        <v>#NAME?</v>
      </c>
      <c r="E154" s="44" t="e">
        <f t="shared" ca="1" si="13"/>
        <v>#NAME?</v>
      </c>
      <c r="F154" s="5" t="e">
        <f t="shared" ca="1" si="14"/>
        <v>#NAME?</v>
      </c>
      <c r="G154" s="15" t="s">
        <v>324</v>
      </c>
      <c r="H154" s="15">
        <f>IF('Steel Angle Lintel Design'!$AM$16=1,0,IF('Steel Angle Lintel Design'!$AM$16=2,1,1))</f>
        <v>1</v>
      </c>
      <c r="I154" s="19">
        <v>32.6</v>
      </c>
      <c r="J154" s="15">
        <v>5</v>
      </c>
      <c r="K154" s="15">
        <v>5</v>
      </c>
      <c r="L154" s="15">
        <v>22.5</v>
      </c>
      <c r="M154" s="15">
        <v>11.3</v>
      </c>
      <c r="N154" s="15">
        <v>6.29</v>
      </c>
      <c r="O154" s="13">
        <v>41.85</v>
      </c>
      <c r="P154" s="15">
        <v>0</v>
      </c>
      <c r="Q154" s="15">
        <v>0</v>
      </c>
      <c r="R154" s="13">
        <v>0.5</v>
      </c>
      <c r="S154" s="13">
        <v>2</v>
      </c>
      <c r="T154" s="13" t="str">
        <f>IF(S154=2,"Y",IF(J154/R154&lt;0.54*(SQRT(29000/'Steel Angle Lintel Design'!$H$31)),"Y","N"))</f>
        <v>Y</v>
      </c>
      <c r="U154" s="13" t="str">
        <f>IF(J154/R154&gt;0.91*(SQRT(29000/'Steel Angle Lintel Design'!$H$31)),"Y","N")</f>
        <v>N</v>
      </c>
      <c r="V154" s="13" t="s">
        <v>325</v>
      </c>
      <c r="W154" s="13"/>
      <c r="X154" s="13">
        <v>9.3699999999999992</v>
      </c>
      <c r="Y154" s="13">
        <v>185</v>
      </c>
      <c r="Z154" s="13">
        <v>103</v>
      </c>
      <c r="AA154" s="13"/>
      <c r="AB154" s="13">
        <v>0</v>
      </c>
      <c r="AC154" s="13">
        <v>0</v>
      </c>
    </row>
    <row r="155" spans="1:29" s="8" customFormat="1" ht="15.75">
      <c r="A155" s="43" t="str">
        <f>IF(AND(H155=1,L155&gt;='Steel Angle Lintel Design'!$M$98,'AISC Angle Database'!N155&gt;='Steel Angle Lintel Design'!$M$96,'AISC Angle Database'!J155&gt;='Steel Angle Lintel Design'!$F$40,'AISC Angle Database'!J155&lt;='Steel Angle Lintel Design'!$F$41,'AISC Angle Database'!K155&gt;='Steel Angle Lintel Design'!$K$40,'AISC Angle Database'!K155&lt;='Steel Angle Lintel Design'!$K$41),1,"")</f>
        <v/>
      </c>
      <c r="B155" s="44">
        <f t="shared" si="10"/>
        <v>5</v>
      </c>
      <c r="C155" s="44">
        <f t="shared" si="11"/>
        <v>0</v>
      </c>
      <c r="D155" s="42" t="e">
        <f t="shared" ca="1" si="12"/>
        <v>#NAME?</v>
      </c>
      <c r="E155" s="44" t="e">
        <f t="shared" ca="1" si="13"/>
        <v>#NAME?</v>
      </c>
      <c r="F155" s="5" t="e">
        <f t="shared" ca="1" si="14"/>
        <v>#NAME?</v>
      </c>
      <c r="G155" s="15" t="s">
        <v>326</v>
      </c>
      <c r="H155" s="15">
        <f>IF('Steel Angle Lintel Design'!$AM$16=1,0,IF('Steel Angle Lintel Design'!$AM$16=2,1,1))</f>
        <v>1</v>
      </c>
      <c r="I155" s="19">
        <v>28.69</v>
      </c>
      <c r="J155" s="15">
        <v>5</v>
      </c>
      <c r="K155" s="15">
        <v>5</v>
      </c>
      <c r="L155" s="15">
        <v>20.100000000000001</v>
      </c>
      <c r="M155" s="15">
        <v>10</v>
      </c>
      <c r="N155" s="15">
        <v>5.57</v>
      </c>
      <c r="O155" s="13">
        <v>36.49</v>
      </c>
      <c r="P155" s="15">
        <v>0</v>
      </c>
      <c r="Q155" s="15">
        <v>0</v>
      </c>
      <c r="R155" s="13">
        <v>0.4375</v>
      </c>
      <c r="S155" s="13">
        <v>2</v>
      </c>
      <c r="T155" s="13" t="str">
        <f>IF(S155=2,"Y",IF(J155/R155&lt;0.54*(SQRT(29000/'Steel Angle Lintel Design'!$H$31)),"Y","N"))</f>
        <v>Y</v>
      </c>
      <c r="U155" s="13" t="str">
        <f>IF(J155/R155&gt;0.91*(SQRT(29000/'Steel Angle Lintel Design'!$H$31)),"Y","N")</f>
        <v>N</v>
      </c>
      <c r="V155" s="13" t="s">
        <v>327</v>
      </c>
      <c r="W155" s="13"/>
      <c r="X155" s="13">
        <v>8.3699999999999992</v>
      </c>
      <c r="Y155" s="13">
        <v>164</v>
      </c>
      <c r="Z155" s="13">
        <v>91.3</v>
      </c>
      <c r="AA155" s="13"/>
      <c r="AB155" s="13">
        <v>0</v>
      </c>
      <c r="AC155" s="13">
        <v>0</v>
      </c>
    </row>
    <row r="156" spans="1:29" s="8" customFormat="1" ht="15.75">
      <c r="A156" s="43" t="str">
        <f>IF(AND(H156=1,L156&gt;='Steel Angle Lintel Design'!$M$98,'AISC Angle Database'!N156&gt;='Steel Angle Lintel Design'!$M$96,'AISC Angle Database'!J156&gt;='Steel Angle Lintel Design'!$F$40,'AISC Angle Database'!J156&lt;='Steel Angle Lintel Design'!$F$41,'AISC Angle Database'!K156&gt;='Steel Angle Lintel Design'!$K$40,'AISC Angle Database'!K156&lt;='Steel Angle Lintel Design'!$K$41),1,"")</f>
        <v/>
      </c>
      <c r="B156" s="44">
        <f t="shared" si="10"/>
        <v>5</v>
      </c>
      <c r="C156" s="44">
        <f t="shared" si="11"/>
        <v>0</v>
      </c>
      <c r="D156" s="42" t="e">
        <f t="shared" ca="1" si="12"/>
        <v>#NAME?</v>
      </c>
      <c r="E156" s="44" t="e">
        <f t="shared" ca="1" si="13"/>
        <v>#NAME?</v>
      </c>
      <c r="F156" s="5" t="e">
        <f t="shared" ca="1" si="14"/>
        <v>#NAME?</v>
      </c>
      <c r="G156" s="15" t="s">
        <v>328</v>
      </c>
      <c r="H156" s="15">
        <f>IF('Steel Angle Lintel Design'!$AM$16=1,0,IF('Steel Angle Lintel Design'!$AM$16=2,1,1))</f>
        <v>1</v>
      </c>
      <c r="I156" s="19">
        <v>24.8</v>
      </c>
      <c r="J156" s="15">
        <v>5</v>
      </c>
      <c r="K156" s="15">
        <v>5</v>
      </c>
      <c r="L156" s="15">
        <v>17.5</v>
      </c>
      <c r="M156" s="15">
        <v>8.67</v>
      </c>
      <c r="N156" s="15">
        <v>4.83</v>
      </c>
      <c r="O156" s="13">
        <v>31.23</v>
      </c>
      <c r="P156" s="15">
        <v>0</v>
      </c>
      <c r="Q156" s="15">
        <v>0</v>
      </c>
      <c r="R156" s="13">
        <v>0.375</v>
      </c>
      <c r="S156" s="13">
        <v>2</v>
      </c>
      <c r="T156" s="13" t="str">
        <f>IF(S156=2,"Y",IF(J156/R156&lt;0.54*(SQRT(29000/'Steel Angle Lintel Design'!$H$31)),"Y","N"))</f>
        <v>Y</v>
      </c>
      <c r="U156" s="13" t="str">
        <f>IF(J156/R156&gt;0.91*(SQRT(29000/'Steel Angle Lintel Design'!$H$31)),"Y","N")</f>
        <v>N</v>
      </c>
      <c r="V156" s="13" t="s">
        <v>329</v>
      </c>
      <c r="W156" s="13"/>
      <c r="X156" s="13">
        <v>7.28</v>
      </c>
      <c r="Y156" s="13">
        <v>142</v>
      </c>
      <c r="Z156" s="13">
        <v>79.099999999999994</v>
      </c>
      <c r="AA156" s="13"/>
      <c r="AB156" s="13">
        <v>0</v>
      </c>
      <c r="AC156" s="13">
        <v>0</v>
      </c>
    </row>
    <row r="157" spans="1:29" s="8" customFormat="1" ht="15.75">
      <c r="A157" s="43" t="str">
        <f>IF(AND(H157=1,L157&gt;='Steel Angle Lintel Design'!$M$98,'AISC Angle Database'!N157&gt;='Steel Angle Lintel Design'!$M$96,'AISC Angle Database'!J157&gt;='Steel Angle Lintel Design'!$F$40,'AISC Angle Database'!J157&lt;='Steel Angle Lintel Design'!$F$41,'AISC Angle Database'!K157&gt;='Steel Angle Lintel Design'!$K$40,'AISC Angle Database'!K157&lt;='Steel Angle Lintel Design'!$K$41),1,"")</f>
        <v/>
      </c>
      <c r="B157" s="44">
        <f t="shared" si="10"/>
        <v>5</v>
      </c>
      <c r="C157" s="44">
        <f t="shared" si="11"/>
        <v>0</v>
      </c>
      <c r="D157" s="42" t="e">
        <f t="shared" ca="1" si="12"/>
        <v>#NAME?</v>
      </c>
      <c r="E157" s="44" t="e">
        <f t="shared" ca="1" si="13"/>
        <v>#NAME?</v>
      </c>
      <c r="F157" s="5" t="e">
        <f t="shared" ca="1" si="14"/>
        <v>#NAME?</v>
      </c>
      <c r="G157" s="15" t="s">
        <v>330</v>
      </c>
      <c r="H157" s="15">
        <f>IF('Steel Angle Lintel Design'!$AM$16=1,0,IF('Steel Angle Lintel Design'!$AM$16=2,1,1))</f>
        <v>1</v>
      </c>
      <c r="I157" s="19">
        <v>20.89</v>
      </c>
      <c r="J157" s="15">
        <v>5</v>
      </c>
      <c r="K157" s="15">
        <v>5</v>
      </c>
      <c r="L157" s="15">
        <v>14.9</v>
      </c>
      <c r="M157" s="15">
        <v>7.3</v>
      </c>
      <c r="N157" s="15">
        <v>4.07</v>
      </c>
      <c r="O157" s="13">
        <v>26.06</v>
      </c>
      <c r="P157" s="15">
        <v>0</v>
      </c>
      <c r="Q157" s="15">
        <v>0</v>
      </c>
      <c r="R157" s="13">
        <v>0.3125</v>
      </c>
      <c r="S157" s="13">
        <v>2</v>
      </c>
      <c r="T157" s="13" t="str">
        <f>IF(S157=2,"Y",IF(J157/R157&lt;0.54*(SQRT(29000/'Steel Angle Lintel Design'!$H$31)),"Y","N"))</f>
        <v>Y</v>
      </c>
      <c r="U157" s="13" t="str">
        <f>IF(J157/R157&gt;0.91*(SQRT(29000/'Steel Angle Lintel Design'!$H$31)),"Y","N")</f>
        <v>N</v>
      </c>
      <c r="V157" s="13" t="s">
        <v>331</v>
      </c>
      <c r="W157" s="13"/>
      <c r="X157" s="13">
        <v>6.2</v>
      </c>
      <c r="Y157" s="13">
        <v>120</v>
      </c>
      <c r="Z157" s="13">
        <v>66.7</v>
      </c>
      <c r="AA157" s="13"/>
      <c r="AB157" s="13">
        <v>0</v>
      </c>
      <c r="AC157" s="13">
        <v>0</v>
      </c>
    </row>
    <row r="158" spans="1:29" s="8" customFormat="1" ht="15.75">
      <c r="A158" s="43" t="str">
        <f>IF(AND(H158=1,L158&gt;='Steel Angle Lintel Design'!$M$98,'AISC Angle Database'!N158&gt;='Steel Angle Lintel Design'!$M$96,'AISC Angle Database'!J158&gt;='Steel Angle Lintel Design'!$F$40,'AISC Angle Database'!J158&lt;='Steel Angle Lintel Design'!$F$41,'AISC Angle Database'!K158&gt;='Steel Angle Lintel Design'!$K$40,'AISC Angle Database'!K158&lt;='Steel Angle Lintel Design'!$K$41),1,"")</f>
        <v/>
      </c>
      <c r="B158" s="44">
        <f t="shared" si="10"/>
        <v>5</v>
      </c>
      <c r="C158" s="44">
        <f t="shared" si="11"/>
        <v>0</v>
      </c>
      <c r="D158" s="42" t="e">
        <f t="shared" ca="1" si="12"/>
        <v>#NAME?</v>
      </c>
      <c r="E158" s="44" t="e">
        <f t="shared" ca="1" si="13"/>
        <v>#NAME?</v>
      </c>
      <c r="F158" s="5" t="e">
        <f t="shared" ca="1" si="14"/>
        <v>#NAME?</v>
      </c>
      <c r="G158" s="15" t="s">
        <v>332</v>
      </c>
      <c r="H158" s="15">
        <f>IF('Steel Angle Lintel Design'!$AM$16=1,0,IF('Steel Angle Lintel Design'!$AM$16=2,1,1))</f>
        <v>1</v>
      </c>
      <c r="I158" s="19">
        <v>37</v>
      </c>
      <c r="J158" s="15">
        <v>4</v>
      </c>
      <c r="K158" s="15">
        <v>4</v>
      </c>
      <c r="L158" s="15">
        <v>15.2</v>
      </c>
      <c r="M158" s="15">
        <v>10</v>
      </c>
      <c r="N158" s="15">
        <v>5.58</v>
      </c>
      <c r="O158" s="13">
        <v>32.54</v>
      </c>
      <c r="P158" s="15">
        <v>0</v>
      </c>
      <c r="Q158" s="15">
        <v>0</v>
      </c>
      <c r="R158" s="13">
        <v>0.75</v>
      </c>
      <c r="S158" s="13">
        <v>2</v>
      </c>
      <c r="T158" s="13" t="str">
        <f>IF(S158=2,"Y",IF(J158/R158&lt;0.54*(SQRT(29000/'Steel Angle Lintel Design'!$H$31)),"Y","N"))</f>
        <v>Y</v>
      </c>
      <c r="U158" s="13" t="str">
        <f>IF(J158/R158&gt;0.91*(SQRT(29000/'Steel Angle Lintel Design'!$H$31)),"Y","N")</f>
        <v>N</v>
      </c>
      <c r="V158" s="13" t="s">
        <v>333</v>
      </c>
      <c r="W158" s="13"/>
      <c r="X158" s="13">
        <v>6.33</v>
      </c>
      <c r="Y158" s="13">
        <v>164</v>
      </c>
      <c r="Z158" s="13">
        <v>91.4</v>
      </c>
      <c r="AA158" s="13"/>
      <c r="AB158" s="13">
        <v>0</v>
      </c>
      <c r="AC158" s="13">
        <v>0</v>
      </c>
    </row>
    <row r="159" spans="1:29" s="8" customFormat="1" ht="15.75">
      <c r="A159" s="43" t="str">
        <f>IF(AND(H159=1,L159&gt;='Steel Angle Lintel Design'!$M$98,'AISC Angle Database'!N159&gt;='Steel Angle Lintel Design'!$M$96,'AISC Angle Database'!J159&gt;='Steel Angle Lintel Design'!$F$40,'AISC Angle Database'!J159&lt;='Steel Angle Lintel Design'!$F$41,'AISC Angle Database'!K159&gt;='Steel Angle Lintel Design'!$K$40,'AISC Angle Database'!K159&lt;='Steel Angle Lintel Design'!$K$41),1,"")</f>
        <v/>
      </c>
      <c r="B159" s="44">
        <f t="shared" si="10"/>
        <v>5</v>
      </c>
      <c r="C159" s="44">
        <f t="shared" si="11"/>
        <v>0</v>
      </c>
      <c r="D159" s="42" t="e">
        <f t="shared" ca="1" si="12"/>
        <v>#NAME?</v>
      </c>
      <c r="E159" s="44" t="e">
        <f t="shared" ca="1" si="13"/>
        <v>#NAME?</v>
      </c>
      <c r="F159" s="5" t="e">
        <f t="shared" ca="1" si="14"/>
        <v>#NAME?</v>
      </c>
      <c r="G159" s="15" t="s">
        <v>334</v>
      </c>
      <c r="H159" s="15">
        <f>IF('Steel Angle Lintel Design'!$AM$16=1,0,IF('Steel Angle Lintel Design'!$AM$16=2,1,1))</f>
        <v>1</v>
      </c>
      <c r="I159" s="19">
        <v>31.3</v>
      </c>
      <c r="J159" s="15">
        <v>4</v>
      </c>
      <c r="K159" s="15">
        <v>4</v>
      </c>
      <c r="L159" s="15">
        <v>13.2</v>
      </c>
      <c r="M159" s="15">
        <v>8.56</v>
      </c>
      <c r="N159" s="15">
        <v>4.7699999999999996</v>
      </c>
      <c r="O159" s="13">
        <v>26.9</v>
      </c>
      <c r="P159" s="15">
        <v>0</v>
      </c>
      <c r="Q159" s="15">
        <v>0</v>
      </c>
      <c r="R159" s="13">
        <v>0.625</v>
      </c>
      <c r="S159" s="13">
        <v>2</v>
      </c>
      <c r="T159" s="13" t="str">
        <f>IF(S159=2,"Y",IF(J159/R159&lt;0.54*(SQRT(29000/'Steel Angle Lintel Design'!$H$31)),"Y","N"))</f>
        <v>Y</v>
      </c>
      <c r="U159" s="13" t="str">
        <f>IF(J159/R159&gt;0.91*(SQRT(29000/'Steel Angle Lintel Design'!$H$31)),"Y","N")</f>
        <v>N</v>
      </c>
      <c r="V159" s="13" t="s">
        <v>335</v>
      </c>
      <c r="W159" s="13"/>
      <c r="X159" s="13">
        <v>5.49</v>
      </c>
      <c r="Y159" s="13">
        <v>140</v>
      </c>
      <c r="Z159" s="13">
        <v>78.2</v>
      </c>
      <c r="AA159" s="13"/>
      <c r="AB159" s="13">
        <v>0</v>
      </c>
      <c r="AC159" s="13">
        <v>0</v>
      </c>
    </row>
    <row r="160" spans="1:29" s="8" customFormat="1" ht="15.75">
      <c r="A160" s="43" t="str">
        <f>IF(AND(H160=1,L160&gt;='Steel Angle Lintel Design'!$M$98,'AISC Angle Database'!N160&gt;='Steel Angle Lintel Design'!$M$96,'AISC Angle Database'!J160&gt;='Steel Angle Lintel Design'!$F$40,'AISC Angle Database'!J160&lt;='Steel Angle Lintel Design'!$F$41,'AISC Angle Database'!K160&gt;='Steel Angle Lintel Design'!$K$40,'AISC Angle Database'!K160&lt;='Steel Angle Lintel Design'!$K$41),1,"")</f>
        <v/>
      </c>
      <c r="B160" s="44">
        <f t="shared" si="10"/>
        <v>5</v>
      </c>
      <c r="C160" s="44">
        <f t="shared" si="11"/>
        <v>0</v>
      </c>
      <c r="D160" s="42" t="e">
        <f t="shared" ca="1" si="12"/>
        <v>#NAME?</v>
      </c>
      <c r="E160" s="44" t="e">
        <f t="shared" ca="1" si="13"/>
        <v>#NAME?</v>
      </c>
      <c r="F160" s="5" t="e">
        <f t="shared" ca="1" si="14"/>
        <v>#NAME?</v>
      </c>
      <c r="G160" s="15" t="s">
        <v>336</v>
      </c>
      <c r="H160" s="15">
        <f>IF('Steel Angle Lintel Design'!$AM$16=1,0,IF('Steel Angle Lintel Design'!$AM$16=2,1,1))</f>
        <v>1</v>
      </c>
      <c r="I160" s="19">
        <v>25.49</v>
      </c>
      <c r="J160" s="15">
        <v>4</v>
      </c>
      <c r="K160" s="15">
        <v>4</v>
      </c>
      <c r="L160" s="15">
        <v>11</v>
      </c>
      <c r="M160" s="15">
        <v>7.01</v>
      </c>
      <c r="N160" s="15">
        <v>3.91</v>
      </c>
      <c r="O160" s="13">
        <v>21.4</v>
      </c>
      <c r="P160" s="15">
        <v>0</v>
      </c>
      <c r="Q160" s="15">
        <v>0</v>
      </c>
      <c r="R160" s="13">
        <v>0.5</v>
      </c>
      <c r="S160" s="13">
        <v>2</v>
      </c>
      <c r="T160" s="13" t="str">
        <f>IF(S160=2,"Y",IF(J160/R160&lt;0.54*(SQRT(29000/'Steel Angle Lintel Design'!$H$31)),"Y","N"))</f>
        <v>Y</v>
      </c>
      <c r="U160" s="13" t="str">
        <f>IF(J160/R160&gt;0.91*(SQRT(29000/'Steel Angle Lintel Design'!$H$31)),"Y","N")</f>
        <v>N</v>
      </c>
      <c r="V160" s="13" t="s">
        <v>337</v>
      </c>
      <c r="W160" s="13"/>
      <c r="X160" s="13">
        <v>4.58</v>
      </c>
      <c r="Y160" s="13">
        <v>115</v>
      </c>
      <c r="Z160" s="13">
        <v>64.099999999999994</v>
      </c>
      <c r="AA160" s="13"/>
      <c r="AB160" s="13">
        <v>0</v>
      </c>
      <c r="AC160" s="13">
        <v>0</v>
      </c>
    </row>
    <row r="161" spans="1:29" s="8" customFormat="1" ht="15.75">
      <c r="A161" s="43" t="str">
        <f>IF(AND(H161=1,L161&gt;='Steel Angle Lintel Design'!$M$98,'AISC Angle Database'!N161&gt;='Steel Angle Lintel Design'!$M$96,'AISC Angle Database'!J161&gt;='Steel Angle Lintel Design'!$F$40,'AISC Angle Database'!J161&lt;='Steel Angle Lintel Design'!$F$41,'AISC Angle Database'!K161&gt;='Steel Angle Lintel Design'!$K$40,'AISC Angle Database'!K161&lt;='Steel Angle Lintel Design'!$K$41),1,"")</f>
        <v/>
      </c>
      <c r="B161" s="44">
        <f t="shared" si="10"/>
        <v>5</v>
      </c>
      <c r="C161" s="44">
        <f t="shared" si="11"/>
        <v>0</v>
      </c>
      <c r="D161" s="42" t="e">
        <f t="shared" ca="1" si="12"/>
        <v>#NAME?</v>
      </c>
      <c r="E161" s="44" t="e">
        <f t="shared" ca="1" si="13"/>
        <v>#NAME?</v>
      </c>
      <c r="F161" s="5" t="e">
        <f t="shared" ca="1" si="14"/>
        <v>#NAME?</v>
      </c>
      <c r="G161" s="15" t="s">
        <v>338</v>
      </c>
      <c r="H161" s="15">
        <f>IF('Steel Angle Lintel Design'!$AM$16=1,0,IF('Steel Angle Lintel Design'!$AM$16=2,1,1))</f>
        <v>1</v>
      </c>
      <c r="I161" s="19">
        <v>22.51</v>
      </c>
      <c r="J161" s="15">
        <v>4</v>
      </c>
      <c r="K161" s="15">
        <v>4</v>
      </c>
      <c r="L161" s="15">
        <v>9.86</v>
      </c>
      <c r="M161" s="15">
        <v>6.2</v>
      </c>
      <c r="N161" s="15">
        <v>3.47</v>
      </c>
      <c r="O161" s="13">
        <v>18.66</v>
      </c>
      <c r="P161" s="15">
        <v>0</v>
      </c>
      <c r="Q161" s="15">
        <v>0</v>
      </c>
      <c r="R161" s="13">
        <v>0.4375</v>
      </c>
      <c r="S161" s="13">
        <v>2</v>
      </c>
      <c r="T161" s="13" t="str">
        <f>IF(S161=2,"Y",IF(J161/R161&lt;0.54*(SQRT(29000/'Steel Angle Lintel Design'!$H$31)),"Y","N"))</f>
        <v>Y</v>
      </c>
      <c r="U161" s="13" t="str">
        <f>IF(J161/R161&gt;0.91*(SQRT(29000/'Steel Angle Lintel Design'!$H$31)),"Y","N")</f>
        <v>N</v>
      </c>
      <c r="V161" s="13" t="s">
        <v>339</v>
      </c>
      <c r="W161" s="13"/>
      <c r="X161" s="13">
        <v>4.0999999999999996</v>
      </c>
      <c r="Y161" s="13">
        <v>102</v>
      </c>
      <c r="Z161" s="13">
        <v>56.9</v>
      </c>
      <c r="AA161" s="13"/>
      <c r="AB161" s="13">
        <v>0</v>
      </c>
      <c r="AC161" s="13">
        <v>0</v>
      </c>
    </row>
    <row r="162" spans="1:29" s="8" customFormat="1" ht="15.75">
      <c r="A162" s="43" t="str">
        <f>IF(AND(H162=1,L162&gt;='Steel Angle Lintel Design'!$M$98,'AISC Angle Database'!N162&gt;='Steel Angle Lintel Design'!$M$96,'AISC Angle Database'!J162&gt;='Steel Angle Lintel Design'!$F$40,'AISC Angle Database'!J162&lt;='Steel Angle Lintel Design'!$F$41,'AISC Angle Database'!K162&gt;='Steel Angle Lintel Design'!$K$40,'AISC Angle Database'!K162&lt;='Steel Angle Lintel Design'!$K$41),1,"")</f>
        <v/>
      </c>
      <c r="B162" s="44">
        <f t="shared" si="10"/>
        <v>5</v>
      </c>
      <c r="C162" s="44">
        <f t="shared" si="11"/>
        <v>0</v>
      </c>
      <c r="D162" s="42" t="e">
        <f t="shared" ca="1" si="12"/>
        <v>#NAME?</v>
      </c>
      <c r="E162" s="44" t="e">
        <f t="shared" ca="1" si="13"/>
        <v>#NAME?</v>
      </c>
      <c r="F162" s="5" t="e">
        <f t="shared" ca="1" si="14"/>
        <v>#NAME?</v>
      </c>
      <c r="G162" s="15" t="s">
        <v>340</v>
      </c>
      <c r="H162" s="15">
        <f>IF('Steel Angle Lintel Design'!$AM$16=1,0,IF('Steel Angle Lintel Design'!$AM$16=2,1,1))</f>
        <v>1</v>
      </c>
      <c r="I162" s="19">
        <v>19.399999999999999</v>
      </c>
      <c r="J162" s="15">
        <v>4</v>
      </c>
      <c r="K162" s="15">
        <v>4</v>
      </c>
      <c r="L162" s="15">
        <v>8.64</v>
      </c>
      <c r="M162" s="15">
        <v>5.37</v>
      </c>
      <c r="N162" s="15">
        <v>3.01</v>
      </c>
      <c r="O162" s="13">
        <v>15.9</v>
      </c>
      <c r="P162" s="15">
        <v>0</v>
      </c>
      <c r="Q162" s="15">
        <v>0</v>
      </c>
      <c r="R162" s="13">
        <v>0.375</v>
      </c>
      <c r="S162" s="13">
        <v>2</v>
      </c>
      <c r="T162" s="13" t="str">
        <f>IF(S162=2,"Y",IF(J162/R162&lt;0.54*(SQRT(29000/'Steel Angle Lintel Design'!$H$31)),"Y","N"))</f>
        <v>Y</v>
      </c>
      <c r="U162" s="13" t="str">
        <f>IF(J162/R162&gt;0.91*(SQRT(29000/'Steel Angle Lintel Design'!$H$31)),"Y","N")</f>
        <v>N</v>
      </c>
      <c r="V162" s="13" t="s">
        <v>341</v>
      </c>
      <c r="W162" s="13"/>
      <c r="X162" s="13">
        <v>3.6</v>
      </c>
      <c r="Y162" s="13">
        <v>88</v>
      </c>
      <c r="Z162" s="13">
        <v>49.3</v>
      </c>
      <c r="AA162" s="13"/>
      <c r="AB162" s="13">
        <v>0</v>
      </c>
      <c r="AC162" s="13">
        <v>0</v>
      </c>
    </row>
    <row r="163" spans="1:29" s="8" customFormat="1" ht="13.5" customHeight="1">
      <c r="A163" s="43" t="str">
        <f>IF(AND(H163=1,L163&gt;='Steel Angle Lintel Design'!$M$98,'AISC Angle Database'!N163&gt;='Steel Angle Lintel Design'!$M$96,'AISC Angle Database'!J163&gt;='Steel Angle Lintel Design'!$F$40,'AISC Angle Database'!J163&lt;='Steel Angle Lintel Design'!$F$41,'AISC Angle Database'!K163&gt;='Steel Angle Lintel Design'!$K$40,'AISC Angle Database'!K163&lt;='Steel Angle Lintel Design'!$K$41),1,"")</f>
        <v/>
      </c>
      <c r="B163" s="44">
        <f t="shared" si="10"/>
        <v>5</v>
      </c>
      <c r="C163" s="44">
        <f t="shared" si="11"/>
        <v>0</v>
      </c>
      <c r="D163" s="42" t="e">
        <f t="shared" ca="1" si="12"/>
        <v>#NAME?</v>
      </c>
      <c r="E163" s="44" t="e">
        <f t="shared" ca="1" si="13"/>
        <v>#NAME?</v>
      </c>
      <c r="F163" s="5" t="e">
        <f t="shared" ca="1" si="14"/>
        <v>#NAME?</v>
      </c>
      <c r="G163" s="15" t="s">
        <v>342</v>
      </c>
      <c r="H163" s="15">
        <f>IF('Steel Angle Lintel Design'!$AM$16=1,0,IF('Steel Angle Lintel Design'!$AM$16=2,1,1))</f>
        <v>1</v>
      </c>
      <c r="I163" s="19">
        <v>16.3</v>
      </c>
      <c r="J163" s="15">
        <v>4</v>
      </c>
      <c r="K163" s="15">
        <v>4</v>
      </c>
      <c r="L163" s="15">
        <v>7.35</v>
      </c>
      <c r="M163" s="15">
        <v>4.5199999999999996</v>
      </c>
      <c r="N163" s="15">
        <v>2.54</v>
      </c>
      <c r="O163" s="13">
        <v>13.2</v>
      </c>
      <c r="P163" s="15">
        <v>0</v>
      </c>
      <c r="Q163" s="15">
        <v>0</v>
      </c>
      <c r="R163" s="13">
        <v>0.3125</v>
      </c>
      <c r="S163" s="13">
        <v>2</v>
      </c>
      <c r="T163" s="13" t="str">
        <f>IF(S163=2,"Y",IF(J163/R163&lt;0.54*(SQRT(29000/'Steel Angle Lintel Design'!$H$31)),"Y","N"))</f>
        <v>Y</v>
      </c>
      <c r="U163" s="13" t="str">
        <f>IF(J163/R163&gt;0.91*(SQRT(29000/'Steel Angle Lintel Design'!$H$31)),"Y","N")</f>
        <v>N</v>
      </c>
      <c r="V163" s="13" t="s">
        <v>343</v>
      </c>
      <c r="W163" s="13"/>
      <c r="X163" s="13">
        <v>3.06</v>
      </c>
      <c r="Y163" s="13">
        <v>74.099999999999994</v>
      </c>
      <c r="Z163" s="13">
        <v>41.6</v>
      </c>
      <c r="AA163" s="13"/>
      <c r="AB163" s="13">
        <v>0</v>
      </c>
      <c r="AC163" s="13">
        <v>0</v>
      </c>
    </row>
    <row r="164" spans="1:29" s="8" customFormat="1" ht="15.75">
      <c r="A164" s="43" t="str">
        <f>IF(AND(H164=1,L164&gt;='Steel Angle Lintel Design'!$M$98,'AISC Angle Database'!N164&gt;='Steel Angle Lintel Design'!$M$96,'AISC Angle Database'!J164&gt;='Steel Angle Lintel Design'!$F$40,'AISC Angle Database'!J164&lt;='Steel Angle Lintel Design'!$F$41,'AISC Angle Database'!K164&gt;='Steel Angle Lintel Design'!$K$40,'AISC Angle Database'!K164&lt;='Steel Angle Lintel Design'!$K$41),1,"")</f>
        <v/>
      </c>
      <c r="B164" s="44">
        <f t="shared" si="10"/>
        <v>5</v>
      </c>
      <c r="C164" s="44">
        <f t="shared" si="11"/>
        <v>0</v>
      </c>
      <c r="D164" s="42" t="e">
        <f t="shared" ca="1" si="12"/>
        <v>#NAME?</v>
      </c>
      <c r="E164" s="44" t="e">
        <f t="shared" ca="1" si="13"/>
        <v>#NAME?</v>
      </c>
      <c r="F164" s="5" t="e">
        <f t="shared" ca="1" si="14"/>
        <v>#NAME?</v>
      </c>
      <c r="G164" s="15" t="s">
        <v>344</v>
      </c>
      <c r="H164" s="15">
        <f>IF('Steel Angle Lintel Design'!$AM$16=1,0,IF('Steel Angle Lintel Design'!$AM$16=2,1,1))</f>
        <v>1</v>
      </c>
      <c r="I164" s="19">
        <v>13.2</v>
      </c>
      <c r="J164" s="15">
        <v>4</v>
      </c>
      <c r="K164" s="15">
        <v>4</v>
      </c>
      <c r="L164" s="15">
        <v>6</v>
      </c>
      <c r="M164" s="15">
        <v>3.65</v>
      </c>
      <c r="N164" s="15">
        <v>2.0499999999999998</v>
      </c>
      <c r="O164" s="13">
        <v>10.56</v>
      </c>
      <c r="P164" s="15">
        <v>0</v>
      </c>
      <c r="Q164" s="15">
        <v>0</v>
      </c>
      <c r="R164" s="13">
        <v>0.25</v>
      </c>
      <c r="S164" s="13">
        <v>2</v>
      </c>
      <c r="T164" s="13" t="str">
        <f>IF(S164=2,"Y",IF(J164/R164&lt;0.54*(SQRT(29000/'Steel Angle Lintel Design'!$H$31)),"Y","N"))</f>
        <v>Y</v>
      </c>
      <c r="U164" s="13" t="str">
        <f>IF(J164/R164&gt;0.91*(SQRT(29000/'Steel Angle Lintel Design'!$H$31)),"Y","N")</f>
        <v>N</v>
      </c>
      <c r="V164" s="13" t="s">
        <v>345</v>
      </c>
      <c r="W164" s="13"/>
      <c r="X164" s="13">
        <v>2.5</v>
      </c>
      <c r="Y164" s="13">
        <v>59.8</v>
      </c>
      <c r="Z164" s="13">
        <v>33.6</v>
      </c>
      <c r="AA164" s="13"/>
      <c r="AB164" s="13">
        <v>0</v>
      </c>
      <c r="AC164" s="13">
        <v>0</v>
      </c>
    </row>
    <row r="165" spans="1:29" s="8" customFormat="1" ht="15.75">
      <c r="A165" s="43" t="str">
        <f>IF(AND(H165=1,L165&gt;='Steel Angle Lintel Design'!$M$98,'AISC Angle Database'!N165&gt;='Steel Angle Lintel Design'!$M$96,'AISC Angle Database'!J165&gt;='Steel Angle Lintel Design'!$F$40,'AISC Angle Database'!J165&lt;='Steel Angle Lintel Design'!$F$41,'AISC Angle Database'!K165&gt;='Steel Angle Lintel Design'!$K$40,'AISC Angle Database'!K165&lt;='Steel Angle Lintel Design'!$K$41),1,"")</f>
        <v/>
      </c>
      <c r="B165" s="44">
        <f t="shared" si="10"/>
        <v>5</v>
      </c>
      <c r="C165" s="44">
        <f t="shared" si="11"/>
        <v>0</v>
      </c>
      <c r="D165" s="42" t="e">
        <f t="shared" ca="1" si="12"/>
        <v>#NAME?</v>
      </c>
      <c r="E165" s="44" t="e">
        <f t="shared" ca="1" si="13"/>
        <v>#NAME?</v>
      </c>
      <c r="F165" s="5" t="e">
        <f t="shared" ca="1" si="14"/>
        <v>#NAME?</v>
      </c>
      <c r="G165" s="15" t="s">
        <v>346</v>
      </c>
      <c r="H165" s="15">
        <f>IF('Steel Angle Lintel Design'!$AM$16=1,0,IF('Steel Angle Lintel Design'!$AM$16=2,1,1))</f>
        <v>1</v>
      </c>
      <c r="I165" s="19">
        <v>22.2</v>
      </c>
      <c r="J165" s="15">
        <v>3.5</v>
      </c>
      <c r="K165" s="15">
        <v>3.5</v>
      </c>
      <c r="L165" s="15">
        <v>7.26</v>
      </c>
      <c r="M165" s="15">
        <v>5.33</v>
      </c>
      <c r="N165" s="15">
        <v>2.96</v>
      </c>
      <c r="O165" s="13">
        <v>14.48</v>
      </c>
      <c r="P165" s="15">
        <v>0</v>
      </c>
      <c r="Q165" s="15">
        <v>0</v>
      </c>
      <c r="R165" s="13">
        <v>0.5</v>
      </c>
      <c r="S165" s="13">
        <v>2</v>
      </c>
      <c r="T165" s="13" t="str">
        <f>IF(S165=2,"Y",IF(J165/R165&lt;0.54*(SQRT(29000/'Steel Angle Lintel Design'!$H$31)),"Y","N"))</f>
        <v>Y</v>
      </c>
      <c r="U165" s="13" t="str">
        <f>IF(J165/R165&gt;0.91*(SQRT(29000/'Steel Angle Lintel Design'!$H$31)),"Y","N")</f>
        <v>N</v>
      </c>
      <c r="V165" s="13" t="s">
        <v>347</v>
      </c>
      <c r="W165" s="13"/>
      <c r="X165" s="13">
        <v>3.02</v>
      </c>
      <c r="Y165" s="13">
        <v>87.3</v>
      </c>
      <c r="Z165" s="13">
        <v>48.5</v>
      </c>
      <c r="AA165" s="13"/>
      <c r="AB165" s="13">
        <v>0</v>
      </c>
      <c r="AC165" s="13">
        <v>0</v>
      </c>
    </row>
    <row r="166" spans="1:29" s="8" customFormat="1" ht="15.75">
      <c r="A166" s="43" t="str">
        <f>IF(AND(H166=1,L166&gt;='Steel Angle Lintel Design'!$M$98,'AISC Angle Database'!N166&gt;='Steel Angle Lintel Design'!$M$96,'AISC Angle Database'!J166&gt;='Steel Angle Lintel Design'!$F$40,'AISC Angle Database'!J166&lt;='Steel Angle Lintel Design'!$F$41,'AISC Angle Database'!K166&gt;='Steel Angle Lintel Design'!$K$40,'AISC Angle Database'!K166&lt;='Steel Angle Lintel Design'!$K$41),1,"")</f>
        <v/>
      </c>
      <c r="B166" s="44">
        <f t="shared" si="10"/>
        <v>5</v>
      </c>
      <c r="C166" s="44">
        <f t="shared" si="11"/>
        <v>0</v>
      </c>
      <c r="D166" s="42" t="e">
        <f t="shared" ca="1" si="12"/>
        <v>#NAME?</v>
      </c>
      <c r="E166" s="44" t="e">
        <f t="shared" ca="1" si="13"/>
        <v>#NAME?</v>
      </c>
      <c r="F166" s="5" t="e">
        <f t="shared" ca="1" si="14"/>
        <v>#NAME?</v>
      </c>
      <c r="G166" s="15" t="s">
        <v>348</v>
      </c>
      <c r="H166" s="15">
        <f>IF('Steel Angle Lintel Design'!$AM$16=1,0,IF('Steel Angle Lintel Design'!$AM$16=2,1,1))</f>
        <v>1</v>
      </c>
      <c r="I166" s="19">
        <v>19.600000000000001</v>
      </c>
      <c r="J166" s="15">
        <v>3.5</v>
      </c>
      <c r="K166" s="15">
        <v>3.5</v>
      </c>
      <c r="L166" s="15">
        <v>6.51</v>
      </c>
      <c r="M166" s="15">
        <v>4.7300000000000004</v>
      </c>
      <c r="N166" s="15">
        <v>2.63</v>
      </c>
      <c r="O166" s="13">
        <v>12.62</v>
      </c>
      <c r="P166" s="15">
        <v>0</v>
      </c>
      <c r="Q166" s="15">
        <v>0</v>
      </c>
      <c r="R166" s="13">
        <v>0.4375</v>
      </c>
      <c r="S166" s="13">
        <v>2</v>
      </c>
      <c r="T166" s="13" t="str">
        <f>IF(S166=2,"Y",IF(J166/R166&lt;0.54*(SQRT(29000/'Steel Angle Lintel Design'!$H$31)),"Y","N"))</f>
        <v>Y</v>
      </c>
      <c r="U166" s="13" t="str">
        <f>IF(J166/R166&gt;0.91*(SQRT(29000/'Steel Angle Lintel Design'!$H$31)),"Y","N")</f>
        <v>N</v>
      </c>
      <c r="V166" s="13" t="s">
        <v>349</v>
      </c>
      <c r="W166" s="13"/>
      <c r="X166" s="13">
        <v>2.71</v>
      </c>
      <c r="Y166" s="13">
        <v>77.5</v>
      </c>
      <c r="Z166" s="13">
        <v>43.1</v>
      </c>
      <c r="AA166" s="13"/>
      <c r="AB166" s="13">
        <v>0</v>
      </c>
      <c r="AC166" s="13">
        <v>0</v>
      </c>
    </row>
    <row r="167" spans="1:29" s="8" customFormat="1" ht="15.75">
      <c r="A167" s="43" t="str">
        <f>IF(AND(H167=1,L167&gt;='Steel Angle Lintel Design'!$M$98,'AISC Angle Database'!N167&gt;='Steel Angle Lintel Design'!$M$96,'AISC Angle Database'!J167&gt;='Steel Angle Lintel Design'!$F$40,'AISC Angle Database'!J167&lt;='Steel Angle Lintel Design'!$F$41,'AISC Angle Database'!K167&gt;='Steel Angle Lintel Design'!$K$40,'AISC Angle Database'!K167&lt;='Steel Angle Lintel Design'!$K$41),1,"")</f>
        <v/>
      </c>
      <c r="B167" s="44">
        <f t="shared" si="10"/>
        <v>5</v>
      </c>
      <c r="C167" s="44">
        <f t="shared" si="11"/>
        <v>0</v>
      </c>
      <c r="D167" s="42" t="e">
        <f t="shared" ca="1" si="12"/>
        <v>#NAME?</v>
      </c>
      <c r="E167" s="44" t="e">
        <f t="shared" ca="1" si="13"/>
        <v>#NAME?</v>
      </c>
      <c r="F167" s="5" t="e">
        <f t="shared" ca="1" si="14"/>
        <v>#NAME?</v>
      </c>
      <c r="G167" s="15" t="s">
        <v>350</v>
      </c>
      <c r="H167" s="15">
        <f>IF('Steel Angle Lintel Design'!$AM$16=1,0,IF('Steel Angle Lintel Design'!$AM$16=2,1,1))</f>
        <v>1</v>
      </c>
      <c r="I167" s="19">
        <v>17</v>
      </c>
      <c r="J167" s="15">
        <v>3.5</v>
      </c>
      <c r="K167" s="15">
        <v>3.5</v>
      </c>
      <c r="L167" s="15">
        <v>5.72</v>
      </c>
      <c r="M167" s="15">
        <v>4.1100000000000003</v>
      </c>
      <c r="N167" s="15">
        <v>2.29</v>
      </c>
      <c r="O167" s="13">
        <v>10.8</v>
      </c>
      <c r="P167" s="15">
        <v>0</v>
      </c>
      <c r="Q167" s="15">
        <v>0</v>
      </c>
      <c r="R167" s="13">
        <v>0.375</v>
      </c>
      <c r="S167" s="13">
        <v>2</v>
      </c>
      <c r="T167" s="13" t="str">
        <f>IF(S167=2,"Y",IF(J167/R167&lt;0.54*(SQRT(29000/'Steel Angle Lintel Design'!$H$31)),"Y","N"))</f>
        <v>Y</v>
      </c>
      <c r="U167" s="13" t="str">
        <f>IF(J167/R167&gt;0.91*(SQRT(29000/'Steel Angle Lintel Design'!$H$31)),"Y","N")</f>
        <v>N</v>
      </c>
      <c r="V167" s="13" t="s">
        <v>351</v>
      </c>
      <c r="W167" s="13"/>
      <c r="X167" s="13">
        <v>2.38</v>
      </c>
      <c r="Y167" s="13">
        <v>67.400000000000006</v>
      </c>
      <c r="Z167" s="13">
        <v>37.5</v>
      </c>
      <c r="AA167" s="13"/>
      <c r="AB167" s="13">
        <v>0</v>
      </c>
      <c r="AC167" s="13">
        <v>0</v>
      </c>
    </row>
    <row r="168" spans="1:29" s="8" customFormat="1" ht="15.75">
      <c r="A168" s="43" t="str">
        <f>IF(AND(H168=1,L168&gt;='Steel Angle Lintel Design'!$M$98,'AISC Angle Database'!N168&gt;='Steel Angle Lintel Design'!$M$96,'AISC Angle Database'!J168&gt;='Steel Angle Lintel Design'!$F$40,'AISC Angle Database'!J168&lt;='Steel Angle Lintel Design'!$F$41,'AISC Angle Database'!K168&gt;='Steel Angle Lintel Design'!$K$40,'AISC Angle Database'!K168&lt;='Steel Angle Lintel Design'!$K$41),1,"")</f>
        <v/>
      </c>
      <c r="B168" s="44">
        <f t="shared" si="10"/>
        <v>5</v>
      </c>
      <c r="C168" s="44">
        <f t="shared" si="11"/>
        <v>0</v>
      </c>
      <c r="D168" s="42" t="e">
        <f t="shared" ca="1" si="12"/>
        <v>#NAME?</v>
      </c>
      <c r="E168" s="44" t="e">
        <f t="shared" ca="1" si="13"/>
        <v>#NAME?</v>
      </c>
      <c r="F168" s="5" t="e">
        <f t="shared" ca="1" si="14"/>
        <v>#NAME?</v>
      </c>
      <c r="G168" s="15" t="s">
        <v>352</v>
      </c>
      <c r="H168" s="15">
        <f>IF('Steel Angle Lintel Design'!$AM$16=1,0,IF('Steel Angle Lintel Design'!$AM$16=2,1,1))</f>
        <v>1</v>
      </c>
      <c r="I168" s="19">
        <v>14.29</v>
      </c>
      <c r="J168" s="15">
        <v>3.5</v>
      </c>
      <c r="K168" s="15">
        <v>3.5</v>
      </c>
      <c r="L168" s="15">
        <v>4.8899999999999997</v>
      </c>
      <c r="M168" s="15">
        <v>3.47</v>
      </c>
      <c r="N168" s="15">
        <v>1.94</v>
      </c>
      <c r="O168" s="13">
        <v>8.9600000000000009</v>
      </c>
      <c r="P168" s="15">
        <v>0</v>
      </c>
      <c r="Q168" s="15">
        <v>0</v>
      </c>
      <c r="R168" s="13">
        <v>0.3125</v>
      </c>
      <c r="S168" s="13">
        <v>2</v>
      </c>
      <c r="T168" s="13" t="str">
        <f>IF(S168=2,"Y",IF(J168/R168&lt;0.54*(SQRT(29000/'Steel Angle Lintel Design'!$H$31)),"Y","N"))</f>
        <v>Y</v>
      </c>
      <c r="U168" s="13" t="str">
        <f>IF(J168/R168&gt;0.91*(SQRT(29000/'Steel Angle Lintel Design'!$H$31)),"Y","N")</f>
        <v>N</v>
      </c>
      <c r="V168" s="13" t="s">
        <v>353</v>
      </c>
      <c r="W168" s="13"/>
      <c r="X168" s="13">
        <v>2.04</v>
      </c>
      <c r="Y168" s="13">
        <v>56.9</v>
      </c>
      <c r="Z168" s="13">
        <v>31.8</v>
      </c>
      <c r="AA168" s="13"/>
      <c r="AB168" s="13">
        <v>0</v>
      </c>
      <c r="AC168" s="13">
        <v>0</v>
      </c>
    </row>
    <row r="169" spans="1:29" s="8" customFormat="1" ht="15.75">
      <c r="A169" s="43" t="str">
        <f>IF(AND(H169=1,L169&gt;='Steel Angle Lintel Design'!$M$98,'AISC Angle Database'!N169&gt;='Steel Angle Lintel Design'!$M$96,'AISC Angle Database'!J169&gt;='Steel Angle Lintel Design'!$F$40,'AISC Angle Database'!J169&lt;='Steel Angle Lintel Design'!$F$41,'AISC Angle Database'!K169&gt;='Steel Angle Lintel Design'!$K$40,'AISC Angle Database'!K169&lt;='Steel Angle Lintel Design'!$K$41),1,"")</f>
        <v/>
      </c>
      <c r="B169" s="44">
        <f t="shared" si="10"/>
        <v>5</v>
      </c>
      <c r="C169" s="44">
        <f t="shared" si="11"/>
        <v>0</v>
      </c>
      <c r="D169" s="42" t="e">
        <f t="shared" ca="1" si="12"/>
        <v>#NAME?</v>
      </c>
      <c r="E169" s="44" t="e">
        <f t="shared" ca="1" si="13"/>
        <v>#NAME?</v>
      </c>
      <c r="F169" s="5" t="e">
        <f t="shared" ca="1" si="14"/>
        <v>#NAME?</v>
      </c>
      <c r="G169" s="15" t="s">
        <v>354</v>
      </c>
      <c r="H169" s="15">
        <f>IF('Steel Angle Lintel Design'!$AM$16=1,0,IF('Steel Angle Lintel Design'!$AM$16=2,1,1))</f>
        <v>1</v>
      </c>
      <c r="I169" s="19">
        <v>11.6</v>
      </c>
      <c r="J169" s="15">
        <v>3.5</v>
      </c>
      <c r="K169" s="15">
        <v>3.5</v>
      </c>
      <c r="L169" s="15">
        <v>4</v>
      </c>
      <c r="M169" s="15">
        <v>2.82</v>
      </c>
      <c r="N169" s="15">
        <v>1.57</v>
      </c>
      <c r="O169" s="13">
        <v>7.07</v>
      </c>
      <c r="P169" s="15">
        <v>0</v>
      </c>
      <c r="Q169" s="15">
        <v>0</v>
      </c>
      <c r="R169" s="13">
        <v>0.25</v>
      </c>
      <c r="S169" s="13">
        <v>2</v>
      </c>
      <c r="T169" s="13" t="str">
        <f>IF(S169=2,"Y",IF(J169/R169&lt;0.54*(SQRT(29000/'Steel Angle Lintel Design'!$H$31)),"Y","N"))</f>
        <v>Y</v>
      </c>
      <c r="U169" s="13" t="str">
        <f>IF(J169/R169&gt;0.91*(SQRT(29000/'Steel Angle Lintel Design'!$H$31)),"Y","N")</f>
        <v>N</v>
      </c>
      <c r="V169" s="13" t="s">
        <v>355</v>
      </c>
      <c r="W169" s="13"/>
      <c r="X169" s="13">
        <v>1.66</v>
      </c>
      <c r="Y169" s="13">
        <v>46.2</v>
      </c>
      <c r="Z169" s="13">
        <v>25.7</v>
      </c>
      <c r="AA169" s="13"/>
      <c r="AB169" s="13">
        <v>0</v>
      </c>
      <c r="AC169" s="13">
        <v>0</v>
      </c>
    </row>
    <row r="170" spans="1:29" s="8" customFormat="1" ht="15.75">
      <c r="A170" s="43" t="str">
        <f>IF(AND(H170=1,L170&gt;='Steel Angle Lintel Design'!$M$98,'AISC Angle Database'!N170&gt;='Steel Angle Lintel Design'!$M$96,'AISC Angle Database'!J170&gt;='Steel Angle Lintel Design'!$F$40,'AISC Angle Database'!J170&lt;='Steel Angle Lintel Design'!$F$41,'AISC Angle Database'!K170&gt;='Steel Angle Lintel Design'!$K$40,'AISC Angle Database'!K170&lt;='Steel Angle Lintel Design'!$K$41),1,"")</f>
        <v/>
      </c>
      <c r="B170" s="44">
        <f t="shared" si="10"/>
        <v>5</v>
      </c>
      <c r="C170" s="44">
        <f t="shared" si="11"/>
        <v>0</v>
      </c>
      <c r="D170" s="42" t="e">
        <f t="shared" ca="1" si="12"/>
        <v>#NAME?</v>
      </c>
      <c r="E170" s="44" t="e">
        <f t="shared" ca="1" si="13"/>
        <v>#NAME?</v>
      </c>
      <c r="F170" s="5" t="e">
        <f t="shared" ca="1" si="14"/>
        <v>#NAME?</v>
      </c>
      <c r="G170" s="15" t="s">
        <v>356</v>
      </c>
      <c r="H170" s="15">
        <f>IF('Steel Angle Lintel Design'!$AM$16=1,0,IF('Steel Angle Lintel Design'!$AM$16=2,1,1))</f>
        <v>1</v>
      </c>
      <c r="I170" s="19">
        <v>18.7</v>
      </c>
      <c r="J170" s="15">
        <v>3</v>
      </c>
      <c r="K170" s="15">
        <v>3</v>
      </c>
      <c r="L170" s="15">
        <v>4.4000000000000004</v>
      </c>
      <c r="M170" s="15">
        <v>3.83</v>
      </c>
      <c r="N170" s="15">
        <v>2.13</v>
      </c>
      <c r="O170" s="13">
        <v>9.15</v>
      </c>
      <c r="P170" s="15">
        <v>0</v>
      </c>
      <c r="Q170" s="15">
        <v>0</v>
      </c>
      <c r="R170" s="13">
        <v>0.5</v>
      </c>
      <c r="S170" s="13">
        <v>2</v>
      </c>
      <c r="T170" s="13" t="str">
        <f>IF(S170=2,"Y",IF(J170/R170&lt;0.54*(SQRT(29000/'Steel Angle Lintel Design'!$H$31)),"Y","N"))</f>
        <v>Y</v>
      </c>
      <c r="U170" s="13" t="str">
        <f>IF(J170/R170&gt;0.91*(SQRT(29000/'Steel Angle Lintel Design'!$H$31)),"Y","N")</f>
        <v>N</v>
      </c>
      <c r="V170" s="13" t="s">
        <v>357</v>
      </c>
      <c r="W170" s="13"/>
      <c r="X170" s="13">
        <v>1.83</v>
      </c>
      <c r="Y170" s="13">
        <v>62.8</v>
      </c>
      <c r="Z170" s="13">
        <v>34.9</v>
      </c>
      <c r="AA170" s="13"/>
      <c r="AB170" s="13">
        <v>0</v>
      </c>
      <c r="AC170" s="13">
        <v>0</v>
      </c>
    </row>
    <row r="171" spans="1:29" s="8" customFormat="1" ht="15.75">
      <c r="A171" s="43" t="str">
        <f>IF(AND(H171=1,L171&gt;='Steel Angle Lintel Design'!$M$98,'AISC Angle Database'!N171&gt;='Steel Angle Lintel Design'!$M$96,'AISC Angle Database'!J171&gt;='Steel Angle Lintel Design'!$F$40,'AISC Angle Database'!J171&lt;='Steel Angle Lintel Design'!$F$41,'AISC Angle Database'!K171&gt;='Steel Angle Lintel Design'!$K$40,'AISC Angle Database'!K171&lt;='Steel Angle Lintel Design'!$K$41),1,"")</f>
        <v/>
      </c>
      <c r="B171" s="44">
        <f t="shared" si="10"/>
        <v>5</v>
      </c>
      <c r="C171" s="44">
        <f t="shared" si="11"/>
        <v>0</v>
      </c>
      <c r="D171" s="42" t="e">
        <f t="shared" ca="1" si="12"/>
        <v>#NAME?</v>
      </c>
      <c r="E171" s="44" t="e">
        <f t="shared" ca="1" si="13"/>
        <v>#NAME?</v>
      </c>
      <c r="F171" s="5" t="e">
        <f t="shared" ca="1" si="14"/>
        <v>#NAME?</v>
      </c>
      <c r="G171" s="15" t="s">
        <v>358</v>
      </c>
      <c r="H171" s="15">
        <f>IF('Steel Angle Lintel Design'!$AM$16=1,0,IF('Steel Angle Lintel Design'!$AM$16=2,1,1))</f>
        <v>1</v>
      </c>
      <c r="I171" s="19">
        <v>16.600000000000001</v>
      </c>
      <c r="J171" s="15">
        <v>3</v>
      </c>
      <c r="K171" s="15">
        <v>3</v>
      </c>
      <c r="L171" s="15">
        <v>3.96</v>
      </c>
      <c r="M171" s="15">
        <v>3.4</v>
      </c>
      <c r="N171" s="15">
        <v>1.89</v>
      </c>
      <c r="O171" s="13">
        <v>7.99</v>
      </c>
      <c r="P171" s="15">
        <v>0</v>
      </c>
      <c r="Q171" s="15">
        <v>0</v>
      </c>
      <c r="R171" s="13">
        <v>0.4375</v>
      </c>
      <c r="S171" s="13">
        <v>2</v>
      </c>
      <c r="T171" s="13" t="str">
        <f>IF(S171=2,"Y",IF(J171/R171&lt;0.54*(SQRT(29000/'Steel Angle Lintel Design'!$H$31)),"Y","N"))</f>
        <v>Y</v>
      </c>
      <c r="U171" s="13" t="str">
        <f>IF(J171/R171&gt;0.91*(SQRT(29000/'Steel Angle Lintel Design'!$H$31)),"Y","N")</f>
        <v>N</v>
      </c>
      <c r="V171" s="13" t="s">
        <v>359</v>
      </c>
      <c r="W171" s="13"/>
      <c r="X171" s="13">
        <v>1.65</v>
      </c>
      <c r="Y171" s="13">
        <v>55.7</v>
      </c>
      <c r="Z171" s="13">
        <v>31</v>
      </c>
      <c r="AA171" s="13"/>
      <c r="AB171" s="13">
        <v>0</v>
      </c>
      <c r="AC171" s="13">
        <v>0</v>
      </c>
    </row>
    <row r="172" spans="1:29" s="8" customFormat="1" ht="15.75">
      <c r="A172" s="43" t="str">
        <f>IF(AND(H172=1,L172&gt;='Steel Angle Lintel Design'!$M$98,'AISC Angle Database'!N172&gt;='Steel Angle Lintel Design'!$M$96,'AISC Angle Database'!J172&gt;='Steel Angle Lintel Design'!$F$40,'AISC Angle Database'!J172&lt;='Steel Angle Lintel Design'!$F$41,'AISC Angle Database'!K172&gt;='Steel Angle Lintel Design'!$K$40,'AISC Angle Database'!K172&lt;='Steel Angle Lintel Design'!$K$41),1,"")</f>
        <v/>
      </c>
      <c r="B172" s="44">
        <f t="shared" si="10"/>
        <v>5</v>
      </c>
      <c r="C172" s="44">
        <f t="shared" si="11"/>
        <v>0</v>
      </c>
      <c r="D172" s="42" t="e">
        <f t="shared" ca="1" si="12"/>
        <v>#NAME?</v>
      </c>
      <c r="E172" s="44" t="e">
        <f t="shared" ca="1" si="13"/>
        <v>#NAME?</v>
      </c>
      <c r="F172" s="5" t="e">
        <f t="shared" ca="1" si="14"/>
        <v>#NAME?</v>
      </c>
      <c r="G172" s="15" t="s">
        <v>360</v>
      </c>
      <c r="H172" s="15">
        <f>IF('Steel Angle Lintel Design'!$AM$16=1,0,IF('Steel Angle Lintel Design'!$AM$16=2,1,1))</f>
        <v>1</v>
      </c>
      <c r="I172" s="19">
        <v>14.22</v>
      </c>
      <c r="J172" s="15">
        <v>3</v>
      </c>
      <c r="K172" s="15">
        <v>3</v>
      </c>
      <c r="L172" s="15">
        <v>3.5</v>
      </c>
      <c r="M172" s="15">
        <v>2.97</v>
      </c>
      <c r="N172" s="15">
        <v>1.65</v>
      </c>
      <c r="O172" s="13">
        <v>6.78</v>
      </c>
      <c r="P172" s="15">
        <v>0</v>
      </c>
      <c r="Q172" s="15">
        <v>0</v>
      </c>
      <c r="R172" s="13">
        <v>0.375</v>
      </c>
      <c r="S172" s="13">
        <v>2</v>
      </c>
      <c r="T172" s="13" t="str">
        <f>IF(S172=2,"Y",IF(J172/R172&lt;0.54*(SQRT(29000/'Steel Angle Lintel Design'!$H$31)),"Y","N"))</f>
        <v>Y</v>
      </c>
      <c r="U172" s="13" t="str">
        <f>IF(J172/R172&gt;0.91*(SQRT(29000/'Steel Angle Lintel Design'!$H$31)),"Y","N")</f>
        <v>N</v>
      </c>
      <c r="V172" s="13" t="s">
        <v>361</v>
      </c>
      <c r="W172" s="13"/>
      <c r="X172" s="13">
        <v>1.46</v>
      </c>
      <c r="Y172" s="13">
        <v>48.7</v>
      </c>
      <c r="Z172" s="13">
        <v>27</v>
      </c>
      <c r="AA172" s="13"/>
      <c r="AB172" s="13">
        <v>0</v>
      </c>
      <c r="AC172" s="13">
        <v>0</v>
      </c>
    </row>
    <row r="173" spans="1:29" s="8" customFormat="1" ht="15.75">
      <c r="A173" s="43" t="str">
        <f>IF(AND(H173=1,L173&gt;='Steel Angle Lintel Design'!$M$98,'AISC Angle Database'!N173&gt;='Steel Angle Lintel Design'!$M$96,'AISC Angle Database'!J173&gt;='Steel Angle Lintel Design'!$F$40,'AISC Angle Database'!J173&lt;='Steel Angle Lintel Design'!$F$41,'AISC Angle Database'!K173&gt;='Steel Angle Lintel Design'!$K$40,'AISC Angle Database'!K173&lt;='Steel Angle Lintel Design'!$K$41),1,"")</f>
        <v/>
      </c>
      <c r="B173" s="44">
        <f t="shared" si="10"/>
        <v>5</v>
      </c>
      <c r="C173" s="44">
        <f t="shared" si="11"/>
        <v>0</v>
      </c>
      <c r="D173" s="42" t="e">
        <f t="shared" ca="1" si="12"/>
        <v>#NAME?</v>
      </c>
      <c r="E173" s="44" t="e">
        <f t="shared" ca="1" si="13"/>
        <v>#NAME?</v>
      </c>
      <c r="F173" s="5" t="e">
        <f t="shared" ca="1" si="14"/>
        <v>#NAME?</v>
      </c>
      <c r="G173" s="15" t="s">
        <v>362</v>
      </c>
      <c r="H173" s="15">
        <f>IF('Steel Angle Lintel Design'!$AM$16=1,0,IF('Steel Angle Lintel Design'!$AM$16=2,1,1))</f>
        <v>1</v>
      </c>
      <c r="I173" s="19">
        <v>12.1</v>
      </c>
      <c r="J173" s="15">
        <v>3</v>
      </c>
      <c r="K173" s="15">
        <v>3</v>
      </c>
      <c r="L173" s="15">
        <v>2.99</v>
      </c>
      <c r="M173" s="15">
        <v>2.5099999999999998</v>
      </c>
      <c r="N173" s="15">
        <v>1.4</v>
      </c>
      <c r="O173" s="13">
        <v>5.65</v>
      </c>
      <c r="P173" s="15">
        <v>0</v>
      </c>
      <c r="Q173" s="15">
        <v>0</v>
      </c>
      <c r="R173" s="13">
        <v>0.3125</v>
      </c>
      <c r="S173" s="13">
        <v>2</v>
      </c>
      <c r="T173" s="13" t="str">
        <f>IF(S173=2,"Y",IF(J173/R173&lt;0.54*(SQRT(29000/'Steel Angle Lintel Design'!$H$31)),"Y","N"))</f>
        <v>Y</v>
      </c>
      <c r="U173" s="13" t="str">
        <f>IF(J173/R173&gt;0.91*(SQRT(29000/'Steel Angle Lintel Design'!$H$31)),"Y","N")</f>
        <v>N</v>
      </c>
      <c r="V173" s="13" t="s">
        <v>363</v>
      </c>
      <c r="W173" s="13"/>
      <c r="X173" s="13">
        <v>1.24</v>
      </c>
      <c r="Y173" s="13">
        <v>41.1</v>
      </c>
      <c r="Z173" s="13">
        <v>22.9</v>
      </c>
      <c r="AA173" s="13"/>
      <c r="AB173" s="13">
        <v>0</v>
      </c>
      <c r="AC173" s="13">
        <v>0</v>
      </c>
    </row>
    <row r="174" spans="1:29" s="8" customFormat="1" ht="15.75">
      <c r="A174" s="43" t="str">
        <f>IF(AND(H174=1,L174&gt;='Steel Angle Lintel Design'!$M$98,'AISC Angle Database'!N174&gt;='Steel Angle Lintel Design'!$M$96,'AISC Angle Database'!J174&gt;='Steel Angle Lintel Design'!$F$40,'AISC Angle Database'!J174&lt;='Steel Angle Lintel Design'!$F$41,'AISC Angle Database'!K174&gt;='Steel Angle Lintel Design'!$K$40,'AISC Angle Database'!K174&lt;='Steel Angle Lintel Design'!$K$41),1,"")</f>
        <v/>
      </c>
      <c r="B174" s="44">
        <f t="shared" si="10"/>
        <v>5</v>
      </c>
      <c r="C174" s="44">
        <f t="shared" si="11"/>
        <v>0</v>
      </c>
      <c r="D174" s="42" t="e">
        <f t="shared" ca="1" si="12"/>
        <v>#NAME?</v>
      </c>
      <c r="E174" s="44" t="e">
        <f t="shared" ca="1" si="13"/>
        <v>#NAME?</v>
      </c>
      <c r="F174" s="5" t="e">
        <f t="shared" ca="1" si="14"/>
        <v>#NAME?</v>
      </c>
      <c r="G174" s="15" t="s">
        <v>364</v>
      </c>
      <c r="H174" s="15">
        <f>IF('Steel Angle Lintel Design'!$AM$16=1,0,IF('Steel Angle Lintel Design'!$AM$16=2,1,1))</f>
        <v>1</v>
      </c>
      <c r="I174" s="19">
        <v>9.77</v>
      </c>
      <c r="J174" s="15">
        <v>3</v>
      </c>
      <c r="K174" s="15">
        <v>3</v>
      </c>
      <c r="L174" s="15">
        <v>2.46</v>
      </c>
      <c r="M174" s="15">
        <v>2.04</v>
      </c>
      <c r="N174" s="15">
        <v>1.1399999999999999</v>
      </c>
      <c r="O174" s="13">
        <v>4.49</v>
      </c>
      <c r="P174" s="15">
        <v>0</v>
      </c>
      <c r="Q174" s="15">
        <v>0</v>
      </c>
      <c r="R174" s="13">
        <v>0.25</v>
      </c>
      <c r="S174" s="13">
        <v>2</v>
      </c>
      <c r="T174" s="13" t="str">
        <f>IF(S174=2,"Y",IF(J174/R174&lt;0.54*(SQRT(29000/'Steel Angle Lintel Design'!$H$31)),"Y","N"))</f>
        <v>Y</v>
      </c>
      <c r="U174" s="13" t="str">
        <f>IF(J174/R174&gt;0.91*(SQRT(29000/'Steel Angle Lintel Design'!$H$31)),"Y","N")</f>
        <v>N</v>
      </c>
      <c r="V174" s="13" t="s">
        <v>365</v>
      </c>
      <c r="W174" s="13"/>
      <c r="X174" s="13">
        <v>1.02</v>
      </c>
      <c r="Y174" s="13">
        <v>33.4</v>
      </c>
      <c r="Z174" s="13">
        <v>18.7</v>
      </c>
      <c r="AA174" s="13"/>
      <c r="AB174" s="13">
        <v>0</v>
      </c>
      <c r="AC174" s="13">
        <v>0</v>
      </c>
    </row>
    <row r="175" spans="1:29" s="8" customFormat="1" ht="15.75">
      <c r="A175" s="43" t="str">
        <f>IF(AND(H175=1,L175&gt;='Steel Angle Lintel Design'!$M$98,'AISC Angle Database'!N175&gt;='Steel Angle Lintel Design'!$M$96,'AISC Angle Database'!J175&gt;='Steel Angle Lintel Design'!$F$40,'AISC Angle Database'!J175&lt;='Steel Angle Lintel Design'!$F$41,'AISC Angle Database'!K175&gt;='Steel Angle Lintel Design'!$K$40,'AISC Angle Database'!K175&lt;='Steel Angle Lintel Design'!$K$41),1,"")</f>
        <v/>
      </c>
      <c r="B175" s="44">
        <f t="shared" si="10"/>
        <v>5</v>
      </c>
      <c r="C175" s="44">
        <f t="shared" si="11"/>
        <v>0</v>
      </c>
      <c r="D175" s="42" t="e">
        <f t="shared" ca="1" si="12"/>
        <v>#NAME?</v>
      </c>
      <c r="E175" s="44" t="e">
        <f t="shared" ca="1" si="13"/>
        <v>#NAME?</v>
      </c>
      <c r="F175" s="5" t="e">
        <f t="shared" ca="1" si="14"/>
        <v>#NAME?</v>
      </c>
      <c r="G175" s="15" t="s">
        <v>366</v>
      </c>
      <c r="H175" s="15">
        <f>IF('Steel Angle Lintel Design'!$AM$16=1,0,IF('Steel Angle Lintel Design'!$AM$16=2,1,1))</f>
        <v>1</v>
      </c>
      <c r="I175" s="19">
        <v>7.41</v>
      </c>
      <c r="J175" s="15">
        <v>3</v>
      </c>
      <c r="K175" s="15">
        <v>3</v>
      </c>
      <c r="L175" s="15">
        <v>1.9</v>
      </c>
      <c r="M175" s="15">
        <v>1.55</v>
      </c>
      <c r="N175" s="15">
        <v>0.86699999999999999</v>
      </c>
      <c r="O175" s="13">
        <v>3.35</v>
      </c>
      <c r="P175" s="15">
        <v>0</v>
      </c>
      <c r="Q175" s="15">
        <v>0</v>
      </c>
      <c r="R175" s="13">
        <v>0.1875</v>
      </c>
      <c r="S175" s="13">
        <v>2</v>
      </c>
      <c r="T175" s="13" t="str">
        <f>IF(S175=2,"Y",IF(J175/R175&lt;0.54*(SQRT(29000/'Steel Angle Lintel Design'!$H$31)),"Y","N"))</f>
        <v>Y</v>
      </c>
      <c r="U175" s="13" t="str">
        <f>IF(J175/R175&gt;0.91*(SQRT(29000/'Steel Angle Lintel Design'!$H$31)),"Y","N")</f>
        <v>N</v>
      </c>
      <c r="V175" s="13" t="s">
        <v>367</v>
      </c>
      <c r="W175" s="13"/>
      <c r="X175" s="13">
        <v>0.79100000000000004</v>
      </c>
      <c r="Y175" s="13">
        <v>25.4</v>
      </c>
      <c r="Z175" s="13">
        <v>14.2</v>
      </c>
      <c r="AA175" s="13"/>
      <c r="AB175" s="13">
        <v>0</v>
      </c>
      <c r="AC175" s="13">
        <v>0</v>
      </c>
    </row>
    <row r="176" spans="1:29" s="8" customFormat="1" ht="15.75">
      <c r="A176" s="43" t="str">
        <f>IF(AND(H176=1,L176&gt;='Steel Angle Lintel Design'!$M$98,'AISC Angle Database'!N176&gt;='Steel Angle Lintel Design'!$M$96,'AISC Angle Database'!J176&gt;='Steel Angle Lintel Design'!$F$40,'AISC Angle Database'!J176&lt;='Steel Angle Lintel Design'!$F$41,'AISC Angle Database'!K176&gt;='Steel Angle Lintel Design'!$K$40,'AISC Angle Database'!K176&lt;='Steel Angle Lintel Design'!$K$41),1,"")</f>
        <v/>
      </c>
      <c r="B176" s="44">
        <f t="shared" si="10"/>
        <v>5</v>
      </c>
      <c r="C176" s="44">
        <f t="shared" si="11"/>
        <v>0</v>
      </c>
      <c r="D176" s="42" t="e">
        <f t="shared" ca="1" si="12"/>
        <v>#NAME?</v>
      </c>
      <c r="E176" s="44" t="e">
        <f t="shared" ca="1" si="13"/>
        <v>#NAME?</v>
      </c>
      <c r="F176" s="5" t="e">
        <f t="shared" ca="1" si="14"/>
        <v>#NAME?</v>
      </c>
      <c r="G176" s="15" t="s">
        <v>368</v>
      </c>
      <c r="H176" s="15">
        <f>IF('Steel Angle Lintel Design'!$AM$16=1,0,IF('Steel Angle Lintel Design'!$AM$16=2,1,1))</f>
        <v>1</v>
      </c>
      <c r="I176" s="19">
        <v>15.29</v>
      </c>
      <c r="J176" s="15">
        <v>2.5</v>
      </c>
      <c r="K176" s="15">
        <v>2.5</v>
      </c>
      <c r="L176" s="15">
        <v>2.44</v>
      </c>
      <c r="M176" s="15">
        <v>2.59</v>
      </c>
      <c r="N176" s="15">
        <v>1.43</v>
      </c>
      <c r="O176" s="13">
        <v>5.34</v>
      </c>
      <c r="P176" s="15">
        <v>0</v>
      </c>
      <c r="Q176" s="15">
        <v>0</v>
      </c>
      <c r="R176" s="13">
        <v>0.5</v>
      </c>
      <c r="S176" s="13">
        <v>2</v>
      </c>
      <c r="T176" s="13" t="str">
        <f>IF(S176=2,"Y",IF(J176/R176&lt;0.54*(SQRT(29000/'Steel Angle Lintel Design'!$H$31)),"Y","N"))</f>
        <v>Y</v>
      </c>
      <c r="U176" s="13" t="str">
        <f>IF(J176/R176&gt;0.91*(SQRT(29000/'Steel Angle Lintel Design'!$H$31)),"Y","N")</f>
        <v>N</v>
      </c>
      <c r="V176" s="13" t="s">
        <v>369</v>
      </c>
      <c r="W176" s="13"/>
      <c r="X176" s="13">
        <v>1.02</v>
      </c>
      <c r="Y176" s="13">
        <v>42.4</v>
      </c>
      <c r="Z176" s="13">
        <v>23.4</v>
      </c>
      <c r="AA176" s="13"/>
      <c r="AB176" s="13">
        <v>0</v>
      </c>
      <c r="AC176" s="13">
        <v>0</v>
      </c>
    </row>
    <row r="177" spans="1:29" s="8" customFormat="1" ht="15.75">
      <c r="A177" s="43" t="str">
        <f>IF(AND(H177=1,L177&gt;='Steel Angle Lintel Design'!$M$98,'AISC Angle Database'!N177&gt;='Steel Angle Lintel Design'!$M$96,'AISC Angle Database'!J177&gt;='Steel Angle Lintel Design'!$F$40,'AISC Angle Database'!J177&lt;='Steel Angle Lintel Design'!$F$41,'AISC Angle Database'!K177&gt;='Steel Angle Lintel Design'!$K$40,'AISC Angle Database'!K177&lt;='Steel Angle Lintel Design'!$K$41),1,"")</f>
        <v/>
      </c>
      <c r="B177" s="44">
        <f t="shared" si="10"/>
        <v>5</v>
      </c>
      <c r="C177" s="44">
        <f t="shared" si="11"/>
        <v>0</v>
      </c>
      <c r="D177" s="42" t="e">
        <f t="shared" ca="1" si="12"/>
        <v>#NAME?</v>
      </c>
      <c r="E177" s="44" t="e">
        <f t="shared" ca="1" si="13"/>
        <v>#NAME?</v>
      </c>
      <c r="F177" s="5" t="e">
        <f t="shared" ca="1" si="14"/>
        <v>#NAME?</v>
      </c>
      <c r="G177" s="15" t="s">
        <v>370</v>
      </c>
      <c r="H177" s="15">
        <f>IF('Steel Angle Lintel Design'!$AM$16=1,0,IF('Steel Angle Lintel Design'!$AM$16=2,1,1))</f>
        <v>1</v>
      </c>
      <c r="I177" s="19">
        <v>11.8</v>
      </c>
      <c r="J177" s="15">
        <v>2.5</v>
      </c>
      <c r="K177" s="15">
        <v>2.5</v>
      </c>
      <c r="L177" s="15">
        <v>1.94</v>
      </c>
      <c r="M177" s="15">
        <v>2.0099999999999998</v>
      </c>
      <c r="N177" s="15">
        <v>1.1200000000000001</v>
      </c>
      <c r="O177" s="13">
        <v>3.97</v>
      </c>
      <c r="P177" s="15">
        <v>0</v>
      </c>
      <c r="Q177" s="15">
        <v>0</v>
      </c>
      <c r="R177" s="13">
        <v>0.375</v>
      </c>
      <c r="S177" s="13">
        <v>2</v>
      </c>
      <c r="T177" s="13" t="str">
        <f>IF(S177=2,"Y",IF(J177/R177&lt;0.54*(SQRT(29000/'Steel Angle Lintel Design'!$H$31)),"Y","N"))</f>
        <v>Y</v>
      </c>
      <c r="U177" s="13" t="str">
        <f>IF(J177/R177&gt;0.91*(SQRT(29000/'Steel Angle Lintel Design'!$H$31)),"Y","N")</f>
        <v>N</v>
      </c>
      <c r="V177" s="13" t="s">
        <v>371</v>
      </c>
      <c r="W177" s="13"/>
      <c r="X177" s="13">
        <v>0.80700000000000005</v>
      </c>
      <c r="Y177" s="13">
        <v>32.9</v>
      </c>
      <c r="Z177" s="13">
        <v>18.399999999999999</v>
      </c>
      <c r="AA177" s="13"/>
      <c r="AB177" s="13">
        <v>0</v>
      </c>
      <c r="AC177" s="13">
        <v>0</v>
      </c>
    </row>
    <row r="178" spans="1:29" s="8" customFormat="1" ht="15.75">
      <c r="A178" s="43" t="str">
        <f>IF(AND(H178=1,L178&gt;='Steel Angle Lintel Design'!$M$98,'AISC Angle Database'!N178&gt;='Steel Angle Lintel Design'!$M$96,'AISC Angle Database'!J178&gt;='Steel Angle Lintel Design'!$F$40,'AISC Angle Database'!J178&lt;='Steel Angle Lintel Design'!$F$41,'AISC Angle Database'!K178&gt;='Steel Angle Lintel Design'!$K$40,'AISC Angle Database'!K178&lt;='Steel Angle Lintel Design'!$K$41),1,"")</f>
        <v/>
      </c>
      <c r="B178" s="44">
        <f t="shared" si="10"/>
        <v>5</v>
      </c>
      <c r="C178" s="44">
        <f t="shared" si="11"/>
        <v>0</v>
      </c>
      <c r="D178" s="42" t="e">
        <f t="shared" ca="1" si="12"/>
        <v>#NAME?</v>
      </c>
      <c r="E178" s="44" t="e">
        <f t="shared" ca="1" si="13"/>
        <v>#NAME?</v>
      </c>
      <c r="F178" s="5" t="e">
        <f t="shared" ca="1" si="14"/>
        <v>#NAME?</v>
      </c>
      <c r="G178" s="15" t="s">
        <v>372</v>
      </c>
      <c r="H178" s="15">
        <f>IF('Steel Angle Lintel Design'!$AM$16=1,0,IF('Steel Angle Lintel Design'!$AM$16=2,1,1))</f>
        <v>1</v>
      </c>
      <c r="I178" s="19">
        <v>10</v>
      </c>
      <c r="J178" s="15">
        <v>2.5</v>
      </c>
      <c r="K178" s="15">
        <v>2.5</v>
      </c>
      <c r="L178" s="15">
        <v>1.67</v>
      </c>
      <c r="M178" s="15">
        <v>1.71</v>
      </c>
      <c r="N178" s="15">
        <v>0.94899999999999995</v>
      </c>
      <c r="O178" s="13">
        <v>3.24</v>
      </c>
      <c r="P178" s="15">
        <v>0</v>
      </c>
      <c r="Q178" s="15">
        <v>0</v>
      </c>
      <c r="R178" s="13">
        <v>0.3125</v>
      </c>
      <c r="S178" s="13">
        <v>2</v>
      </c>
      <c r="T178" s="13" t="str">
        <f>IF(S178=2,"Y",IF(J178/R178&lt;0.54*(SQRT(29000/'Steel Angle Lintel Design'!$H$31)),"Y","N"))</f>
        <v>Y</v>
      </c>
      <c r="U178" s="13" t="str">
        <f>IF(J178/R178&gt;0.91*(SQRT(29000/'Steel Angle Lintel Design'!$H$31)),"Y","N")</f>
        <v>N</v>
      </c>
      <c r="V178" s="13" t="s">
        <v>373</v>
      </c>
      <c r="W178" s="13"/>
      <c r="X178" s="13">
        <v>0.69499999999999995</v>
      </c>
      <c r="Y178" s="13">
        <v>28</v>
      </c>
      <c r="Z178" s="13">
        <v>15.6</v>
      </c>
      <c r="AA178" s="13"/>
      <c r="AB178" s="13">
        <v>0</v>
      </c>
      <c r="AC178" s="13">
        <v>0</v>
      </c>
    </row>
    <row r="179" spans="1:29" s="8" customFormat="1" ht="15.75">
      <c r="A179" s="43" t="str">
        <f>IF(AND(H179=1,L179&gt;='Steel Angle Lintel Design'!$M$98,'AISC Angle Database'!N179&gt;='Steel Angle Lintel Design'!$M$96,'AISC Angle Database'!J179&gt;='Steel Angle Lintel Design'!$F$40,'AISC Angle Database'!J179&lt;='Steel Angle Lintel Design'!$F$41,'AISC Angle Database'!K179&gt;='Steel Angle Lintel Design'!$K$40,'AISC Angle Database'!K179&lt;='Steel Angle Lintel Design'!$K$41),1,"")</f>
        <v/>
      </c>
      <c r="B179" s="44">
        <f t="shared" si="10"/>
        <v>5</v>
      </c>
      <c r="C179" s="44">
        <f t="shared" si="11"/>
        <v>0</v>
      </c>
      <c r="D179" s="42" t="e">
        <f t="shared" ca="1" si="12"/>
        <v>#NAME?</v>
      </c>
      <c r="E179" s="44" t="e">
        <f t="shared" ca="1" si="13"/>
        <v>#NAME?</v>
      </c>
      <c r="F179" s="5" t="e">
        <f t="shared" ca="1" si="14"/>
        <v>#NAME?</v>
      </c>
      <c r="G179" s="15" t="s">
        <v>374</v>
      </c>
      <c r="H179" s="15">
        <f>IF('Steel Angle Lintel Design'!$AM$16=1,0,IF('Steel Angle Lintel Design'!$AM$16=2,1,1))</f>
        <v>1</v>
      </c>
      <c r="I179" s="19">
        <v>8.07</v>
      </c>
      <c r="J179" s="15">
        <v>2.5</v>
      </c>
      <c r="K179" s="15">
        <v>2.5</v>
      </c>
      <c r="L179" s="15">
        <v>1.38</v>
      </c>
      <c r="M179" s="15">
        <v>1.39</v>
      </c>
      <c r="N179" s="15">
        <v>0.77300000000000002</v>
      </c>
      <c r="O179" s="13">
        <v>2.57</v>
      </c>
      <c r="P179" s="15">
        <v>0</v>
      </c>
      <c r="Q179" s="15">
        <v>0</v>
      </c>
      <c r="R179" s="13">
        <v>0.25</v>
      </c>
      <c r="S179" s="13">
        <v>2</v>
      </c>
      <c r="T179" s="13" t="str">
        <f>IF(S179=2,"Y",IF(J179/R179&lt;0.54*(SQRT(29000/'Steel Angle Lintel Design'!$H$31)),"Y","N"))</f>
        <v>Y</v>
      </c>
      <c r="U179" s="13" t="str">
        <f>IF(J179/R179&gt;0.91*(SQRT(29000/'Steel Angle Lintel Design'!$H$31)),"Y","N")</f>
        <v>N</v>
      </c>
      <c r="V179" s="13" t="s">
        <v>375</v>
      </c>
      <c r="W179" s="13"/>
      <c r="X179" s="13">
        <v>0.57399999999999995</v>
      </c>
      <c r="Y179" s="13">
        <v>22.8</v>
      </c>
      <c r="Z179" s="13">
        <v>12.7</v>
      </c>
      <c r="AA179" s="13"/>
      <c r="AB179" s="13">
        <v>0</v>
      </c>
      <c r="AC179" s="13">
        <v>0</v>
      </c>
    </row>
    <row r="180" spans="1:29" s="8" customFormat="1" ht="15.75">
      <c r="A180" s="43" t="str">
        <f>IF(AND(H180=1,L180&gt;='Steel Angle Lintel Design'!$M$98,'AISC Angle Database'!N180&gt;='Steel Angle Lintel Design'!$M$96,'AISC Angle Database'!J180&gt;='Steel Angle Lintel Design'!$F$40,'AISC Angle Database'!J180&lt;='Steel Angle Lintel Design'!$F$41,'AISC Angle Database'!K180&gt;='Steel Angle Lintel Design'!$K$40,'AISC Angle Database'!K180&lt;='Steel Angle Lintel Design'!$K$41),1,"")</f>
        <v/>
      </c>
      <c r="B180" s="44">
        <f t="shared" si="10"/>
        <v>5</v>
      </c>
      <c r="C180" s="44">
        <f t="shared" si="11"/>
        <v>0</v>
      </c>
      <c r="D180" s="42" t="e">
        <f t="shared" ca="1" si="12"/>
        <v>#NAME?</v>
      </c>
      <c r="E180" s="44" t="e">
        <f t="shared" ca="1" si="13"/>
        <v>#NAME?</v>
      </c>
      <c r="F180" s="5" t="e">
        <f t="shared" ca="1" si="14"/>
        <v>#NAME?</v>
      </c>
      <c r="G180" s="15" t="s">
        <v>376</v>
      </c>
      <c r="H180" s="15">
        <f>IF('Steel Angle Lintel Design'!$AM$16=1,0,IF('Steel Angle Lintel Design'!$AM$16=2,1,1))</f>
        <v>1</v>
      </c>
      <c r="I180" s="19">
        <v>6.13</v>
      </c>
      <c r="J180" s="15">
        <v>2.5</v>
      </c>
      <c r="K180" s="15">
        <v>2.5</v>
      </c>
      <c r="L180" s="15">
        <v>1.07</v>
      </c>
      <c r="M180" s="15">
        <v>1.06</v>
      </c>
      <c r="N180" s="15">
        <v>0.59</v>
      </c>
      <c r="O180" s="13">
        <v>1.91</v>
      </c>
      <c r="P180" s="15">
        <v>0</v>
      </c>
      <c r="Q180" s="15">
        <v>0</v>
      </c>
      <c r="R180" s="13">
        <v>0.1875</v>
      </c>
      <c r="S180" s="13">
        <v>2</v>
      </c>
      <c r="T180" s="13" t="str">
        <f>IF(S180=2,"Y",IF(J180/R180&lt;0.54*(SQRT(29000/'Steel Angle Lintel Design'!$H$31)),"Y","N"))</f>
        <v>Y</v>
      </c>
      <c r="U180" s="13" t="str">
        <f>IF(J180/R180&gt;0.91*(SQRT(29000/'Steel Angle Lintel Design'!$H$31)),"Y","N")</f>
        <v>N</v>
      </c>
      <c r="V180" s="13" t="s">
        <v>377</v>
      </c>
      <c r="W180" s="13"/>
      <c r="X180" s="13">
        <v>0.44500000000000001</v>
      </c>
      <c r="Y180" s="13">
        <v>17.399999999999999</v>
      </c>
      <c r="Z180" s="13">
        <v>9.67</v>
      </c>
      <c r="AA180" s="13"/>
      <c r="AB180" s="13">
        <v>0</v>
      </c>
      <c r="AC180" s="13">
        <v>0</v>
      </c>
    </row>
    <row r="181" spans="1:29" s="8" customFormat="1" ht="15.75">
      <c r="A181" s="43" t="str">
        <f>IF(AND(H181=1,L181&gt;='Steel Angle Lintel Design'!$M$98,'AISC Angle Database'!N181&gt;='Steel Angle Lintel Design'!$M$96,'AISC Angle Database'!J181&gt;='Steel Angle Lintel Design'!$F$40,'AISC Angle Database'!J181&lt;='Steel Angle Lintel Design'!$F$41,'AISC Angle Database'!K181&gt;='Steel Angle Lintel Design'!$K$40,'AISC Angle Database'!K181&lt;='Steel Angle Lintel Design'!$K$41),1,"")</f>
        <v/>
      </c>
      <c r="B181" s="44">
        <f t="shared" si="10"/>
        <v>5</v>
      </c>
      <c r="C181" s="44">
        <f t="shared" si="11"/>
        <v>0</v>
      </c>
      <c r="D181" s="42" t="e">
        <f t="shared" ca="1" si="12"/>
        <v>#NAME?</v>
      </c>
      <c r="E181" s="44" t="e">
        <f t="shared" ca="1" si="13"/>
        <v>#NAME?</v>
      </c>
      <c r="F181" s="5" t="e">
        <f t="shared" ca="1" si="14"/>
        <v>#NAME?</v>
      </c>
      <c r="G181" s="15" t="s">
        <v>378</v>
      </c>
      <c r="H181" s="15">
        <f>IF('Steel Angle Lintel Design'!$AM$16=1,0,IF('Steel Angle Lintel Design'!$AM$16=2,1,1))</f>
        <v>1</v>
      </c>
      <c r="I181" s="19">
        <v>9.3000000000000007</v>
      </c>
      <c r="J181" s="15">
        <v>2</v>
      </c>
      <c r="K181" s="15">
        <v>2</v>
      </c>
      <c r="L181" s="15">
        <v>0.95199999999999996</v>
      </c>
      <c r="M181" s="15">
        <v>1.26</v>
      </c>
      <c r="N181" s="15">
        <v>0.69599999999999995</v>
      </c>
      <c r="O181" s="13">
        <v>2.04</v>
      </c>
      <c r="P181" s="15">
        <v>0</v>
      </c>
      <c r="Q181" s="15">
        <v>0</v>
      </c>
      <c r="R181" s="13">
        <v>0.375</v>
      </c>
      <c r="S181" s="13">
        <v>2</v>
      </c>
      <c r="T181" s="13" t="str">
        <f>IF(S181=2,"Y",IF(J181/R181&lt;0.54*(SQRT(29000/'Steel Angle Lintel Design'!$H$31)),"Y","N"))</f>
        <v>Y</v>
      </c>
      <c r="U181" s="13" t="str">
        <f>IF(J181/R181&gt;0.91*(SQRT(29000/'Steel Angle Lintel Design'!$H$31)),"Y","N")</f>
        <v>N</v>
      </c>
      <c r="V181" s="13" t="s">
        <v>379</v>
      </c>
      <c r="W181" s="13"/>
      <c r="X181" s="13">
        <v>0.39600000000000002</v>
      </c>
      <c r="Y181" s="13">
        <v>20.6</v>
      </c>
      <c r="Z181" s="13">
        <v>11.4</v>
      </c>
      <c r="AA181" s="13"/>
      <c r="AB181" s="13">
        <v>0</v>
      </c>
      <c r="AC181" s="13">
        <v>0</v>
      </c>
    </row>
    <row r="182" spans="1:29" s="8" customFormat="1" ht="15.75">
      <c r="A182" s="43" t="str">
        <f>IF(AND(H182=1,L182&gt;='Steel Angle Lintel Design'!$M$98,'AISC Angle Database'!N182&gt;='Steel Angle Lintel Design'!$M$96,'AISC Angle Database'!J182&gt;='Steel Angle Lintel Design'!$F$40,'AISC Angle Database'!J182&lt;='Steel Angle Lintel Design'!$F$41,'AISC Angle Database'!K182&gt;='Steel Angle Lintel Design'!$K$40,'AISC Angle Database'!K182&lt;='Steel Angle Lintel Design'!$K$41),1,"")</f>
        <v/>
      </c>
      <c r="B182" s="44">
        <f t="shared" si="10"/>
        <v>5</v>
      </c>
      <c r="C182" s="44">
        <f t="shared" si="11"/>
        <v>0</v>
      </c>
      <c r="D182" s="42" t="e">
        <f t="shared" ca="1" si="12"/>
        <v>#NAME?</v>
      </c>
      <c r="E182" s="44" t="e">
        <f t="shared" ca="1" si="13"/>
        <v>#NAME?</v>
      </c>
      <c r="F182" s="5" t="e">
        <f t="shared" ca="1" si="14"/>
        <v>#NAME?</v>
      </c>
      <c r="G182" s="15" t="s">
        <v>380</v>
      </c>
      <c r="H182" s="15">
        <f>IF('Steel Angle Lintel Design'!$AM$16=1,0,IF('Steel Angle Lintel Design'!$AM$16=2,1,1))</f>
        <v>1</v>
      </c>
      <c r="I182" s="19">
        <v>7.89</v>
      </c>
      <c r="J182" s="15">
        <v>2</v>
      </c>
      <c r="K182" s="15">
        <v>2</v>
      </c>
      <c r="L182" s="15">
        <v>0.82799999999999996</v>
      </c>
      <c r="M182" s="15">
        <v>1.07</v>
      </c>
      <c r="N182" s="15">
        <v>0.59499999999999997</v>
      </c>
      <c r="O182" s="13">
        <v>1.69</v>
      </c>
      <c r="P182" s="15">
        <v>0</v>
      </c>
      <c r="Q182" s="15">
        <v>0</v>
      </c>
      <c r="R182" s="13">
        <v>0.3125</v>
      </c>
      <c r="S182" s="13">
        <v>2</v>
      </c>
      <c r="T182" s="13" t="str">
        <f>IF(S182=2,"Y",IF(J182/R182&lt;0.54*(SQRT(29000/'Steel Angle Lintel Design'!$H$31)),"Y","N"))</f>
        <v>Y</v>
      </c>
      <c r="U182" s="13" t="str">
        <f>IF(J182/R182&gt;0.91*(SQRT(29000/'Steel Angle Lintel Design'!$H$31)),"Y","N")</f>
        <v>N</v>
      </c>
      <c r="V182" s="13" t="s">
        <v>381</v>
      </c>
      <c r="W182" s="13"/>
      <c r="X182" s="13">
        <v>0.34499999999999997</v>
      </c>
      <c r="Y182" s="13">
        <v>17.5</v>
      </c>
      <c r="Z182" s="13">
        <v>9.75</v>
      </c>
      <c r="AA182" s="13"/>
      <c r="AB182" s="13">
        <v>0</v>
      </c>
      <c r="AC182" s="13">
        <v>0</v>
      </c>
    </row>
    <row r="183" spans="1:29" s="8" customFormat="1" ht="15.75">
      <c r="A183" s="43" t="str">
        <f>IF(AND(H183=1,L183&gt;='Steel Angle Lintel Design'!$M$98,'AISC Angle Database'!N183&gt;='Steel Angle Lintel Design'!$M$96,'AISC Angle Database'!J183&gt;='Steel Angle Lintel Design'!$F$40,'AISC Angle Database'!J183&lt;='Steel Angle Lintel Design'!$F$41,'AISC Angle Database'!K183&gt;='Steel Angle Lintel Design'!$K$40,'AISC Angle Database'!K183&lt;='Steel Angle Lintel Design'!$K$41),1,"")</f>
        <v/>
      </c>
      <c r="B183" s="44">
        <f t="shared" si="10"/>
        <v>5</v>
      </c>
      <c r="C183" s="44">
        <f t="shared" si="11"/>
        <v>0</v>
      </c>
      <c r="D183" s="42" t="e">
        <f t="shared" ca="1" si="12"/>
        <v>#NAME?</v>
      </c>
      <c r="E183" s="44" t="e">
        <f t="shared" ca="1" si="13"/>
        <v>#NAME?</v>
      </c>
      <c r="F183" s="5" t="e">
        <f t="shared" ca="1" si="14"/>
        <v>#NAME?</v>
      </c>
      <c r="G183" s="15" t="s">
        <v>382</v>
      </c>
      <c r="H183" s="15">
        <f>IF('Steel Angle Lintel Design'!$AM$16=1,0,IF('Steel Angle Lintel Design'!$AM$16=2,1,1))</f>
        <v>1</v>
      </c>
      <c r="I183" s="19">
        <v>6.43</v>
      </c>
      <c r="J183" s="15">
        <v>2</v>
      </c>
      <c r="K183" s="15">
        <v>2</v>
      </c>
      <c r="L183" s="15">
        <v>0.69099999999999995</v>
      </c>
      <c r="M183" s="15">
        <v>0.88</v>
      </c>
      <c r="N183" s="15">
        <v>0.48899999999999999</v>
      </c>
      <c r="O183" s="13">
        <v>1.34</v>
      </c>
      <c r="P183" s="15">
        <v>0</v>
      </c>
      <c r="Q183" s="15">
        <v>0</v>
      </c>
      <c r="R183" s="13">
        <v>0.25</v>
      </c>
      <c r="S183" s="13">
        <v>2</v>
      </c>
      <c r="T183" s="13" t="str">
        <f>IF(S183=2,"Y",IF(J183/R183&lt;0.54*(SQRT(29000/'Steel Angle Lintel Design'!$H$31)),"Y","N"))</f>
        <v>Y</v>
      </c>
      <c r="U183" s="13" t="str">
        <f>IF(J183/R183&gt;0.91*(SQRT(29000/'Steel Angle Lintel Design'!$H$31)),"Y","N")</f>
        <v>N</v>
      </c>
      <c r="V183" s="13" t="s">
        <v>383</v>
      </c>
      <c r="W183" s="13"/>
      <c r="X183" s="13">
        <v>0.28799999999999998</v>
      </c>
      <c r="Y183" s="13">
        <v>14.4</v>
      </c>
      <c r="Z183" s="13">
        <v>8.01</v>
      </c>
      <c r="AA183" s="13"/>
      <c r="AB183" s="13">
        <v>0</v>
      </c>
      <c r="AC183" s="13">
        <v>0</v>
      </c>
    </row>
    <row r="184" spans="1:29" s="8" customFormat="1" ht="15.75">
      <c r="A184" s="43" t="str">
        <f>IF(AND(H184=1,L184&gt;='Steel Angle Lintel Design'!$M$98,'AISC Angle Database'!N184&gt;='Steel Angle Lintel Design'!$M$96,'AISC Angle Database'!J184&gt;='Steel Angle Lintel Design'!$F$40,'AISC Angle Database'!J184&lt;='Steel Angle Lintel Design'!$F$41,'AISC Angle Database'!K184&gt;='Steel Angle Lintel Design'!$K$40,'AISC Angle Database'!K184&lt;='Steel Angle Lintel Design'!$K$41),1,"")</f>
        <v/>
      </c>
      <c r="B184" s="44">
        <f t="shared" si="10"/>
        <v>5</v>
      </c>
      <c r="C184" s="44">
        <f t="shared" si="11"/>
        <v>0</v>
      </c>
      <c r="D184" s="42" t="e">
        <f t="shared" ca="1" si="12"/>
        <v>#NAME?</v>
      </c>
      <c r="E184" s="44" t="e">
        <f t="shared" ca="1" si="13"/>
        <v>#NAME?</v>
      </c>
      <c r="F184" s="5" t="e">
        <f t="shared" ca="1" si="14"/>
        <v>#NAME?</v>
      </c>
      <c r="G184" s="15" t="s">
        <v>384</v>
      </c>
      <c r="H184" s="15">
        <f>IF('Steel Angle Lintel Design'!$AM$16=1,0,IF('Steel Angle Lintel Design'!$AM$16=2,1,1))</f>
        <v>1</v>
      </c>
      <c r="I184" s="19">
        <v>4.9000000000000004</v>
      </c>
      <c r="J184" s="15">
        <v>2</v>
      </c>
      <c r="K184" s="15">
        <v>2</v>
      </c>
      <c r="L184" s="15">
        <v>0.54100000000000004</v>
      </c>
      <c r="M184" s="15">
        <v>0.67600000000000005</v>
      </c>
      <c r="N184" s="15">
        <v>0.376</v>
      </c>
      <c r="O184" s="13">
        <v>1</v>
      </c>
      <c r="P184" s="15">
        <v>0</v>
      </c>
      <c r="Q184" s="15">
        <v>0</v>
      </c>
      <c r="R184" s="13">
        <v>0.1875</v>
      </c>
      <c r="S184" s="13">
        <v>2</v>
      </c>
      <c r="T184" s="13" t="str">
        <f>IF(S184=2,"Y",IF(J184/R184&lt;0.54*(SQRT(29000/'Steel Angle Lintel Design'!$H$31)),"Y","N"))</f>
        <v>Y</v>
      </c>
      <c r="U184" s="13" t="str">
        <f>IF(J184/R184&gt;0.91*(SQRT(29000/'Steel Angle Lintel Design'!$H$31)),"Y","N")</f>
        <v>N</v>
      </c>
      <c r="V184" s="13" t="s">
        <v>385</v>
      </c>
      <c r="W184" s="13"/>
      <c r="X184" s="13">
        <v>0.22500000000000001</v>
      </c>
      <c r="Y184" s="13">
        <v>11.1</v>
      </c>
      <c r="Z184" s="13">
        <v>6.16</v>
      </c>
      <c r="AA184" s="13"/>
      <c r="AB184" s="13">
        <v>0</v>
      </c>
      <c r="AC184" s="13">
        <v>0</v>
      </c>
    </row>
    <row r="185" spans="1:29" s="8" customFormat="1" ht="15.75">
      <c r="A185" s="43" t="str">
        <f>IF(AND(H185=1,L185&gt;='Steel Angle Lintel Design'!$M$98,'AISC Angle Database'!N185&gt;='Steel Angle Lintel Design'!$M$96,'AISC Angle Database'!J185&gt;='Steel Angle Lintel Design'!$F$40,'AISC Angle Database'!J185&lt;='Steel Angle Lintel Design'!$F$41,'AISC Angle Database'!K185&gt;='Steel Angle Lintel Design'!$K$40,'AISC Angle Database'!K185&lt;='Steel Angle Lintel Design'!$K$41),1,"")</f>
        <v/>
      </c>
      <c r="B185" s="44">
        <f t="shared" si="10"/>
        <v>5</v>
      </c>
      <c r="C185" s="44">
        <f t="shared" si="11"/>
        <v>0</v>
      </c>
      <c r="D185" s="42" t="e">
        <f t="shared" ca="1" si="12"/>
        <v>#NAME?</v>
      </c>
      <c r="E185" s="44" t="e">
        <f t="shared" ca="1" si="13"/>
        <v>#NAME?</v>
      </c>
      <c r="F185" s="5" t="e">
        <f t="shared" ca="1" si="14"/>
        <v>#NAME?</v>
      </c>
      <c r="G185" s="15" t="s">
        <v>386</v>
      </c>
      <c r="H185" s="15">
        <f>IF('Steel Angle Lintel Design'!$AM$16=1,0,IF('Steel Angle Lintel Design'!$AM$16=2,1,1))</f>
        <v>1</v>
      </c>
      <c r="I185" s="19">
        <v>3.34</v>
      </c>
      <c r="J185" s="15">
        <v>2</v>
      </c>
      <c r="K185" s="15">
        <v>2</v>
      </c>
      <c r="L185" s="15">
        <v>0.378</v>
      </c>
      <c r="M185" s="15">
        <v>0.46</v>
      </c>
      <c r="N185" s="15">
        <v>0.25700000000000001</v>
      </c>
      <c r="O185" s="13">
        <v>0.66</v>
      </c>
      <c r="P185" s="15">
        <v>0</v>
      </c>
      <c r="Q185" s="15">
        <v>0</v>
      </c>
      <c r="R185" s="13">
        <v>0.125</v>
      </c>
      <c r="S185" s="13">
        <v>2</v>
      </c>
      <c r="T185" s="13" t="str">
        <f>IF(S185=2,"Y",IF(J185/R185&lt;0.54*(SQRT(29000/'Steel Angle Lintel Design'!$H$31)),"Y","N"))</f>
        <v>Y</v>
      </c>
      <c r="U185" s="13" t="str">
        <f>IF(J185/R185&gt;0.91*(SQRT(29000/'Steel Angle Lintel Design'!$H$31)),"Y","N")</f>
        <v>N</v>
      </c>
      <c r="V185" s="13" t="s">
        <v>387</v>
      </c>
      <c r="W185" s="13"/>
      <c r="X185" s="13">
        <v>0.157</v>
      </c>
      <c r="Y185" s="13">
        <v>7.54</v>
      </c>
      <c r="Z185" s="13">
        <v>4.21</v>
      </c>
      <c r="AA185" s="13"/>
      <c r="AB185" s="13">
        <v>0</v>
      </c>
      <c r="AC185" s="13">
        <v>0</v>
      </c>
    </row>
    <row r="186" spans="1:29" s="8" customFormat="1" ht="15.75">
      <c r="A186" s="43">
        <f>IF(AND(H186=1,L186&gt;='Steel Angle Lintel Design'!$M$98,'AISC Angle Database'!N186&gt;='Steel Angle Lintel Design'!$M$96,'AISC Angle Database'!J186&gt;='Steel Angle Lintel Design'!$F$40,'AISC Angle Database'!J186&lt;='Steel Angle Lintel Design'!$F$41,'AISC Angle Database'!K186&gt;='Steel Angle Lintel Design'!$K$40,'AISC Angle Database'!K186&lt;='Steel Angle Lintel Design'!$K$41),1,"")</f>
        <v>1</v>
      </c>
      <c r="B186" s="44">
        <f t="shared" si="10"/>
        <v>6</v>
      </c>
      <c r="C186" s="44">
        <f t="shared" si="11"/>
        <v>88.8</v>
      </c>
      <c r="D186" s="42" t="e">
        <f t="shared" ca="1" si="12"/>
        <v>#NAME?</v>
      </c>
      <c r="E186" s="44" t="e">
        <f t="shared" ca="1" si="13"/>
        <v>#NAME?</v>
      </c>
      <c r="F186" s="5" t="e">
        <f t="shared" ca="1" si="14"/>
        <v>#NAME?</v>
      </c>
      <c r="G186" s="15" t="s">
        <v>388</v>
      </c>
      <c r="H186" s="15">
        <f>IF('Steel Angle Lintel Design'!$AM$16=1,0,IF('Steel Angle Lintel Design'!$AM$16=2,1,1))</f>
        <v>1</v>
      </c>
      <c r="I186" s="19">
        <v>88.8</v>
      </c>
      <c r="J186" s="15">
        <v>8</v>
      </c>
      <c r="K186" s="15">
        <v>6</v>
      </c>
      <c r="L186" s="15">
        <v>162</v>
      </c>
      <c r="M186" s="15">
        <v>54.5</v>
      </c>
      <c r="N186" s="15">
        <v>30.2</v>
      </c>
      <c r="O186" s="13">
        <v>149.06</v>
      </c>
      <c r="P186" s="15">
        <v>0</v>
      </c>
      <c r="Q186" s="15">
        <v>0</v>
      </c>
      <c r="R186" s="13">
        <v>1</v>
      </c>
      <c r="S186" s="13">
        <v>2</v>
      </c>
      <c r="T186" s="13" t="str">
        <f>IF(S186=2,"Y",IF(J186/R186&lt;0.54*(SQRT(29000/'Steel Angle Lintel Design'!$H$31)),"Y","N"))</f>
        <v>Y</v>
      </c>
      <c r="U186" s="13" t="str">
        <f>IF(J186/R186&gt;0.91*(SQRT(29000/'Steel Angle Lintel Design'!$H$31)),"Y","N")</f>
        <v>N</v>
      </c>
      <c r="V186" s="13" t="s">
        <v>389</v>
      </c>
      <c r="W186" s="13"/>
      <c r="X186" s="13">
        <v>67.400000000000006</v>
      </c>
      <c r="Y186" s="13">
        <v>893</v>
      </c>
      <c r="Z186" s="13">
        <v>495</v>
      </c>
      <c r="AA186" s="13"/>
      <c r="AB186" s="13">
        <v>0</v>
      </c>
      <c r="AC186" s="13">
        <v>0</v>
      </c>
    </row>
    <row r="187" spans="1:29" s="8" customFormat="1" ht="15.75">
      <c r="A187" s="43">
        <f>IF(AND(H187=1,L187&gt;='Steel Angle Lintel Design'!$M$98,'AISC Angle Database'!N187&gt;='Steel Angle Lintel Design'!$M$96,'AISC Angle Database'!J187&gt;='Steel Angle Lintel Design'!$F$40,'AISC Angle Database'!J187&lt;='Steel Angle Lintel Design'!$F$41,'AISC Angle Database'!K187&gt;='Steel Angle Lintel Design'!$K$40,'AISC Angle Database'!K187&lt;='Steel Angle Lintel Design'!$K$41),1,"")</f>
        <v>1</v>
      </c>
      <c r="B187" s="44">
        <f t="shared" si="10"/>
        <v>7</v>
      </c>
      <c r="C187" s="44">
        <f t="shared" si="11"/>
        <v>78.5</v>
      </c>
      <c r="D187" s="42" t="e">
        <f t="shared" ca="1" si="12"/>
        <v>#NAME?</v>
      </c>
      <c r="E187" s="44" t="e">
        <f t="shared" ca="1" si="13"/>
        <v>#NAME?</v>
      </c>
      <c r="F187" s="5" t="e">
        <f t="shared" ca="1" si="14"/>
        <v>#NAME?</v>
      </c>
      <c r="G187" s="15" t="s">
        <v>390</v>
      </c>
      <c r="H187" s="15">
        <f>IF('Steel Angle Lintel Design'!$AM$16=1,0,IF('Steel Angle Lintel Design'!$AM$16=2,1,1))</f>
        <v>1</v>
      </c>
      <c r="I187" s="19">
        <v>78.5</v>
      </c>
      <c r="J187" s="15">
        <v>8</v>
      </c>
      <c r="K187" s="15">
        <v>6</v>
      </c>
      <c r="L187" s="15">
        <v>145</v>
      </c>
      <c r="M187" s="15">
        <v>48.5</v>
      </c>
      <c r="N187" s="15">
        <v>26.8</v>
      </c>
      <c r="O187" s="13">
        <v>129.58000000000001</v>
      </c>
      <c r="P187" s="15">
        <v>0</v>
      </c>
      <c r="Q187" s="15">
        <v>0</v>
      </c>
      <c r="R187" s="13">
        <v>0.875</v>
      </c>
      <c r="S187" s="13">
        <v>2</v>
      </c>
      <c r="T187" s="13" t="str">
        <f>IF(S187=2,"Y",IF(J187/R187&lt;0.54*(SQRT(29000/'Steel Angle Lintel Design'!$H$31)),"Y","N"))</f>
        <v>Y</v>
      </c>
      <c r="U187" s="13" t="str">
        <f>IF(J187/R187&gt;0.91*(SQRT(29000/'Steel Angle Lintel Design'!$H$31)),"Y","N")</f>
        <v>N</v>
      </c>
      <c r="V187" s="13" t="s">
        <v>391</v>
      </c>
      <c r="W187" s="13"/>
      <c r="X187" s="13">
        <v>60.4</v>
      </c>
      <c r="Y187" s="13">
        <v>795</v>
      </c>
      <c r="Z187" s="13">
        <v>439</v>
      </c>
      <c r="AA187" s="13"/>
      <c r="AB187" s="13">
        <v>0</v>
      </c>
      <c r="AC187" s="13">
        <v>0</v>
      </c>
    </row>
    <row r="188" spans="1:29" s="8" customFormat="1" ht="15.75">
      <c r="A188" s="43">
        <f>IF(AND(H188=1,L188&gt;='Steel Angle Lintel Design'!$M$98,'AISC Angle Database'!N188&gt;='Steel Angle Lintel Design'!$M$96,'AISC Angle Database'!J188&gt;='Steel Angle Lintel Design'!$F$40,'AISC Angle Database'!J188&lt;='Steel Angle Lintel Design'!$F$41,'AISC Angle Database'!K188&gt;='Steel Angle Lintel Design'!$K$40,'AISC Angle Database'!K188&lt;='Steel Angle Lintel Design'!$K$41),1,"")</f>
        <v>1</v>
      </c>
      <c r="B188" s="44">
        <f t="shared" si="10"/>
        <v>8</v>
      </c>
      <c r="C188" s="44">
        <f t="shared" si="11"/>
        <v>68.010000000000005</v>
      </c>
      <c r="D188" s="42" t="e">
        <f t="shared" ca="1" si="12"/>
        <v>#NAME?</v>
      </c>
      <c r="E188" s="44" t="e">
        <f t="shared" ca="1" si="13"/>
        <v>#NAME?</v>
      </c>
      <c r="F188" s="5" t="e">
        <f t="shared" ca="1" si="14"/>
        <v>#NAME?</v>
      </c>
      <c r="G188" s="15" t="s">
        <v>392</v>
      </c>
      <c r="H188" s="15">
        <f>IF('Steel Angle Lintel Design'!$AM$16=1,0,IF('Steel Angle Lintel Design'!$AM$16=2,1,1))</f>
        <v>1</v>
      </c>
      <c r="I188" s="19">
        <v>68.010000000000005</v>
      </c>
      <c r="J188" s="15">
        <v>8</v>
      </c>
      <c r="K188" s="15">
        <v>6</v>
      </c>
      <c r="L188" s="15">
        <v>127</v>
      </c>
      <c r="M188" s="15">
        <v>42.3</v>
      </c>
      <c r="N188" s="15">
        <v>23.3</v>
      </c>
      <c r="O188" s="13">
        <v>110.36</v>
      </c>
      <c r="P188" s="15">
        <v>0</v>
      </c>
      <c r="Q188" s="15">
        <v>0</v>
      </c>
      <c r="R188" s="13">
        <v>0.75</v>
      </c>
      <c r="S188" s="13">
        <v>2</v>
      </c>
      <c r="T188" s="13" t="str">
        <f>IF(S188=2,"Y",IF(J188/R188&lt;0.54*(SQRT(29000/'Steel Angle Lintel Design'!$H$31)),"Y","N"))</f>
        <v>Y</v>
      </c>
      <c r="U188" s="13" t="str">
        <f>IF(J188/R188&gt;0.91*(SQRT(29000/'Steel Angle Lintel Design'!$H$31)),"Y","N")</f>
        <v>N</v>
      </c>
      <c r="V188" s="13" t="s">
        <v>393</v>
      </c>
      <c r="W188" s="13"/>
      <c r="X188" s="13">
        <v>52.9</v>
      </c>
      <c r="Y188" s="13">
        <v>693</v>
      </c>
      <c r="Z188" s="13">
        <v>382</v>
      </c>
      <c r="AA188" s="13"/>
      <c r="AB188" s="13">
        <v>0</v>
      </c>
      <c r="AC188" s="13">
        <v>0</v>
      </c>
    </row>
    <row r="189" spans="1:29" s="8" customFormat="1" ht="15.75">
      <c r="A189" s="43" t="str">
        <f>IF(AND(H189=1,L189&gt;='Steel Angle Lintel Design'!$M$98,'AISC Angle Database'!N189&gt;='Steel Angle Lintel Design'!$M$96,'AISC Angle Database'!J189&gt;='Steel Angle Lintel Design'!$F$40,'AISC Angle Database'!J189&lt;='Steel Angle Lintel Design'!$F$41,'AISC Angle Database'!K189&gt;='Steel Angle Lintel Design'!$K$40,'AISC Angle Database'!K189&lt;='Steel Angle Lintel Design'!$K$41),1,"")</f>
        <v/>
      </c>
      <c r="B189" s="44">
        <f t="shared" si="10"/>
        <v>8</v>
      </c>
      <c r="C189" s="44">
        <f t="shared" si="11"/>
        <v>0</v>
      </c>
      <c r="D189" s="42" t="e">
        <f t="shared" ca="1" si="12"/>
        <v>#NAME?</v>
      </c>
      <c r="E189" s="44" t="e">
        <f t="shared" ca="1" si="13"/>
        <v>#NAME?</v>
      </c>
      <c r="F189" s="5" t="e">
        <f t="shared" ca="1" si="14"/>
        <v>#NAME?</v>
      </c>
      <c r="G189" s="15" t="s">
        <v>394</v>
      </c>
      <c r="H189" s="15">
        <f>IF('Steel Angle Lintel Design'!$AM$16=1,0,IF('Steel Angle Lintel Design'!$AM$16=2,1,1))</f>
        <v>1</v>
      </c>
      <c r="I189" s="19">
        <v>57.31</v>
      </c>
      <c r="J189" s="15">
        <v>8</v>
      </c>
      <c r="K189" s="15">
        <v>6</v>
      </c>
      <c r="L189" s="15">
        <v>108</v>
      </c>
      <c r="M189" s="15">
        <v>35.799999999999997</v>
      </c>
      <c r="N189" s="15">
        <v>19.7</v>
      </c>
      <c r="O189" s="13">
        <v>91.42</v>
      </c>
      <c r="P189" s="15">
        <v>0</v>
      </c>
      <c r="Q189" s="15">
        <v>0</v>
      </c>
      <c r="R189" s="13">
        <v>0.625</v>
      </c>
      <c r="S189" s="13">
        <v>2</v>
      </c>
      <c r="T189" s="13" t="str">
        <f>IF(S189=2,"Y",IF(J189/R189&lt;0.54*(SQRT(29000/'Steel Angle Lintel Design'!$H$31)),"Y","N"))</f>
        <v>Y</v>
      </c>
      <c r="U189" s="13" t="str">
        <f>IF(J189/R189&gt;0.91*(SQRT(29000/'Steel Angle Lintel Design'!$H$31)),"Y","N")</f>
        <v>N</v>
      </c>
      <c r="V189" s="13" t="s">
        <v>395</v>
      </c>
      <c r="W189" s="13"/>
      <c r="X189" s="13">
        <v>45</v>
      </c>
      <c r="Y189" s="13">
        <v>587</v>
      </c>
      <c r="Z189" s="13">
        <v>323</v>
      </c>
      <c r="AA189" s="13"/>
      <c r="AB189" s="13">
        <v>0</v>
      </c>
      <c r="AC189" s="13">
        <v>0</v>
      </c>
    </row>
    <row r="190" spans="1:29" s="8" customFormat="1" ht="15.75">
      <c r="A190" s="43" t="str">
        <f>IF(AND(H190=1,L190&gt;='Steel Angle Lintel Design'!$M$98,'AISC Angle Database'!N190&gt;='Steel Angle Lintel Design'!$M$96,'AISC Angle Database'!J190&gt;='Steel Angle Lintel Design'!$F$40,'AISC Angle Database'!J190&lt;='Steel Angle Lintel Design'!$F$41,'AISC Angle Database'!K190&gt;='Steel Angle Lintel Design'!$K$40,'AISC Angle Database'!K190&lt;='Steel Angle Lintel Design'!$K$41),1,"")</f>
        <v/>
      </c>
      <c r="B190" s="44">
        <f t="shared" si="10"/>
        <v>8</v>
      </c>
      <c r="C190" s="44">
        <f t="shared" si="11"/>
        <v>0</v>
      </c>
      <c r="D190" s="42" t="e">
        <f t="shared" ca="1" si="12"/>
        <v>#NAME?</v>
      </c>
      <c r="E190" s="44" t="e">
        <f t="shared" ca="1" si="13"/>
        <v>#NAME?</v>
      </c>
      <c r="F190" s="5" t="e">
        <f t="shared" ca="1" si="14"/>
        <v>#NAME?</v>
      </c>
      <c r="G190" s="15" t="s">
        <v>396</v>
      </c>
      <c r="H190" s="15">
        <f>IF('Steel Angle Lintel Design'!$AM$16=1,0,IF('Steel Angle Lintel Design'!$AM$16=2,1,1))</f>
        <v>1</v>
      </c>
      <c r="I190" s="19">
        <v>51.8</v>
      </c>
      <c r="J190" s="15">
        <v>8</v>
      </c>
      <c r="K190" s="15">
        <v>6</v>
      </c>
      <c r="L190" s="15">
        <v>98.7</v>
      </c>
      <c r="M190" s="15">
        <v>32.5</v>
      </c>
      <c r="N190" s="15">
        <v>17.899999999999999</v>
      </c>
      <c r="O190" s="13">
        <v>81.94</v>
      </c>
      <c r="P190" s="15">
        <v>0</v>
      </c>
      <c r="Q190" s="15">
        <v>0</v>
      </c>
      <c r="R190" s="13">
        <v>0.5625</v>
      </c>
      <c r="S190" s="13">
        <v>2</v>
      </c>
      <c r="T190" s="13" t="str">
        <f>IF(S190=2,"Y",IF(J190/R190&lt;0.54*(SQRT(29000/'Steel Angle Lintel Design'!$H$31)),"Y","N"))</f>
        <v>Y</v>
      </c>
      <c r="U190" s="13" t="str">
        <f>IF(J190/R190&gt;0.91*(SQRT(29000/'Steel Angle Lintel Design'!$H$31)),"Y","N")</f>
        <v>N</v>
      </c>
      <c r="V190" s="13" t="s">
        <v>397</v>
      </c>
      <c r="W190" s="13"/>
      <c r="X190" s="13">
        <v>41.1</v>
      </c>
      <c r="Y190" s="13">
        <v>533</v>
      </c>
      <c r="Z190" s="13">
        <v>293</v>
      </c>
      <c r="AA190" s="13"/>
      <c r="AB190" s="13">
        <v>0</v>
      </c>
      <c r="AC190" s="13">
        <v>0</v>
      </c>
    </row>
    <row r="191" spans="1:29" s="8" customFormat="1" ht="15.75">
      <c r="A191" s="43" t="str">
        <f>IF(AND(H191=1,L191&gt;='Steel Angle Lintel Design'!$M$98,'AISC Angle Database'!N191&gt;='Steel Angle Lintel Design'!$M$96,'AISC Angle Database'!J191&gt;='Steel Angle Lintel Design'!$F$40,'AISC Angle Database'!J191&lt;='Steel Angle Lintel Design'!$F$41,'AISC Angle Database'!K191&gt;='Steel Angle Lintel Design'!$K$40,'AISC Angle Database'!K191&lt;='Steel Angle Lintel Design'!$K$41),1,"")</f>
        <v/>
      </c>
      <c r="B191" s="44">
        <f t="shared" si="10"/>
        <v>8</v>
      </c>
      <c r="C191" s="44">
        <f t="shared" si="11"/>
        <v>0</v>
      </c>
      <c r="D191" s="42" t="e">
        <f t="shared" ca="1" si="12"/>
        <v>#NAME?</v>
      </c>
      <c r="E191" s="44" t="e">
        <f t="shared" ca="1" si="13"/>
        <v>#NAME?</v>
      </c>
      <c r="F191" s="5" t="e">
        <f t="shared" ca="1" si="14"/>
        <v>#NAME?</v>
      </c>
      <c r="G191" s="15" t="s">
        <v>398</v>
      </c>
      <c r="H191" s="15">
        <f>IF('Steel Angle Lintel Design'!$AM$16=1,0,IF('Steel Angle Lintel Design'!$AM$16=2,1,1))</f>
        <v>1</v>
      </c>
      <c r="I191" s="19">
        <v>46.3</v>
      </c>
      <c r="J191" s="15">
        <v>8</v>
      </c>
      <c r="K191" s="15">
        <v>6</v>
      </c>
      <c r="L191" s="15">
        <v>88.8</v>
      </c>
      <c r="M191" s="15">
        <v>29.1</v>
      </c>
      <c r="N191" s="15">
        <v>16</v>
      </c>
      <c r="O191" s="13">
        <v>72.61</v>
      </c>
      <c r="P191" s="15">
        <v>0</v>
      </c>
      <c r="Q191" s="15">
        <v>0</v>
      </c>
      <c r="R191" s="13">
        <v>0.5</v>
      </c>
      <c r="S191" s="13">
        <v>2</v>
      </c>
      <c r="T191" s="13" t="str">
        <f>IF(S191=2,"Y",IF(J191/R191&lt;0.54*(SQRT(29000/'Steel Angle Lintel Design'!$H$31)),"Y","N"))</f>
        <v>Y</v>
      </c>
      <c r="U191" s="13" t="str">
        <f>IF(J191/R191&gt;0.91*(SQRT(29000/'Steel Angle Lintel Design'!$H$31)),"Y","N")</f>
        <v>N</v>
      </c>
      <c r="V191" s="13" t="s">
        <v>399</v>
      </c>
      <c r="W191" s="13"/>
      <c r="X191" s="13">
        <v>37</v>
      </c>
      <c r="Y191" s="13">
        <v>477</v>
      </c>
      <c r="Z191" s="13">
        <v>262</v>
      </c>
      <c r="AA191" s="13"/>
      <c r="AB191" s="13">
        <v>0</v>
      </c>
      <c r="AC191" s="13">
        <v>0</v>
      </c>
    </row>
    <row r="192" spans="1:29" s="8" customFormat="1" ht="15.75">
      <c r="A192" s="43" t="str">
        <f>IF(AND(H192=1,L192&gt;='Steel Angle Lintel Design'!$M$98,'AISC Angle Database'!N192&gt;='Steel Angle Lintel Design'!$M$96,'AISC Angle Database'!J192&gt;='Steel Angle Lintel Design'!$F$40,'AISC Angle Database'!J192&lt;='Steel Angle Lintel Design'!$F$41,'AISC Angle Database'!K192&gt;='Steel Angle Lintel Design'!$K$40,'AISC Angle Database'!K192&lt;='Steel Angle Lintel Design'!$K$41),1,"")</f>
        <v/>
      </c>
      <c r="B192" s="44">
        <f t="shared" si="10"/>
        <v>8</v>
      </c>
      <c r="C192" s="44">
        <f t="shared" si="11"/>
        <v>0</v>
      </c>
      <c r="D192" s="42" t="e">
        <f t="shared" ca="1" si="12"/>
        <v>#NAME?</v>
      </c>
      <c r="E192" s="44" t="e">
        <f t="shared" ca="1" si="13"/>
        <v>#NAME?</v>
      </c>
      <c r="F192" s="5" t="e">
        <f t="shared" ca="1" si="14"/>
        <v>#NAME?</v>
      </c>
      <c r="G192" s="15" t="s">
        <v>400</v>
      </c>
      <c r="H192" s="15">
        <f>IF('Steel Angle Lintel Design'!$AM$16=1,0,IF('Steel Angle Lintel Design'!$AM$16=2,1,1))</f>
        <v>1</v>
      </c>
      <c r="I192" s="19">
        <v>40.71</v>
      </c>
      <c r="J192" s="15">
        <v>8</v>
      </c>
      <c r="K192" s="15">
        <v>6</v>
      </c>
      <c r="L192" s="15">
        <v>78.7</v>
      </c>
      <c r="M192" s="15">
        <v>25.7</v>
      </c>
      <c r="N192" s="15">
        <v>14.1</v>
      </c>
      <c r="O192" s="13">
        <v>63.27</v>
      </c>
      <c r="P192" s="15">
        <v>0</v>
      </c>
      <c r="Q192" s="15">
        <v>0</v>
      </c>
      <c r="R192" s="13">
        <v>0.4375</v>
      </c>
      <c r="S192" s="13">
        <v>2</v>
      </c>
      <c r="T192" s="13" t="str">
        <f>IF(S192=2,"Y",IF(J192/R192&lt;0.54*(SQRT(29000/'Steel Angle Lintel Design'!$H$31)),"Y","N"))</f>
        <v>Y</v>
      </c>
      <c r="U192" s="13" t="str">
        <f>IF(J192/R192&gt;0.91*(SQRT(29000/'Steel Angle Lintel Design'!$H$31)),"Y","N")</f>
        <v>N</v>
      </c>
      <c r="V192" s="13" t="s">
        <v>401</v>
      </c>
      <c r="W192" s="13"/>
      <c r="X192" s="13">
        <v>32.799999999999997</v>
      </c>
      <c r="Y192" s="13">
        <v>421</v>
      </c>
      <c r="Z192" s="13">
        <v>231</v>
      </c>
      <c r="AA192" s="13"/>
      <c r="AB192" s="13">
        <v>0</v>
      </c>
      <c r="AC192" s="13">
        <v>0</v>
      </c>
    </row>
    <row r="193" spans="1:29" s="8" customFormat="1" ht="15.75">
      <c r="A193" s="43">
        <f>IF(AND(H193=1,L193&gt;='Steel Angle Lintel Design'!$M$98,'AISC Angle Database'!N193&gt;='Steel Angle Lintel Design'!$M$96,'AISC Angle Database'!J193&gt;='Steel Angle Lintel Design'!$F$40,'AISC Angle Database'!J193&lt;='Steel Angle Lintel Design'!$F$41,'AISC Angle Database'!K193&gt;='Steel Angle Lintel Design'!$K$40,'AISC Angle Database'!K193&lt;='Steel Angle Lintel Design'!$K$41),1,"")</f>
        <v>1</v>
      </c>
      <c r="B193" s="44">
        <f t="shared" si="10"/>
        <v>9</v>
      </c>
      <c r="C193" s="44">
        <f t="shared" si="11"/>
        <v>75.2</v>
      </c>
      <c r="D193" s="42" t="e">
        <f t="shared" ca="1" si="12"/>
        <v>#NAME?</v>
      </c>
      <c r="E193" s="44" t="e">
        <f t="shared" ca="1" si="13"/>
        <v>#NAME?</v>
      </c>
      <c r="F193" s="5" t="e">
        <f t="shared" ca="1" si="14"/>
        <v>#NAME?</v>
      </c>
      <c r="G193" s="15" t="s">
        <v>402</v>
      </c>
      <c r="H193" s="15">
        <f>IF('Steel Angle Lintel Design'!$AM$16=1,0,IF('Steel Angle Lintel Design'!$AM$16=2,1,1))</f>
        <v>1</v>
      </c>
      <c r="I193" s="19">
        <v>75.2</v>
      </c>
      <c r="J193" s="15">
        <v>8</v>
      </c>
      <c r="K193" s="15">
        <v>4</v>
      </c>
      <c r="L193" s="15">
        <v>139</v>
      </c>
      <c r="M193" s="15">
        <v>48.6</v>
      </c>
      <c r="N193" s="15">
        <v>28.1</v>
      </c>
      <c r="O193" s="13">
        <v>47.11</v>
      </c>
      <c r="P193" s="15">
        <v>0</v>
      </c>
      <c r="Q193" s="15">
        <v>0</v>
      </c>
      <c r="R193" s="13">
        <v>1</v>
      </c>
      <c r="S193" s="13">
        <v>2</v>
      </c>
      <c r="T193" s="13" t="str">
        <f>IF(S193=2,"Y",IF(J193/R193&lt;0.54*(SQRT(29000/'Steel Angle Lintel Design'!$H$31)),"Y","N"))</f>
        <v>Y</v>
      </c>
      <c r="U193" s="13" t="str">
        <f>IF(J193/R193&gt;0.91*(SQRT(29000/'Steel Angle Lintel Design'!$H$31)),"Y","N")</f>
        <v>N</v>
      </c>
      <c r="V193" s="13" t="s">
        <v>403</v>
      </c>
      <c r="W193" s="13"/>
      <c r="X193" s="13">
        <v>57.9</v>
      </c>
      <c r="Y193" s="13">
        <v>796</v>
      </c>
      <c r="Z193" s="13">
        <v>460</v>
      </c>
      <c r="AA193" s="13"/>
      <c r="AB193" s="13">
        <v>0</v>
      </c>
      <c r="AC193" s="13">
        <v>0</v>
      </c>
    </row>
    <row r="194" spans="1:29" s="8" customFormat="1" ht="15.75">
      <c r="A194" s="43">
        <f>IF(AND(H194=1,L194&gt;='Steel Angle Lintel Design'!$M$98,'AISC Angle Database'!N194&gt;='Steel Angle Lintel Design'!$M$96,'AISC Angle Database'!J194&gt;='Steel Angle Lintel Design'!$F$40,'AISC Angle Database'!J194&lt;='Steel Angle Lintel Design'!$F$41,'AISC Angle Database'!K194&gt;='Steel Angle Lintel Design'!$K$40,'AISC Angle Database'!K194&lt;='Steel Angle Lintel Design'!$K$41),1,"")</f>
        <v>1</v>
      </c>
      <c r="B194" s="44">
        <f t="shared" si="10"/>
        <v>10</v>
      </c>
      <c r="C194" s="44">
        <f t="shared" si="11"/>
        <v>66.61</v>
      </c>
      <c r="D194" s="42" t="e">
        <f t="shared" ca="1" si="12"/>
        <v>#NAME?</v>
      </c>
      <c r="E194" s="44" t="e">
        <f t="shared" ca="1" si="13"/>
        <v>#NAME?</v>
      </c>
      <c r="F194" s="5" t="e">
        <f t="shared" ca="1" si="14"/>
        <v>#NAME?</v>
      </c>
      <c r="G194" s="15" t="s">
        <v>404</v>
      </c>
      <c r="H194" s="15">
        <f>IF('Steel Angle Lintel Design'!$AM$16=1,0,IF('Steel Angle Lintel Design'!$AM$16=2,1,1))</f>
        <v>1</v>
      </c>
      <c r="I194" s="19">
        <v>66.61</v>
      </c>
      <c r="J194" s="15">
        <v>8</v>
      </c>
      <c r="K194" s="15">
        <v>4</v>
      </c>
      <c r="L194" s="15">
        <v>125</v>
      </c>
      <c r="M194" s="15">
        <v>43.4</v>
      </c>
      <c r="N194" s="15">
        <v>25</v>
      </c>
      <c r="O194" s="13">
        <v>40.590000000000003</v>
      </c>
      <c r="P194" s="15">
        <v>0</v>
      </c>
      <c r="Q194" s="15">
        <v>0</v>
      </c>
      <c r="R194" s="13">
        <v>0.875</v>
      </c>
      <c r="S194" s="13">
        <v>2</v>
      </c>
      <c r="T194" s="13" t="str">
        <f>IF(S194=2,"Y",IF(J194/R194&lt;0.54*(SQRT(29000/'Steel Angle Lintel Design'!$H$31)),"Y","N"))</f>
        <v>Y</v>
      </c>
      <c r="U194" s="13" t="str">
        <f>IF(J194/R194&gt;0.91*(SQRT(29000/'Steel Angle Lintel Design'!$H$31)),"Y","N")</f>
        <v>N</v>
      </c>
      <c r="V194" s="13" t="s">
        <v>405</v>
      </c>
      <c r="W194" s="13"/>
      <c r="X194" s="13">
        <v>52</v>
      </c>
      <c r="Y194" s="13">
        <v>711</v>
      </c>
      <c r="Z194" s="13">
        <v>410</v>
      </c>
      <c r="AA194" s="13"/>
      <c r="AB194" s="13">
        <v>0</v>
      </c>
      <c r="AC194" s="13">
        <v>0</v>
      </c>
    </row>
    <row r="195" spans="1:29" s="8" customFormat="1" ht="15.75">
      <c r="A195" s="43">
        <f>IF(AND(H195=1,L195&gt;='Steel Angle Lintel Design'!$M$98,'AISC Angle Database'!N195&gt;='Steel Angle Lintel Design'!$M$96,'AISC Angle Database'!J195&gt;='Steel Angle Lintel Design'!$F$40,'AISC Angle Database'!J195&lt;='Steel Angle Lintel Design'!$F$41,'AISC Angle Database'!K195&gt;='Steel Angle Lintel Design'!$K$40,'AISC Angle Database'!K195&lt;='Steel Angle Lintel Design'!$K$41),1,"")</f>
        <v>1</v>
      </c>
      <c r="B195" s="44">
        <f t="shared" si="10"/>
        <v>11</v>
      </c>
      <c r="C195" s="44">
        <f t="shared" si="11"/>
        <v>57.81</v>
      </c>
      <c r="D195" s="42" t="e">
        <f t="shared" ca="1" si="12"/>
        <v>#NAME?</v>
      </c>
      <c r="E195" s="44" t="e">
        <f t="shared" ca="1" si="13"/>
        <v>#NAME?</v>
      </c>
      <c r="F195" s="5" t="e">
        <f t="shared" ca="1" si="14"/>
        <v>#NAME?</v>
      </c>
      <c r="G195" s="15" t="s">
        <v>406</v>
      </c>
      <c r="H195" s="15">
        <f>IF('Steel Angle Lintel Design'!$AM$16=1,0,IF('Steel Angle Lintel Design'!$AM$16=2,1,1))</f>
        <v>1</v>
      </c>
      <c r="I195" s="19">
        <v>57.81</v>
      </c>
      <c r="J195" s="15">
        <v>8</v>
      </c>
      <c r="K195" s="15">
        <v>4</v>
      </c>
      <c r="L195" s="15">
        <v>110</v>
      </c>
      <c r="M195" s="15">
        <v>37.9</v>
      </c>
      <c r="N195" s="15">
        <v>21.7</v>
      </c>
      <c r="O195" s="13">
        <v>34.25</v>
      </c>
      <c r="P195" s="15">
        <v>0</v>
      </c>
      <c r="Q195" s="15">
        <v>0</v>
      </c>
      <c r="R195" s="13">
        <v>0.75</v>
      </c>
      <c r="S195" s="13">
        <v>2</v>
      </c>
      <c r="T195" s="13" t="str">
        <f>IF(S195=2,"Y",IF(J195/R195&lt;0.54*(SQRT(29000/'Steel Angle Lintel Design'!$H$31)),"Y","N"))</f>
        <v>Y</v>
      </c>
      <c r="U195" s="13" t="str">
        <f>IF(J195/R195&gt;0.91*(SQRT(29000/'Steel Angle Lintel Design'!$H$31)),"Y","N")</f>
        <v>N</v>
      </c>
      <c r="V195" s="13" t="s">
        <v>407</v>
      </c>
      <c r="W195" s="13"/>
      <c r="X195" s="13">
        <v>45.8</v>
      </c>
      <c r="Y195" s="13">
        <v>621</v>
      </c>
      <c r="Z195" s="13">
        <v>356</v>
      </c>
      <c r="AA195" s="13"/>
      <c r="AB195" s="13">
        <v>0</v>
      </c>
      <c r="AC195" s="13">
        <v>0</v>
      </c>
    </row>
    <row r="196" spans="1:29" s="8" customFormat="1" ht="15.75">
      <c r="A196" s="43" t="str">
        <f>IF(AND(H196=1,L196&gt;='Steel Angle Lintel Design'!$M$98,'AISC Angle Database'!N196&gt;='Steel Angle Lintel Design'!$M$96,'AISC Angle Database'!J196&gt;='Steel Angle Lintel Design'!$F$40,'AISC Angle Database'!J196&lt;='Steel Angle Lintel Design'!$F$41,'AISC Angle Database'!K196&gt;='Steel Angle Lintel Design'!$K$40,'AISC Angle Database'!K196&lt;='Steel Angle Lintel Design'!$K$41),1,"")</f>
        <v/>
      </c>
      <c r="B196" s="44">
        <f t="shared" si="10"/>
        <v>11</v>
      </c>
      <c r="C196" s="44">
        <f t="shared" si="11"/>
        <v>0</v>
      </c>
      <c r="D196" s="42" t="e">
        <f t="shared" ca="1" si="12"/>
        <v>#NAME?</v>
      </c>
      <c r="E196" s="44" t="e">
        <f t="shared" ca="1" si="13"/>
        <v>#NAME?</v>
      </c>
      <c r="F196" s="5" t="e">
        <f t="shared" ca="1" si="14"/>
        <v>#NAME?</v>
      </c>
      <c r="G196" s="15" t="s">
        <v>408</v>
      </c>
      <c r="H196" s="15">
        <f>IF('Steel Angle Lintel Design'!$AM$16=1,0,IF('Steel Angle Lintel Design'!$AM$16=2,1,1))</f>
        <v>1</v>
      </c>
      <c r="I196" s="19">
        <v>48.7</v>
      </c>
      <c r="J196" s="15">
        <v>8</v>
      </c>
      <c r="K196" s="15">
        <v>4</v>
      </c>
      <c r="L196" s="15">
        <v>94.1</v>
      </c>
      <c r="M196" s="15">
        <v>32.200000000000003</v>
      </c>
      <c r="N196" s="15">
        <v>18.399999999999999</v>
      </c>
      <c r="O196" s="13">
        <v>27.65</v>
      </c>
      <c r="P196" s="15">
        <v>0</v>
      </c>
      <c r="Q196" s="15">
        <v>0</v>
      </c>
      <c r="R196" s="13">
        <v>0.625</v>
      </c>
      <c r="S196" s="13">
        <v>2</v>
      </c>
      <c r="T196" s="13" t="str">
        <f>IF(S196=2,"Y",IF(J196/R196&lt;0.54*(SQRT(29000/'Steel Angle Lintel Design'!$H$31)),"Y","N"))</f>
        <v>Y</v>
      </c>
      <c r="U196" s="13" t="str">
        <f>IF(J196/R196&gt;0.91*(SQRT(29000/'Steel Angle Lintel Design'!$H$31)),"Y","N")</f>
        <v>N</v>
      </c>
      <c r="V196" s="13" t="s">
        <v>409</v>
      </c>
      <c r="W196" s="13"/>
      <c r="X196" s="13">
        <v>39.200000000000003</v>
      </c>
      <c r="Y196" s="13">
        <v>528</v>
      </c>
      <c r="Z196" s="13">
        <v>302</v>
      </c>
      <c r="AA196" s="13"/>
      <c r="AB196" s="13">
        <v>0</v>
      </c>
      <c r="AC196" s="13">
        <v>0</v>
      </c>
    </row>
    <row r="197" spans="1:29" s="8" customFormat="1" ht="15.75">
      <c r="A197" s="43" t="str">
        <f>IF(AND(H197=1,L197&gt;='Steel Angle Lintel Design'!$M$98,'AISC Angle Database'!N197&gt;='Steel Angle Lintel Design'!$M$96,'AISC Angle Database'!J197&gt;='Steel Angle Lintel Design'!$F$40,'AISC Angle Database'!J197&lt;='Steel Angle Lintel Design'!$F$41,'AISC Angle Database'!K197&gt;='Steel Angle Lintel Design'!$K$40,'AISC Angle Database'!K197&lt;='Steel Angle Lintel Design'!$K$41),1,"")</f>
        <v/>
      </c>
      <c r="B197" s="44">
        <f t="shared" si="10"/>
        <v>11</v>
      </c>
      <c r="C197" s="44">
        <f t="shared" si="11"/>
        <v>0</v>
      </c>
      <c r="D197" s="42" t="e">
        <f t="shared" ca="1" si="12"/>
        <v>#NAME?</v>
      </c>
      <c r="E197" s="44" t="e">
        <f t="shared" ca="1" si="13"/>
        <v>#NAME?</v>
      </c>
      <c r="F197" s="5" t="e">
        <f t="shared" ca="1" si="14"/>
        <v>#NAME?</v>
      </c>
      <c r="G197" s="15" t="s">
        <v>410</v>
      </c>
      <c r="H197" s="15">
        <f>IF('Steel Angle Lintel Design'!$AM$16=1,0,IF('Steel Angle Lintel Design'!$AM$16=2,1,1))</f>
        <v>1</v>
      </c>
      <c r="I197" s="19">
        <v>44.11</v>
      </c>
      <c r="J197" s="15">
        <v>8</v>
      </c>
      <c r="K197" s="15">
        <v>4</v>
      </c>
      <c r="L197" s="15">
        <v>85.7</v>
      </c>
      <c r="M197" s="15">
        <v>29.2</v>
      </c>
      <c r="N197" s="15">
        <v>16.7</v>
      </c>
      <c r="O197" s="13">
        <v>24.68</v>
      </c>
      <c r="P197" s="15">
        <v>0</v>
      </c>
      <c r="Q197" s="15">
        <v>0</v>
      </c>
      <c r="R197" s="13">
        <v>0.5625</v>
      </c>
      <c r="S197" s="13">
        <v>2</v>
      </c>
      <c r="T197" s="13" t="str">
        <f>IF(S197=2,"Y",IF(J197/R197&lt;0.54*(SQRT(29000/'Steel Angle Lintel Design'!$H$31)),"Y","N"))</f>
        <v>Y</v>
      </c>
      <c r="U197" s="13" t="str">
        <f>IF(J197/R197&gt;0.91*(SQRT(29000/'Steel Angle Lintel Design'!$H$31)),"Y","N")</f>
        <v>N</v>
      </c>
      <c r="V197" s="13" t="s">
        <v>411</v>
      </c>
      <c r="W197" s="13"/>
      <c r="X197" s="13">
        <v>35.700000000000003</v>
      </c>
      <c r="Y197" s="13">
        <v>479</v>
      </c>
      <c r="Z197" s="13">
        <v>274</v>
      </c>
      <c r="AA197" s="13"/>
      <c r="AB197" s="13">
        <v>0</v>
      </c>
      <c r="AC197" s="13">
        <v>0</v>
      </c>
    </row>
    <row r="198" spans="1:29" s="8" customFormat="1" ht="15.75">
      <c r="A198" s="43" t="str">
        <f>IF(AND(H198=1,L198&gt;='Steel Angle Lintel Design'!$M$98,'AISC Angle Database'!N198&gt;='Steel Angle Lintel Design'!$M$96,'AISC Angle Database'!J198&gt;='Steel Angle Lintel Design'!$F$40,'AISC Angle Database'!J198&lt;='Steel Angle Lintel Design'!$F$41,'AISC Angle Database'!K198&gt;='Steel Angle Lintel Design'!$K$40,'AISC Angle Database'!K198&lt;='Steel Angle Lintel Design'!$K$41),1,"")</f>
        <v/>
      </c>
      <c r="B198" s="44">
        <f t="shared" ref="B198:B261" si="15">IF(A198=1,B197+1,B197)</f>
        <v>11</v>
      </c>
      <c r="C198" s="44">
        <f t="shared" ref="C198:C261" si="16">IF(A198=1,I198,0)</f>
        <v>0</v>
      </c>
      <c r="D198" s="42" t="e">
        <f t="shared" ca="1" si="12"/>
        <v>#NAME?</v>
      </c>
      <c r="E198" s="44" t="e">
        <f t="shared" ref="E198:E261" ca="1" si="17">D198-D$335</f>
        <v>#NAME?</v>
      </c>
      <c r="F198" s="5" t="e">
        <f t="shared" ref="F198:F261" ca="1" si="18">E198*-1</f>
        <v>#NAME?</v>
      </c>
      <c r="G198" s="15" t="s">
        <v>412</v>
      </c>
      <c r="H198" s="15">
        <f>IF('Steel Angle Lintel Design'!$AM$16=1,0,IF('Steel Angle Lintel Design'!$AM$16=2,1,1))</f>
        <v>1</v>
      </c>
      <c r="I198" s="19">
        <v>39.5</v>
      </c>
      <c r="J198" s="15">
        <v>8</v>
      </c>
      <c r="K198" s="15">
        <v>4</v>
      </c>
      <c r="L198" s="15">
        <v>77.2</v>
      </c>
      <c r="M198" s="15">
        <v>26.2</v>
      </c>
      <c r="N198" s="15">
        <v>15</v>
      </c>
      <c r="O198" s="13">
        <v>22.11</v>
      </c>
      <c r="P198" s="15">
        <v>0</v>
      </c>
      <c r="Q198" s="15">
        <v>0</v>
      </c>
      <c r="R198" s="13">
        <v>0.5</v>
      </c>
      <c r="S198" s="13">
        <v>2</v>
      </c>
      <c r="T198" s="13" t="str">
        <f>IF(S198=2,"Y",IF(J198/R198&lt;0.54*(SQRT(29000/'Steel Angle Lintel Design'!$H$31)),"Y","N"))</f>
        <v>Y</v>
      </c>
      <c r="U198" s="13" t="str">
        <f>IF(J198/R198&gt;0.91*(SQRT(29000/'Steel Angle Lintel Design'!$H$31)),"Y","N")</f>
        <v>N</v>
      </c>
      <c r="V198" s="13" t="s">
        <v>413</v>
      </c>
      <c r="W198" s="13"/>
      <c r="X198" s="13">
        <v>32.1</v>
      </c>
      <c r="Y198" s="13">
        <v>429</v>
      </c>
      <c r="Z198" s="13">
        <v>246</v>
      </c>
      <c r="AA198" s="13"/>
      <c r="AB198" s="13">
        <v>0</v>
      </c>
      <c r="AC198" s="13">
        <v>0</v>
      </c>
    </row>
    <row r="199" spans="1:29" s="8" customFormat="1" ht="15.75">
      <c r="A199" s="43" t="str">
        <f>IF(AND(H199=1,L199&gt;='Steel Angle Lintel Design'!$M$98,'AISC Angle Database'!N199&gt;='Steel Angle Lintel Design'!$M$96,'AISC Angle Database'!J199&gt;='Steel Angle Lintel Design'!$F$40,'AISC Angle Database'!J199&lt;='Steel Angle Lintel Design'!$F$41,'AISC Angle Database'!K199&gt;='Steel Angle Lintel Design'!$K$40,'AISC Angle Database'!K199&lt;='Steel Angle Lintel Design'!$K$41),1,"")</f>
        <v/>
      </c>
      <c r="B199" s="44">
        <f t="shared" si="15"/>
        <v>11</v>
      </c>
      <c r="C199" s="44">
        <f t="shared" si="16"/>
        <v>0</v>
      </c>
      <c r="D199" s="42" t="e">
        <f t="shared" ref="D199:D262" ca="1" si="19">_xlfn.RANK.EQ(C199,$C$6:$C$333)</f>
        <v>#NAME?</v>
      </c>
      <c r="E199" s="44" t="e">
        <f t="shared" ca="1" si="17"/>
        <v>#NAME?</v>
      </c>
      <c r="F199" s="5" t="e">
        <f t="shared" ca="1" si="18"/>
        <v>#NAME?</v>
      </c>
      <c r="G199" s="15" t="s">
        <v>414</v>
      </c>
      <c r="H199" s="15">
        <f>IF('Steel Angle Lintel Design'!$AM$16=1,0,IF('Steel Angle Lintel Design'!$AM$16=2,1,1))</f>
        <v>1</v>
      </c>
      <c r="I199" s="19">
        <v>34.799999999999997</v>
      </c>
      <c r="J199" s="15">
        <v>8</v>
      </c>
      <c r="K199" s="15">
        <v>4</v>
      </c>
      <c r="L199" s="15">
        <v>68.5</v>
      </c>
      <c r="M199" s="15">
        <v>23.2</v>
      </c>
      <c r="N199" s="15">
        <v>13.2</v>
      </c>
      <c r="O199" s="13">
        <v>19.190000000000001</v>
      </c>
      <c r="P199" s="15">
        <v>0</v>
      </c>
      <c r="Q199" s="15">
        <v>0</v>
      </c>
      <c r="R199" s="13">
        <v>0.4375</v>
      </c>
      <c r="S199" s="13">
        <v>2</v>
      </c>
      <c r="T199" s="13" t="str">
        <f>IF(S199=2,"Y",IF(J199/R199&lt;0.54*(SQRT(29000/'Steel Angle Lintel Design'!$H$31)),"Y","N"))</f>
        <v>Y</v>
      </c>
      <c r="U199" s="13" t="str">
        <f>IF(J199/R199&gt;0.91*(SQRT(29000/'Steel Angle Lintel Design'!$H$31)),"Y","N")</f>
        <v>N</v>
      </c>
      <c r="V199" s="13" t="s">
        <v>415</v>
      </c>
      <c r="W199" s="13"/>
      <c r="X199" s="13">
        <v>28.5</v>
      </c>
      <c r="Y199" s="13">
        <v>380</v>
      </c>
      <c r="Z199" s="13">
        <v>216</v>
      </c>
      <c r="AA199" s="13"/>
      <c r="AB199" s="13">
        <v>0</v>
      </c>
      <c r="AC199" s="13">
        <v>0</v>
      </c>
    </row>
    <row r="200" spans="1:29" s="8" customFormat="1" ht="15.75">
      <c r="A200" s="43" t="str">
        <f>IF(AND(H200=1,L200&gt;='Steel Angle Lintel Design'!$M$98,'AISC Angle Database'!N200&gt;='Steel Angle Lintel Design'!$M$96,'AISC Angle Database'!J200&gt;='Steel Angle Lintel Design'!$F$40,'AISC Angle Database'!J200&lt;='Steel Angle Lintel Design'!$F$41,'AISC Angle Database'!K200&gt;='Steel Angle Lintel Design'!$K$40,'AISC Angle Database'!K200&lt;='Steel Angle Lintel Design'!$K$41),1,"")</f>
        <v/>
      </c>
      <c r="B200" s="44">
        <f t="shared" si="15"/>
        <v>11</v>
      </c>
      <c r="C200" s="44">
        <f t="shared" si="16"/>
        <v>0</v>
      </c>
      <c r="D200" s="42" t="e">
        <f t="shared" ca="1" si="19"/>
        <v>#NAME?</v>
      </c>
      <c r="E200" s="44" t="e">
        <f t="shared" ca="1" si="17"/>
        <v>#NAME?</v>
      </c>
      <c r="F200" s="5" t="e">
        <f t="shared" ca="1" si="18"/>
        <v>#NAME?</v>
      </c>
      <c r="G200" s="15" t="s">
        <v>416</v>
      </c>
      <c r="H200" s="15">
        <f>IF('Steel Angle Lintel Design'!$AM$16=1,0,IF('Steel Angle Lintel Design'!$AM$16=2,1,1))</f>
        <v>1</v>
      </c>
      <c r="I200" s="19">
        <v>52.4</v>
      </c>
      <c r="J200" s="15">
        <v>7</v>
      </c>
      <c r="K200" s="15">
        <v>4</v>
      </c>
      <c r="L200" s="15">
        <v>75.599999999999994</v>
      </c>
      <c r="M200" s="15">
        <v>29.5</v>
      </c>
      <c r="N200" s="15">
        <v>16.8</v>
      </c>
      <c r="O200" s="13">
        <v>33.729999999999997</v>
      </c>
      <c r="P200" s="15">
        <v>0</v>
      </c>
      <c r="Q200" s="15">
        <v>0</v>
      </c>
      <c r="R200" s="13">
        <v>0.75</v>
      </c>
      <c r="S200" s="13">
        <v>2</v>
      </c>
      <c r="T200" s="13" t="str">
        <f>IF(S200=2,"Y",IF(J200/R200&lt;0.54*(SQRT(29000/'Steel Angle Lintel Design'!$H$31)),"Y","N"))</f>
        <v>Y</v>
      </c>
      <c r="U200" s="13" t="str">
        <f>IF(J200/R200&gt;0.91*(SQRT(29000/'Steel Angle Lintel Design'!$H$31)),"Y","N")</f>
        <v>N</v>
      </c>
      <c r="V200" s="13" t="s">
        <v>417</v>
      </c>
      <c r="W200" s="13"/>
      <c r="X200" s="13">
        <v>31.5</v>
      </c>
      <c r="Y200" s="13">
        <v>483</v>
      </c>
      <c r="Z200" s="13">
        <v>275</v>
      </c>
      <c r="AA200" s="13"/>
      <c r="AB200" s="13">
        <v>0</v>
      </c>
      <c r="AC200" s="13">
        <v>0</v>
      </c>
    </row>
    <row r="201" spans="1:29" s="8" customFormat="1" ht="15.75">
      <c r="A201" s="43" t="str">
        <f>IF(AND(H201=1,L201&gt;='Steel Angle Lintel Design'!$M$98,'AISC Angle Database'!N201&gt;='Steel Angle Lintel Design'!$M$96,'AISC Angle Database'!J201&gt;='Steel Angle Lintel Design'!$F$40,'AISC Angle Database'!J201&lt;='Steel Angle Lintel Design'!$F$41,'AISC Angle Database'!K201&gt;='Steel Angle Lintel Design'!$K$40,'AISC Angle Database'!K201&lt;='Steel Angle Lintel Design'!$K$41),1,"")</f>
        <v/>
      </c>
      <c r="B201" s="44">
        <f t="shared" si="15"/>
        <v>11</v>
      </c>
      <c r="C201" s="44">
        <f t="shared" si="16"/>
        <v>0</v>
      </c>
      <c r="D201" s="42" t="e">
        <f t="shared" ca="1" si="19"/>
        <v>#NAME?</v>
      </c>
      <c r="E201" s="44" t="e">
        <f t="shared" ca="1" si="17"/>
        <v>#NAME?</v>
      </c>
      <c r="F201" s="5" t="e">
        <f t="shared" ca="1" si="18"/>
        <v>#NAME?</v>
      </c>
      <c r="G201" s="15" t="s">
        <v>418</v>
      </c>
      <c r="H201" s="15">
        <f>IF('Steel Angle Lintel Design'!$AM$16=1,0,IF('Steel Angle Lintel Design'!$AM$16=2,1,1))</f>
        <v>1</v>
      </c>
      <c r="I201" s="19">
        <v>44.2</v>
      </c>
      <c r="J201" s="15">
        <v>7</v>
      </c>
      <c r="K201" s="15">
        <v>4</v>
      </c>
      <c r="L201" s="15">
        <v>64.7</v>
      </c>
      <c r="M201" s="15">
        <v>25.1</v>
      </c>
      <c r="N201" s="15">
        <v>14.2</v>
      </c>
      <c r="O201" s="13">
        <v>27.31</v>
      </c>
      <c r="P201" s="15">
        <v>0</v>
      </c>
      <c r="Q201" s="15">
        <v>0</v>
      </c>
      <c r="R201" s="13">
        <v>0.625</v>
      </c>
      <c r="S201" s="13">
        <v>2</v>
      </c>
      <c r="T201" s="13" t="str">
        <f>IF(S201=2,"Y",IF(J201/R201&lt;0.54*(SQRT(29000/'Steel Angle Lintel Design'!$H$31)),"Y","N"))</f>
        <v>Y</v>
      </c>
      <c r="U201" s="13" t="str">
        <f>IF(J201/R201&gt;0.91*(SQRT(29000/'Steel Angle Lintel Design'!$H$31)),"Y","N")</f>
        <v>N</v>
      </c>
      <c r="V201" s="13" t="s">
        <v>419</v>
      </c>
      <c r="W201" s="13"/>
      <c r="X201" s="13">
        <v>26.9</v>
      </c>
      <c r="Y201" s="13">
        <v>411</v>
      </c>
      <c r="Z201" s="13">
        <v>233</v>
      </c>
      <c r="AA201" s="13"/>
      <c r="AB201" s="13">
        <v>0</v>
      </c>
      <c r="AC201" s="13">
        <v>0</v>
      </c>
    </row>
    <row r="202" spans="1:29" s="8" customFormat="1" ht="15.75">
      <c r="A202" s="43" t="str">
        <f>IF(AND(H202=1,L202&gt;='Steel Angle Lintel Design'!$M$98,'AISC Angle Database'!N202&gt;='Steel Angle Lintel Design'!$M$96,'AISC Angle Database'!J202&gt;='Steel Angle Lintel Design'!$F$40,'AISC Angle Database'!J202&lt;='Steel Angle Lintel Design'!$F$41,'AISC Angle Database'!K202&gt;='Steel Angle Lintel Design'!$K$40,'AISC Angle Database'!K202&lt;='Steel Angle Lintel Design'!$K$41),1,"")</f>
        <v/>
      </c>
      <c r="B202" s="44">
        <f t="shared" si="15"/>
        <v>11</v>
      </c>
      <c r="C202" s="44">
        <f t="shared" si="16"/>
        <v>0</v>
      </c>
      <c r="D202" s="42" t="e">
        <f t="shared" ca="1" si="19"/>
        <v>#NAME?</v>
      </c>
      <c r="E202" s="44" t="e">
        <f t="shared" ca="1" si="17"/>
        <v>#NAME?</v>
      </c>
      <c r="F202" s="5" t="e">
        <f t="shared" ca="1" si="18"/>
        <v>#NAME?</v>
      </c>
      <c r="G202" s="15" t="s">
        <v>420</v>
      </c>
      <c r="H202" s="15">
        <f>IF('Steel Angle Lintel Design'!$AM$16=1,0,IF('Steel Angle Lintel Design'!$AM$16=2,1,1))</f>
        <v>1</v>
      </c>
      <c r="I202" s="19">
        <v>35.799999999999997</v>
      </c>
      <c r="J202" s="15">
        <v>7</v>
      </c>
      <c r="K202" s="15">
        <v>4</v>
      </c>
      <c r="L202" s="15">
        <v>53.3</v>
      </c>
      <c r="M202" s="15">
        <v>20.399999999999999</v>
      </c>
      <c r="N202" s="15">
        <v>11.6</v>
      </c>
      <c r="O202" s="13">
        <v>21.82</v>
      </c>
      <c r="P202" s="15">
        <v>0</v>
      </c>
      <c r="Q202" s="15">
        <v>0</v>
      </c>
      <c r="R202" s="13">
        <v>0.5</v>
      </c>
      <c r="S202" s="13">
        <v>2</v>
      </c>
      <c r="T202" s="13" t="str">
        <f>IF(S202=2,"Y",IF(J202/R202&lt;0.54*(SQRT(29000/'Steel Angle Lintel Design'!$H$31)),"Y","N"))</f>
        <v>Y</v>
      </c>
      <c r="U202" s="13" t="str">
        <f>IF(J202/R202&gt;0.91*(SQRT(29000/'Steel Angle Lintel Design'!$H$31)),"Y","N")</f>
        <v>N</v>
      </c>
      <c r="V202" s="13" t="s">
        <v>421</v>
      </c>
      <c r="W202" s="13"/>
      <c r="X202" s="13">
        <v>22.2</v>
      </c>
      <c r="Y202" s="13">
        <v>334</v>
      </c>
      <c r="Z202" s="13">
        <v>190</v>
      </c>
      <c r="AA202" s="13"/>
      <c r="AB202" s="13">
        <v>0</v>
      </c>
      <c r="AC202" s="13">
        <v>0</v>
      </c>
    </row>
    <row r="203" spans="1:29" s="8" customFormat="1" ht="15.75">
      <c r="A203" s="43" t="str">
        <f>IF(AND(H203=1,L203&gt;='Steel Angle Lintel Design'!$M$98,'AISC Angle Database'!N203&gt;='Steel Angle Lintel Design'!$M$96,'AISC Angle Database'!J203&gt;='Steel Angle Lintel Design'!$F$40,'AISC Angle Database'!J203&lt;='Steel Angle Lintel Design'!$F$41,'AISC Angle Database'!K203&gt;='Steel Angle Lintel Design'!$K$40,'AISC Angle Database'!K203&lt;='Steel Angle Lintel Design'!$K$41),1,"")</f>
        <v/>
      </c>
      <c r="B203" s="44">
        <f t="shared" si="15"/>
        <v>11</v>
      </c>
      <c r="C203" s="44">
        <f t="shared" si="16"/>
        <v>0</v>
      </c>
      <c r="D203" s="42" t="e">
        <f t="shared" ca="1" si="19"/>
        <v>#NAME?</v>
      </c>
      <c r="E203" s="44" t="e">
        <f t="shared" ca="1" si="17"/>
        <v>#NAME?</v>
      </c>
      <c r="F203" s="5" t="e">
        <f t="shared" ca="1" si="18"/>
        <v>#NAME?</v>
      </c>
      <c r="G203" s="15" t="s">
        <v>422</v>
      </c>
      <c r="H203" s="15">
        <f>IF('Steel Angle Lintel Design'!$AM$16=1,0,IF('Steel Angle Lintel Design'!$AM$16=2,1,1))</f>
        <v>1</v>
      </c>
      <c r="I203" s="19">
        <v>31.51</v>
      </c>
      <c r="J203" s="15">
        <v>7</v>
      </c>
      <c r="K203" s="15">
        <v>4</v>
      </c>
      <c r="L203" s="15">
        <v>47.3</v>
      </c>
      <c r="M203" s="15">
        <v>18.100000000000001</v>
      </c>
      <c r="N203" s="15">
        <v>10.199999999999999</v>
      </c>
      <c r="O203" s="13">
        <v>18.93</v>
      </c>
      <c r="P203" s="15">
        <v>0</v>
      </c>
      <c r="Q203" s="15">
        <v>0</v>
      </c>
      <c r="R203" s="13">
        <v>0.4375</v>
      </c>
      <c r="S203" s="13">
        <v>2</v>
      </c>
      <c r="T203" s="13" t="str">
        <f>IF(S203=2,"Y",IF(J203/R203&lt;0.54*(SQRT(29000/'Steel Angle Lintel Design'!$H$31)),"Y","N"))</f>
        <v>Y</v>
      </c>
      <c r="U203" s="13" t="str">
        <f>IF(J203/R203&gt;0.91*(SQRT(29000/'Steel Angle Lintel Design'!$H$31)),"Y","N")</f>
        <v>N</v>
      </c>
      <c r="V203" s="13" t="s">
        <v>423</v>
      </c>
      <c r="W203" s="13"/>
      <c r="X203" s="13">
        <v>19.7</v>
      </c>
      <c r="Y203" s="13">
        <v>297</v>
      </c>
      <c r="Z203" s="13">
        <v>167</v>
      </c>
      <c r="AA203" s="13"/>
      <c r="AB203" s="13">
        <v>0</v>
      </c>
      <c r="AC203" s="13">
        <v>0</v>
      </c>
    </row>
    <row r="204" spans="1:29" s="8" customFormat="1" ht="15.75">
      <c r="A204" s="43" t="str">
        <f>IF(AND(H204=1,L204&gt;='Steel Angle Lintel Design'!$M$98,'AISC Angle Database'!N204&gt;='Steel Angle Lintel Design'!$M$96,'AISC Angle Database'!J204&gt;='Steel Angle Lintel Design'!$F$40,'AISC Angle Database'!J204&lt;='Steel Angle Lintel Design'!$F$41,'AISC Angle Database'!K204&gt;='Steel Angle Lintel Design'!$K$40,'AISC Angle Database'!K204&lt;='Steel Angle Lintel Design'!$K$41),1,"")</f>
        <v/>
      </c>
      <c r="B204" s="44">
        <f t="shared" si="15"/>
        <v>11</v>
      </c>
      <c r="C204" s="44">
        <f t="shared" si="16"/>
        <v>0</v>
      </c>
      <c r="D204" s="42" t="e">
        <f t="shared" ca="1" si="19"/>
        <v>#NAME?</v>
      </c>
      <c r="E204" s="44" t="e">
        <f t="shared" ca="1" si="17"/>
        <v>#NAME?</v>
      </c>
      <c r="F204" s="5" t="e">
        <f t="shared" ca="1" si="18"/>
        <v>#NAME?</v>
      </c>
      <c r="G204" s="15" t="s">
        <v>424</v>
      </c>
      <c r="H204" s="15">
        <f>IF('Steel Angle Lintel Design'!$AM$16=1,0,IF('Steel Angle Lintel Design'!$AM$16=2,1,1))</f>
        <v>1</v>
      </c>
      <c r="I204" s="19">
        <v>27.2</v>
      </c>
      <c r="J204" s="15">
        <v>7</v>
      </c>
      <c r="K204" s="15">
        <v>4</v>
      </c>
      <c r="L204" s="15">
        <v>41.1</v>
      </c>
      <c r="M204" s="15">
        <v>15.6</v>
      </c>
      <c r="N204" s="15">
        <v>8.83</v>
      </c>
      <c r="O204" s="13">
        <v>16.12</v>
      </c>
      <c r="P204" s="15">
        <v>0</v>
      </c>
      <c r="Q204" s="15">
        <v>0</v>
      </c>
      <c r="R204" s="13">
        <v>0.375</v>
      </c>
      <c r="S204" s="13">
        <v>2</v>
      </c>
      <c r="T204" s="13" t="str">
        <f>IF(S204=2,"Y",IF(J204/R204&lt;0.54*(SQRT(29000/'Steel Angle Lintel Design'!$H$31)),"Y","N"))</f>
        <v>Y</v>
      </c>
      <c r="U204" s="13" t="str">
        <f>IF(J204/R204&gt;0.91*(SQRT(29000/'Steel Angle Lintel Design'!$H$31)),"Y","N")</f>
        <v>N</v>
      </c>
      <c r="V204" s="13" t="s">
        <v>425</v>
      </c>
      <c r="W204" s="13"/>
      <c r="X204" s="13">
        <v>17.100000000000001</v>
      </c>
      <c r="Y204" s="13">
        <v>256</v>
      </c>
      <c r="Z204" s="13">
        <v>145</v>
      </c>
      <c r="AA204" s="13"/>
      <c r="AB204" s="13">
        <v>0</v>
      </c>
      <c r="AC204" s="13">
        <v>0</v>
      </c>
    </row>
    <row r="205" spans="1:29" s="8" customFormat="1" ht="15.75">
      <c r="A205" s="43" t="str">
        <f>IF(AND(H205=1,L205&gt;='Steel Angle Lintel Design'!$M$98,'AISC Angle Database'!N205&gt;='Steel Angle Lintel Design'!$M$96,'AISC Angle Database'!J205&gt;='Steel Angle Lintel Design'!$F$40,'AISC Angle Database'!J205&lt;='Steel Angle Lintel Design'!$F$41,'AISC Angle Database'!K205&gt;='Steel Angle Lintel Design'!$K$40,'AISC Angle Database'!K205&lt;='Steel Angle Lintel Design'!$K$41),1,"")</f>
        <v/>
      </c>
      <c r="B205" s="44">
        <f t="shared" si="15"/>
        <v>11</v>
      </c>
      <c r="C205" s="44">
        <f t="shared" si="16"/>
        <v>0</v>
      </c>
      <c r="D205" s="42" t="e">
        <f t="shared" ca="1" si="19"/>
        <v>#NAME?</v>
      </c>
      <c r="E205" s="44" t="e">
        <f t="shared" ca="1" si="17"/>
        <v>#NAME?</v>
      </c>
      <c r="F205" s="5" t="e">
        <f t="shared" ca="1" si="18"/>
        <v>#NAME?</v>
      </c>
      <c r="G205" s="15" t="s">
        <v>426</v>
      </c>
      <c r="H205" s="15">
        <f>IF('Steel Angle Lintel Design'!$AM$16=1,0,IF('Steel Angle Lintel Design'!$AM$16=2,1,1))</f>
        <v>1</v>
      </c>
      <c r="I205" s="19">
        <v>54.3</v>
      </c>
      <c r="J205" s="15">
        <v>6</v>
      </c>
      <c r="K205" s="15">
        <v>4</v>
      </c>
      <c r="L205" s="15">
        <v>55.4</v>
      </c>
      <c r="M205" s="15">
        <v>25.3</v>
      </c>
      <c r="N205" s="15">
        <v>14.3</v>
      </c>
      <c r="O205" s="13">
        <v>39.33</v>
      </c>
      <c r="P205" s="15">
        <v>0</v>
      </c>
      <c r="Q205" s="15">
        <v>0</v>
      </c>
      <c r="R205" s="13">
        <v>0.875</v>
      </c>
      <c r="S205" s="13">
        <v>2</v>
      </c>
      <c r="T205" s="13" t="str">
        <f>IF(S205=2,"Y",IF(J205/R205&lt;0.54*(SQRT(29000/'Steel Angle Lintel Design'!$H$31)),"Y","N"))</f>
        <v>Y</v>
      </c>
      <c r="U205" s="13" t="str">
        <f>IF(J205/R205&gt;0.91*(SQRT(29000/'Steel Angle Lintel Design'!$H$31)),"Y","N")</f>
        <v>N</v>
      </c>
      <c r="V205" s="13" t="s">
        <v>427</v>
      </c>
      <c r="W205" s="13"/>
      <c r="X205" s="13">
        <v>23.1</v>
      </c>
      <c r="Y205" s="13">
        <v>415</v>
      </c>
      <c r="Z205" s="13">
        <v>234</v>
      </c>
      <c r="AA205" s="13"/>
      <c r="AB205" s="13">
        <v>0</v>
      </c>
      <c r="AC205" s="13">
        <v>0</v>
      </c>
    </row>
    <row r="206" spans="1:29" s="8" customFormat="1" ht="15.75">
      <c r="A206" s="43" t="str">
        <f>IF(AND(H206=1,L206&gt;='Steel Angle Lintel Design'!$M$98,'AISC Angle Database'!N206&gt;='Steel Angle Lintel Design'!$M$96,'AISC Angle Database'!J206&gt;='Steel Angle Lintel Design'!$F$40,'AISC Angle Database'!J206&lt;='Steel Angle Lintel Design'!$F$41,'AISC Angle Database'!K206&gt;='Steel Angle Lintel Design'!$K$40,'AISC Angle Database'!K206&lt;='Steel Angle Lintel Design'!$K$41),1,"")</f>
        <v/>
      </c>
      <c r="B206" s="44">
        <f t="shared" si="15"/>
        <v>11</v>
      </c>
      <c r="C206" s="44">
        <f t="shared" si="16"/>
        <v>0</v>
      </c>
      <c r="D206" s="42" t="e">
        <f t="shared" ca="1" si="19"/>
        <v>#NAME?</v>
      </c>
      <c r="E206" s="44" t="e">
        <f t="shared" ca="1" si="17"/>
        <v>#NAME?</v>
      </c>
      <c r="F206" s="5" t="e">
        <f t="shared" ca="1" si="18"/>
        <v>#NAME?</v>
      </c>
      <c r="G206" s="15" t="s">
        <v>428</v>
      </c>
      <c r="H206" s="15">
        <f>IF('Steel Angle Lintel Design'!$AM$16=1,0,IF('Steel Angle Lintel Design'!$AM$16=2,1,1))</f>
        <v>1</v>
      </c>
      <c r="I206" s="19">
        <v>47.2</v>
      </c>
      <c r="J206" s="15">
        <v>6</v>
      </c>
      <c r="K206" s="15">
        <v>4</v>
      </c>
      <c r="L206" s="15">
        <v>48.9</v>
      </c>
      <c r="M206" s="15">
        <v>22.2</v>
      </c>
      <c r="N206" s="15">
        <v>12.5</v>
      </c>
      <c r="O206" s="13">
        <v>33.33</v>
      </c>
      <c r="P206" s="15">
        <v>0</v>
      </c>
      <c r="Q206" s="15">
        <v>0</v>
      </c>
      <c r="R206" s="13">
        <v>0.75</v>
      </c>
      <c r="S206" s="13">
        <v>2</v>
      </c>
      <c r="T206" s="13" t="str">
        <f>IF(S206=2,"Y",IF(J206/R206&lt;0.54*(SQRT(29000/'Steel Angle Lintel Design'!$H$31)),"Y","N"))</f>
        <v>Y</v>
      </c>
      <c r="U206" s="13" t="str">
        <f>IF(J206/R206&gt;0.91*(SQRT(29000/'Steel Angle Lintel Design'!$H$31)),"Y","N")</f>
        <v>N</v>
      </c>
      <c r="V206" s="13" t="s">
        <v>429</v>
      </c>
      <c r="W206" s="13"/>
      <c r="X206" s="13">
        <v>20.399999999999999</v>
      </c>
      <c r="Y206" s="13">
        <v>364</v>
      </c>
      <c r="Z206" s="13">
        <v>205</v>
      </c>
      <c r="AA206" s="13"/>
      <c r="AB206" s="13">
        <v>0</v>
      </c>
      <c r="AC206" s="13">
        <v>0</v>
      </c>
    </row>
    <row r="207" spans="1:29" s="8" customFormat="1" ht="15.75">
      <c r="A207" s="43" t="str">
        <f>IF(AND(H207=1,L207&gt;='Steel Angle Lintel Design'!$M$98,'AISC Angle Database'!N207&gt;='Steel Angle Lintel Design'!$M$96,'AISC Angle Database'!J207&gt;='Steel Angle Lintel Design'!$F$40,'AISC Angle Database'!J207&lt;='Steel Angle Lintel Design'!$F$41,'AISC Angle Database'!K207&gt;='Steel Angle Lintel Design'!$K$40,'AISC Angle Database'!K207&lt;='Steel Angle Lintel Design'!$K$41),1,"")</f>
        <v/>
      </c>
      <c r="B207" s="44">
        <f t="shared" si="15"/>
        <v>11</v>
      </c>
      <c r="C207" s="44">
        <f t="shared" si="16"/>
        <v>0</v>
      </c>
      <c r="D207" s="42" t="e">
        <f t="shared" ca="1" si="19"/>
        <v>#NAME?</v>
      </c>
      <c r="E207" s="44" t="e">
        <f t="shared" ca="1" si="17"/>
        <v>#NAME?</v>
      </c>
      <c r="F207" s="5" t="e">
        <f t="shared" ca="1" si="18"/>
        <v>#NAME?</v>
      </c>
      <c r="G207" s="15" t="s">
        <v>430</v>
      </c>
      <c r="H207" s="15">
        <f>IF('Steel Angle Lintel Design'!$AM$16=1,0,IF('Steel Angle Lintel Design'!$AM$16=2,1,1))</f>
        <v>1</v>
      </c>
      <c r="I207" s="19">
        <v>39.909999999999997</v>
      </c>
      <c r="J207" s="15">
        <v>6</v>
      </c>
      <c r="K207" s="15">
        <v>4</v>
      </c>
      <c r="L207" s="15">
        <v>42</v>
      </c>
      <c r="M207" s="15">
        <v>18.899999999999999</v>
      </c>
      <c r="N207" s="15">
        <v>10.6</v>
      </c>
      <c r="O207" s="13">
        <v>27.45</v>
      </c>
      <c r="P207" s="15">
        <v>0</v>
      </c>
      <c r="Q207" s="15">
        <v>0</v>
      </c>
      <c r="R207" s="13">
        <v>0.625</v>
      </c>
      <c r="S207" s="13">
        <v>2</v>
      </c>
      <c r="T207" s="13" t="str">
        <f>IF(S207=2,"Y",IF(J207/R207&lt;0.54*(SQRT(29000/'Steel Angle Lintel Design'!$H$31)),"Y","N"))</f>
        <v>Y</v>
      </c>
      <c r="U207" s="13" t="str">
        <f>IF(J207/R207&gt;0.91*(SQRT(29000/'Steel Angle Lintel Design'!$H$31)),"Y","N")</f>
        <v>N</v>
      </c>
      <c r="V207" s="13" t="s">
        <v>431</v>
      </c>
      <c r="W207" s="13"/>
      <c r="X207" s="13">
        <v>17.5</v>
      </c>
      <c r="Y207" s="13">
        <v>310</v>
      </c>
      <c r="Z207" s="13">
        <v>174</v>
      </c>
      <c r="AA207" s="13"/>
      <c r="AB207" s="13">
        <v>0</v>
      </c>
      <c r="AC207" s="13">
        <v>0</v>
      </c>
    </row>
    <row r="208" spans="1:29" s="8" customFormat="1" ht="15.75">
      <c r="A208" s="43" t="str">
        <f>IF(AND(H208=1,L208&gt;='Steel Angle Lintel Design'!$M$98,'AISC Angle Database'!N208&gt;='Steel Angle Lintel Design'!$M$96,'AISC Angle Database'!J208&gt;='Steel Angle Lintel Design'!$F$40,'AISC Angle Database'!J208&lt;='Steel Angle Lintel Design'!$F$41,'AISC Angle Database'!K208&gt;='Steel Angle Lintel Design'!$K$40,'AISC Angle Database'!K208&lt;='Steel Angle Lintel Design'!$K$41),1,"")</f>
        <v/>
      </c>
      <c r="B208" s="44">
        <f t="shared" si="15"/>
        <v>11</v>
      </c>
      <c r="C208" s="44">
        <f t="shared" si="16"/>
        <v>0</v>
      </c>
      <c r="D208" s="42" t="e">
        <f t="shared" ca="1" si="19"/>
        <v>#NAME?</v>
      </c>
      <c r="E208" s="44" t="e">
        <f t="shared" ca="1" si="17"/>
        <v>#NAME?</v>
      </c>
      <c r="F208" s="5" t="e">
        <f t="shared" ca="1" si="18"/>
        <v>#NAME?</v>
      </c>
      <c r="G208" s="15" t="s">
        <v>432</v>
      </c>
      <c r="H208" s="15">
        <f>IF('Steel Angle Lintel Design'!$AM$16=1,0,IF('Steel Angle Lintel Design'!$AM$16=2,1,1))</f>
        <v>1</v>
      </c>
      <c r="I208" s="19">
        <v>36.1</v>
      </c>
      <c r="J208" s="15">
        <v>6</v>
      </c>
      <c r="K208" s="15">
        <v>4</v>
      </c>
      <c r="L208" s="15">
        <v>38.4</v>
      </c>
      <c r="M208" s="15">
        <v>17.2</v>
      </c>
      <c r="N208" s="15">
        <v>9.61</v>
      </c>
      <c r="O208" s="13">
        <v>24.51</v>
      </c>
      <c r="P208" s="15">
        <v>0</v>
      </c>
      <c r="Q208" s="15">
        <v>0</v>
      </c>
      <c r="R208" s="13">
        <v>0.5625</v>
      </c>
      <c r="S208" s="13">
        <v>2</v>
      </c>
      <c r="T208" s="13" t="str">
        <f>IF(S208=2,"Y",IF(J208/R208&lt;0.54*(SQRT(29000/'Steel Angle Lintel Design'!$H$31)),"Y","N"))</f>
        <v>Y</v>
      </c>
      <c r="U208" s="13" t="str">
        <f>IF(J208/R208&gt;0.91*(SQRT(29000/'Steel Angle Lintel Design'!$H$31)),"Y","N")</f>
        <v>N</v>
      </c>
      <c r="V208" s="13" t="s">
        <v>433</v>
      </c>
      <c r="W208" s="13"/>
      <c r="X208" s="13">
        <v>16</v>
      </c>
      <c r="Y208" s="13">
        <v>282</v>
      </c>
      <c r="Z208" s="13">
        <v>157</v>
      </c>
      <c r="AA208" s="13"/>
      <c r="AB208" s="13">
        <v>0</v>
      </c>
      <c r="AC208" s="13">
        <v>0</v>
      </c>
    </row>
    <row r="209" spans="1:29" s="8" customFormat="1" ht="15.75">
      <c r="A209" s="43" t="str">
        <f>IF(AND(H209=1,L209&gt;='Steel Angle Lintel Design'!$M$98,'AISC Angle Database'!N209&gt;='Steel Angle Lintel Design'!$M$96,'AISC Angle Database'!J209&gt;='Steel Angle Lintel Design'!$F$40,'AISC Angle Database'!J209&lt;='Steel Angle Lintel Design'!$F$41,'AISC Angle Database'!K209&gt;='Steel Angle Lintel Design'!$K$40,'AISC Angle Database'!K209&lt;='Steel Angle Lintel Design'!$K$41),1,"")</f>
        <v/>
      </c>
      <c r="B209" s="44">
        <f t="shared" si="15"/>
        <v>11</v>
      </c>
      <c r="C209" s="44">
        <f t="shared" si="16"/>
        <v>0</v>
      </c>
      <c r="D209" s="42" t="e">
        <f t="shared" ca="1" si="19"/>
        <v>#NAME?</v>
      </c>
      <c r="E209" s="44" t="e">
        <f t="shared" ca="1" si="17"/>
        <v>#NAME?</v>
      </c>
      <c r="F209" s="5" t="e">
        <f t="shared" ca="1" si="18"/>
        <v>#NAME?</v>
      </c>
      <c r="G209" s="15" t="s">
        <v>434</v>
      </c>
      <c r="H209" s="15">
        <f>IF('Steel Angle Lintel Design'!$AM$16=1,0,IF('Steel Angle Lintel Design'!$AM$16=2,1,1))</f>
        <v>1</v>
      </c>
      <c r="I209" s="19">
        <v>32.299999999999997</v>
      </c>
      <c r="J209" s="15">
        <v>6</v>
      </c>
      <c r="K209" s="15">
        <v>4</v>
      </c>
      <c r="L209" s="15">
        <v>34.700000000000003</v>
      </c>
      <c r="M209" s="15">
        <v>15.4</v>
      </c>
      <c r="N209" s="15">
        <v>8.6300000000000008</v>
      </c>
      <c r="O209" s="13">
        <v>21.64</v>
      </c>
      <c r="P209" s="15">
        <v>0</v>
      </c>
      <c r="Q209" s="15">
        <v>0</v>
      </c>
      <c r="R209" s="13">
        <v>0.5</v>
      </c>
      <c r="S209" s="13">
        <v>2</v>
      </c>
      <c r="T209" s="13" t="str">
        <f>IF(S209=2,"Y",IF(J209/R209&lt;0.54*(SQRT(29000/'Steel Angle Lintel Design'!$H$31)),"Y","N"))</f>
        <v>Y</v>
      </c>
      <c r="U209" s="13" t="str">
        <f>IF(J209/R209&gt;0.91*(SQRT(29000/'Steel Angle Lintel Design'!$H$31)),"Y","N")</f>
        <v>N</v>
      </c>
      <c r="V209" s="13" t="s">
        <v>435</v>
      </c>
      <c r="W209" s="13"/>
      <c r="X209" s="13">
        <v>14.4</v>
      </c>
      <c r="Y209" s="13">
        <v>252</v>
      </c>
      <c r="Z209" s="13">
        <v>141</v>
      </c>
      <c r="AA209" s="13"/>
      <c r="AB209" s="13">
        <v>0</v>
      </c>
      <c r="AC209" s="13">
        <v>0</v>
      </c>
    </row>
    <row r="210" spans="1:29" s="8" customFormat="1" ht="15.75">
      <c r="A210" s="43" t="str">
        <f>IF(AND(H210=1,L210&gt;='Steel Angle Lintel Design'!$M$98,'AISC Angle Database'!N210&gt;='Steel Angle Lintel Design'!$M$96,'AISC Angle Database'!J210&gt;='Steel Angle Lintel Design'!$F$40,'AISC Angle Database'!J210&lt;='Steel Angle Lintel Design'!$F$41,'AISC Angle Database'!K210&gt;='Steel Angle Lintel Design'!$K$40,'AISC Angle Database'!K210&lt;='Steel Angle Lintel Design'!$K$41),1,"")</f>
        <v/>
      </c>
      <c r="B210" s="44">
        <f t="shared" si="15"/>
        <v>11</v>
      </c>
      <c r="C210" s="44">
        <f t="shared" si="16"/>
        <v>0</v>
      </c>
      <c r="D210" s="42" t="e">
        <f t="shared" ca="1" si="19"/>
        <v>#NAME?</v>
      </c>
      <c r="E210" s="44" t="e">
        <f t="shared" ca="1" si="17"/>
        <v>#NAME?</v>
      </c>
      <c r="F210" s="5" t="e">
        <f t="shared" ca="1" si="18"/>
        <v>#NAME?</v>
      </c>
      <c r="G210" s="15" t="s">
        <v>436</v>
      </c>
      <c r="H210" s="15">
        <f>IF('Steel Angle Lintel Design'!$AM$16=1,0,IF('Steel Angle Lintel Design'!$AM$16=2,1,1))</f>
        <v>1</v>
      </c>
      <c r="I210" s="19">
        <v>28.49</v>
      </c>
      <c r="J210" s="15">
        <v>6</v>
      </c>
      <c r="K210" s="15">
        <v>4</v>
      </c>
      <c r="L210" s="15">
        <v>30.8</v>
      </c>
      <c r="M210" s="15">
        <v>13.6</v>
      </c>
      <c r="N210" s="15">
        <v>7.62</v>
      </c>
      <c r="O210" s="13">
        <v>18.84</v>
      </c>
      <c r="P210" s="15">
        <v>0</v>
      </c>
      <c r="Q210" s="15">
        <v>0</v>
      </c>
      <c r="R210" s="13">
        <v>0.4375</v>
      </c>
      <c r="S210" s="13">
        <v>2</v>
      </c>
      <c r="T210" s="13" t="str">
        <f>IF(S210=2,"Y",IF(J210/R210&lt;0.54*(SQRT(29000/'Steel Angle Lintel Design'!$H$31)),"Y","N"))</f>
        <v>Y</v>
      </c>
      <c r="U210" s="13" t="str">
        <f>IF(J210/R210&gt;0.91*(SQRT(29000/'Steel Angle Lintel Design'!$H$31)),"Y","N")</f>
        <v>N</v>
      </c>
      <c r="V210" s="13" t="s">
        <v>437</v>
      </c>
      <c r="W210" s="13"/>
      <c r="X210" s="13">
        <v>12.8</v>
      </c>
      <c r="Y210" s="13">
        <v>223</v>
      </c>
      <c r="Z210" s="13">
        <v>125</v>
      </c>
      <c r="AA210" s="13"/>
      <c r="AB210" s="13">
        <v>0</v>
      </c>
      <c r="AC210" s="13">
        <v>0</v>
      </c>
    </row>
    <row r="211" spans="1:29" s="8" customFormat="1" ht="15.75">
      <c r="A211" s="43" t="str">
        <f>IF(AND(H211=1,L211&gt;='Steel Angle Lintel Design'!$M$98,'AISC Angle Database'!N211&gt;='Steel Angle Lintel Design'!$M$96,'AISC Angle Database'!J211&gt;='Steel Angle Lintel Design'!$F$40,'AISC Angle Database'!J211&lt;='Steel Angle Lintel Design'!$F$41,'AISC Angle Database'!K211&gt;='Steel Angle Lintel Design'!$K$40,'AISC Angle Database'!K211&lt;='Steel Angle Lintel Design'!$K$41),1,"")</f>
        <v/>
      </c>
      <c r="B211" s="44">
        <f t="shared" si="15"/>
        <v>11</v>
      </c>
      <c r="C211" s="44">
        <f t="shared" si="16"/>
        <v>0</v>
      </c>
      <c r="D211" s="42" t="e">
        <f t="shared" ca="1" si="19"/>
        <v>#NAME?</v>
      </c>
      <c r="E211" s="44" t="e">
        <f t="shared" ca="1" si="17"/>
        <v>#NAME?</v>
      </c>
      <c r="F211" s="5" t="e">
        <f t="shared" ca="1" si="18"/>
        <v>#NAME?</v>
      </c>
      <c r="G211" s="15" t="s">
        <v>438</v>
      </c>
      <c r="H211" s="15">
        <f>IF('Steel Angle Lintel Design'!$AM$16=1,0,IF('Steel Angle Lintel Design'!$AM$16=2,1,1))</f>
        <v>1</v>
      </c>
      <c r="I211" s="19">
        <v>24.6</v>
      </c>
      <c r="J211" s="15">
        <v>6</v>
      </c>
      <c r="K211" s="15">
        <v>4</v>
      </c>
      <c r="L211" s="15">
        <v>26.8</v>
      </c>
      <c r="M211" s="15">
        <v>11.8</v>
      </c>
      <c r="N211" s="15">
        <v>6.59</v>
      </c>
      <c r="O211" s="13">
        <v>16.05</v>
      </c>
      <c r="P211" s="15">
        <v>0</v>
      </c>
      <c r="Q211" s="15">
        <v>0</v>
      </c>
      <c r="R211" s="13">
        <v>0.375</v>
      </c>
      <c r="S211" s="13">
        <v>2</v>
      </c>
      <c r="T211" s="13" t="str">
        <f>IF(S211=2,"Y",IF(J211/R211&lt;0.54*(SQRT(29000/'Steel Angle Lintel Design'!$H$31)),"Y","N"))</f>
        <v>Y</v>
      </c>
      <c r="U211" s="13" t="str">
        <f>IF(J211/R211&gt;0.91*(SQRT(29000/'Steel Angle Lintel Design'!$H$31)),"Y","N")</f>
        <v>N</v>
      </c>
      <c r="V211" s="13" t="s">
        <v>439</v>
      </c>
      <c r="W211" s="13"/>
      <c r="X211" s="13">
        <v>11.2</v>
      </c>
      <c r="Y211" s="13">
        <v>193</v>
      </c>
      <c r="Z211" s="13">
        <v>108</v>
      </c>
      <c r="AA211" s="13"/>
      <c r="AB211" s="13">
        <v>0</v>
      </c>
      <c r="AC211" s="13">
        <v>0</v>
      </c>
    </row>
    <row r="212" spans="1:29" s="8" customFormat="1" ht="15.75">
      <c r="A212" s="43" t="str">
        <f>IF(AND(H212=1,L212&gt;='Steel Angle Lintel Design'!$M$98,'AISC Angle Database'!N212&gt;='Steel Angle Lintel Design'!$M$96,'AISC Angle Database'!J212&gt;='Steel Angle Lintel Design'!$F$40,'AISC Angle Database'!J212&lt;='Steel Angle Lintel Design'!$F$41,'AISC Angle Database'!K212&gt;='Steel Angle Lintel Design'!$K$40,'AISC Angle Database'!K212&lt;='Steel Angle Lintel Design'!$K$41),1,"")</f>
        <v/>
      </c>
      <c r="B212" s="44">
        <f t="shared" si="15"/>
        <v>11</v>
      </c>
      <c r="C212" s="44">
        <f t="shared" si="16"/>
        <v>0</v>
      </c>
      <c r="D212" s="42" t="e">
        <f t="shared" ca="1" si="19"/>
        <v>#NAME?</v>
      </c>
      <c r="E212" s="44" t="e">
        <f t="shared" ca="1" si="17"/>
        <v>#NAME?</v>
      </c>
      <c r="F212" s="5" t="e">
        <f t="shared" ca="1" si="18"/>
        <v>#NAME?</v>
      </c>
      <c r="G212" s="15" t="s">
        <v>440</v>
      </c>
      <c r="H212" s="15">
        <f>IF('Steel Angle Lintel Design'!$AM$16=1,0,IF('Steel Angle Lintel Design'!$AM$16=2,1,1))</f>
        <v>1</v>
      </c>
      <c r="I212" s="19">
        <v>20.59</v>
      </c>
      <c r="J212" s="15">
        <v>6</v>
      </c>
      <c r="K212" s="15">
        <v>4</v>
      </c>
      <c r="L212" s="15">
        <v>22.7</v>
      </c>
      <c r="M212" s="15">
        <v>9.91</v>
      </c>
      <c r="N212" s="15">
        <v>5.55</v>
      </c>
      <c r="O212" s="13">
        <v>13.26</v>
      </c>
      <c r="P212" s="15">
        <v>0</v>
      </c>
      <c r="Q212" s="15">
        <v>0</v>
      </c>
      <c r="R212" s="13">
        <v>0.3125</v>
      </c>
      <c r="S212" s="13">
        <v>2</v>
      </c>
      <c r="T212" s="13" t="str">
        <f>IF(S212=2,"Y",IF(J212/R212&lt;0.54*(SQRT(29000/'Steel Angle Lintel Design'!$H$31)),"Y","N"))</f>
        <v>Y</v>
      </c>
      <c r="U212" s="13" t="str">
        <f>IF(J212/R212&gt;0.91*(SQRT(29000/'Steel Angle Lintel Design'!$H$31)),"Y","N")</f>
        <v>N</v>
      </c>
      <c r="V212" s="13" t="s">
        <v>441</v>
      </c>
      <c r="W212" s="13"/>
      <c r="X212" s="13">
        <v>9.4499999999999993</v>
      </c>
      <c r="Y212" s="13">
        <v>162</v>
      </c>
      <c r="Z212" s="13">
        <v>90.9</v>
      </c>
      <c r="AA212" s="13"/>
      <c r="AB212" s="13">
        <v>0</v>
      </c>
      <c r="AC212" s="13">
        <v>0</v>
      </c>
    </row>
    <row r="213" spans="1:29" s="8" customFormat="1" ht="15.75">
      <c r="A213" s="43" t="str">
        <f>IF(AND(H213=1,L213&gt;='Steel Angle Lintel Design'!$M$98,'AISC Angle Database'!N213&gt;='Steel Angle Lintel Design'!$M$96,'AISC Angle Database'!J213&gt;='Steel Angle Lintel Design'!$F$40,'AISC Angle Database'!J213&lt;='Steel Angle Lintel Design'!$F$41,'AISC Angle Database'!K213&gt;='Steel Angle Lintel Design'!$K$40,'AISC Angle Database'!K213&lt;='Steel Angle Lintel Design'!$K$41),1,"")</f>
        <v/>
      </c>
      <c r="B213" s="44">
        <f t="shared" si="15"/>
        <v>11</v>
      </c>
      <c r="C213" s="44">
        <f t="shared" si="16"/>
        <v>0</v>
      </c>
      <c r="D213" s="42" t="e">
        <f t="shared" ca="1" si="19"/>
        <v>#NAME?</v>
      </c>
      <c r="E213" s="44" t="e">
        <f t="shared" ca="1" si="17"/>
        <v>#NAME?</v>
      </c>
      <c r="F213" s="5" t="e">
        <f t="shared" ca="1" si="18"/>
        <v>#NAME?</v>
      </c>
      <c r="G213" s="15" t="s">
        <v>442</v>
      </c>
      <c r="H213" s="15">
        <f>IF('Steel Angle Lintel Design'!$AM$16=1,0,IF('Steel Angle Lintel Design'!$AM$16=2,1,1))</f>
        <v>1</v>
      </c>
      <c r="I213" s="19">
        <v>30.7</v>
      </c>
      <c r="J213" s="15">
        <v>6</v>
      </c>
      <c r="K213" s="15">
        <v>3.5</v>
      </c>
      <c r="L213" s="15">
        <v>33.200000000000003</v>
      </c>
      <c r="M213" s="15">
        <v>15</v>
      </c>
      <c r="N213" s="15">
        <v>8.4499999999999993</v>
      </c>
      <c r="O213" s="13">
        <v>14.55</v>
      </c>
      <c r="P213" s="15">
        <v>0</v>
      </c>
      <c r="Q213" s="15">
        <v>0</v>
      </c>
      <c r="R213" s="13">
        <v>0.5</v>
      </c>
      <c r="S213" s="13">
        <v>2</v>
      </c>
      <c r="T213" s="13" t="str">
        <f>IF(S213=2,"Y",IF(J213/R213&lt;0.54*(SQRT(29000/'Steel Angle Lintel Design'!$H$31)),"Y","N"))</f>
        <v>Y</v>
      </c>
      <c r="U213" s="13" t="str">
        <f>IF(J213/R213&gt;0.91*(SQRT(29000/'Steel Angle Lintel Design'!$H$31)),"Y","N")</f>
        <v>N</v>
      </c>
      <c r="V213" s="13" t="s">
        <v>443</v>
      </c>
      <c r="W213" s="13"/>
      <c r="X213" s="13">
        <v>13.8</v>
      </c>
      <c r="Y213" s="13">
        <v>246</v>
      </c>
      <c r="Z213" s="13">
        <v>138</v>
      </c>
      <c r="AA213" s="13"/>
      <c r="AB213" s="13">
        <v>0</v>
      </c>
      <c r="AC213" s="13">
        <v>0</v>
      </c>
    </row>
    <row r="214" spans="1:29" s="8" customFormat="1" ht="15.75">
      <c r="A214" s="43" t="str">
        <f>IF(AND(H214=1,L214&gt;='Steel Angle Lintel Design'!$M$98,'AISC Angle Database'!N214&gt;='Steel Angle Lintel Design'!$M$96,'AISC Angle Database'!J214&gt;='Steel Angle Lintel Design'!$F$40,'AISC Angle Database'!J214&lt;='Steel Angle Lintel Design'!$F$41,'AISC Angle Database'!K214&gt;='Steel Angle Lintel Design'!$K$40,'AISC Angle Database'!K214&lt;='Steel Angle Lintel Design'!$K$41),1,"")</f>
        <v/>
      </c>
      <c r="B214" s="44">
        <f t="shared" si="15"/>
        <v>11</v>
      </c>
      <c r="C214" s="44">
        <f t="shared" si="16"/>
        <v>0</v>
      </c>
      <c r="D214" s="42" t="e">
        <f t="shared" ca="1" si="19"/>
        <v>#NAME?</v>
      </c>
      <c r="E214" s="44" t="e">
        <f t="shared" ca="1" si="17"/>
        <v>#NAME?</v>
      </c>
      <c r="F214" s="5" t="e">
        <f t="shared" ca="1" si="18"/>
        <v>#NAME?</v>
      </c>
      <c r="G214" s="15" t="s">
        <v>444</v>
      </c>
      <c r="H214" s="15">
        <f>IF('Steel Angle Lintel Design'!$AM$16=1,0,IF('Steel Angle Lintel Design'!$AM$16=2,1,1))</f>
        <v>1</v>
      </c>
      <c r="I214" s="19">
        <v>23.4</v>
      </c>
      <c r="J214" s="15">
        <v>6</v>
      </c>
      <c r="K214" s="15">
        <v>3.5</v>
      </c>
      <c r="L214" s="15">
        <v>25.7</v>
      </c>
      <c r="M214" s="15">
        <v>11.5</v>
      </c>
      <c r="N214" s="15">
        <v>6.47</v>
      </c>
      <c r="O214" s="13">
        <v>10.92</v>
      </c>
      <c r="P214" s="15">
        <v>0</v>
      </c>
      <c r="Q214" s="15">
        <v>0</v>
      </c>
      <c r="R214" s="13">
        <v>0.375</v>
      </c>
      <c r="S214" s="13">
        <v>2</v>
      </c>
      <c r="T214" s="13" t="str">
        <f>IF(S214=2,"Y",IF(J214/R214&lt;0.54*(SQRT(29000/'Steel Angle Lintel Design'!$H$31)),"Y","N"))</f>
        <v>Y</v>
      </c>
      <c r="U214" s="13" t="str">
        <f>IF(J214/R214&gt;0.91*(SQRT(29000/'Steel Angle Lintel Design'!$H$31)),"Y","N")</f>
        <v>N</v>
      </c>
      <c r="V214" s="13" t="s">
        <v>445</v>
      </c>
      <c r="W214" s="13"/>
      <c r="X214" s="13">
        <v>10.7</v>
      </c>
      <c r="Y214" s="13">
        <v>188</v>
      </c>
      <c r="Z214" s="13">
        <v>106</v>
      </c>
      <c r="AA214" s="13"/>
      <c r="AB214" s="13">
        <v>0</v>
      </c>
      <c r="AC214" s="13">
        <v>0</v>
      </c>
    </row>
    <row r="215" spans="1:29" s="8" customFormat="1" ht="15.75">
      <c r="A215" s="43" t="str">
        <f>IF(AND(H215=1,L215&gt;='Steel Angle Lintel Design'!$M$98,'AISC Angle Database'!N215&gt;='Steel Angle Lintel Design'!$M$96,'AISC Angle Database'!J215&gt;='Steel Angle Lintel Design'!$F$40,'AISC Angle Database'!J215&lt;='Steel Angle Lintel Design'!$F$41,'AISC Angle Database'!K215&gt;='Steel Angle Lintel Design'!$K$40,'AISC Angle Database'!K215&lt;='Steel Angle Lintel Design'!$K$41),1,"")</f>
        <v/>
      </c>
      <c r="B215" s="44">
        <f t="shared" si="15"/>
        <v>11</v>
      </c>
      <c r="C215" s="44">
        <f t="shared" si="16"/>
        <v>0</v>
      </c>
      <c r="D215" s="42" t="e">
        <f t="shared" ca="1" si="19"/>
        <v>#NAME?</v>
      </c>
      <c r="E215" s="44" t="e">
        <f t="shared" ca="1" si="17"/>
        <v>#NAME?</v>
      </c>
      <c r="F215" s="5" t="e">
        <f t="shared" ca="1" si="18"/>
        <v>#NAME?</v>
      </c>
      <c r="G215" s="15" t="s">
        <v>446</v>
      </c>
      <c r="H215" s="15">
        <f>IF('Steel Angle Lintel Design'!$AM$16=1,0,IF('Steel Angle Lintel Design'!$AM$16=2,1,1))</f>
        <v>1</v>
      </c>
      <c r="I215" s="19">
        <v>19.71</v>
      </c>
      <c r="J215" s="15">
        <v>6</v>
      </c>
      <c r="K215" s="15">
        <v>3.5</v>
      </c>
      <c r="L215" s="15">
        <v>21.8</v>
      </c>
      <c r="M215" s="15">
        <v>9.68</v>
      </c>
      <c r="N215" s="15">
        <v>5.45</v>
      </c>
      <c r="O215" s="13">
        <v>9.0500000000000007</v>
      </c>
      <c r="P215" s="15">
        <v>0</v>
      </c>
      <c r="Q215" s="15">
        <v>0</v>
      </c>
      <c r="R215" s="13">
        <v>0.3125</v>
      </c>
      <c r="S215" s="13">
        <v>2</v>
      </c>
      <c r="T215" s="13" t="str">
        <f>IF(S215=2,"Y",IF(J215/R215&lt;0.54*(SQRT(29000/'Steel Angle Lintel Design'!$H$31)),"Y","N"))</f>
        <v>Y</v>
      </c>
      <c r="U215" s="13" t="str">
        <f>IF(J215/R215&gt;0.91*(SQRT(29000/'Steel Angle Lintel Design'!$H$31)),"Y","N")</f>
        <v>N</v>
      </c>
      <c r="V215" s="13" t="s">
        <v>447</v>
      </c>
      <c r="W215" s="13"/>
      <c r="X215" s="13">
        <v>9.07</v>
      </c>
      <c r="Y215" s="13">
        <v>159</v>
      </c>
      <c r="Z215" s="13">
        <v>89.3</v>
      </c>
      <c r="AA215" s="13"/>
      <c r="AB215" s="13">
        <v>0</v>
      </c>
      <c r="AC215" s="13">
        <v>0</v>
      </c>
    </row>
    <row r="216" spans="1:29" s="8" customFormat="1" ht="15.75">
      <c r="A216" s="43" t="str">
        <f>IF(AND(H216=1,L216&gt;='Steel Angle Lintel Design'!$M$98,'AISC Angle Database'!N216&gt;='Steel Angle Lintel Design'!$M$96,'AISC Angle Database'!J216&gt;='Steel Angle Lintel Design'!$F$40,'AISC Angle Database'!J216&lt;='Steel Angle Lintel Design'!$F$41,'AISC Angle Database'!K216&gt;='Steel Angle Lintel Design'!$K$40,'AISC Angle Database'!K216&lt;='Steel Angle Lintel Design'!$K$41),1,"")</f>
        <v/>
      </c>
      <c r="B216" s="44">
        <f t="shared" si="15"/>
        <v>11</v>
      </c>
      <c r="C216" s="44">
        <f t="shared" si="16"/>
        <v>0</v>
      </c>
      <c r="D216" s="42" t="e">
        <f t="shared" ca="1" si="19"/>
        <v>#NAME?</v>
      </c>
      <c r="E216" s="44" t="e">
        <f t="shared" ca="1" si="17"/>
        <v>#NAME?</v>
      </c>
      <c r="F216" s="5" t="e">
        <f t="shared" ca="1" si="18"/>
        <v>#NAME?</v>
      </c>
      <c r="G216" s="15" t="s">
        <v>448</v>
      </c>
      <c r="H216" s="15">
        <f>IF('Steel Angle Lintel Design'!$AM$16=1,0,IF('Steel Angle Lintel Design'!$AM$16=2,1,1))</f>
        <v>1</v>
      </c>
      <c r="I216" s="19">
        <v>39.61</v>
      </c>
      <c r="J216" s="15">
        <v>5</v>
      </c>
      <c r="K216" s="15">
        <v>3.5</v>
      </c>
      <c r="L216" s="15">
        <v>27.8</v>
      </c>
      <c r="M216" s="15">
        <v>15.2</v>
      </c>
      <c r="N216" s="15">
        <v>8.52</v>
      </c>
      <c r="O216" s="13">
        <v>22.48</v>
      </c>
      <c r="P216" s="15">
        <v>0</v>
      </c>
      <c r="Q216" s="15">
        <v>0</v>
      </c>
      <c r="R216" s="13">
        <v>0.75</v>
      </c>
      <c r="S216" s="13">
        <v>2</v>
      </c>
      <c r="T216" s="13" t="str">
        <f>IF(S216=2,"Y",IF(J216/R216&lt;0.54*(SQRT(29000/'Steel Angle Lintel Design'!$H$31)),"Y","N"))</f>
        <v>Y</v>
      </c>
      <c r="U216" s="13" t="str">
        <f>IF(J216/R216&gt;0.91*(SQRT(29000/'Steel Angle Lintel Design'!$H$31)),"Y","N")</f>
        <v>N</v>
      </c>
      <c r="V216" s="13" t="s">
        <v>449</v>
      </c>
      <c r="W216" s="13"/>
      <c r="X216" s="13">
        <v>11.6</v>
      </c>
      <c r="Y216" s="13">
        <v>249</v>
      </c>
      <c r="Z216" s="13">
        <v>140</v>
      </c>
      <c r="AA216" s="13"/>
      <c r="AB216" s="13">
        <v>0</v>
      </c>
      <c r="AC216" s="13">
        <v>0</v>
      </c>
    </row>
    <row r="217" spans="1:29" s="8" customFormat="1" ht="15.75">
      <c r="A217" s="43" t="str">
        <f>IF(AND(H217=1,L217&gt;='Steel Angle Lintel Design'!$M$98,'AISC Angle Database'!N217&gt;='Steel Angle Lintel Design'!$M$96,'AISC Angle Database'!J217&gt;='Steel Angle Lintel Design'!$F$40,'AISC Angle Database'!J217&lt;='Steel Angle Lintel Design'!$F$41,'AISC Angle Database'!K217&gt;='Steel Angle Lintel Design'!$K$40,'AISC Angle Database'!K217&lt;='Steel Angle Lintel Design'!$K$41),1,"")</f>
        <v/>
      </c>
      <c r="B217" s="44">
        <f t="shared" si="15"/>
        <v>11</v>
      </c>
      <c r="C217" s="44">
        <f t="shared" si="16"/>
        <v>0</v>
      </c>
      <c r="D217" s="42" t="e">
        <f t="shared" ca="1" si="19"/>
        <v>#NAME?</v>
      </c>
      <c r="E217" s="44" t="e">
        <f t="shared" ca="1" si="17"/>
        <v>#NAME?</v>
      </c>
      <c r="F217" s="5" t="e">
        <f t="shared" ca="1" si="18"/>
        <v>#NAME?</v>
      </c>
      <c r="G217" s="15" t="s">
        <v>450</v>
      </c>
      <c r="H217" s="15">
        <f>IF('Steel Angle Lintel Design'!$AM$16=1,0,IF('Steel Angle Lintel Design'!$AM$16=2,1,1))</f>
        <v>1</v>
      </c>
      <c r="I217" s="19">
        <v>33.5</v>
      </c>
      <c r="J217" s="15">
        <v>5</v>
      </c>
      <c r="K217" s="15">
        <v>3.5</v>
      </c>
      <c r="L217" s="15">
        <v>24</v>
      </c>
      <c r="M217" s="15">
        <v>13</v>
      </c>
      <c r="N217" s="15">
        <v>7.26</v>
      </c>
      <c r="O217" s="13">
        <v>18.48</v>
      </c>
      <c r="P217" s="15">
        <v>0</v>
      </c>
      <c r="Q217" s="15">
        <v>0</v>
      </c>
      <c r="R217" s="13">
        <v>0.625</v>
      </c>
      <c r="S217" s="13">
        <v>2</v>
      </c>
      <c r="T217" s="13" t="str">
        <f>IF(S217=2,"Y",IF(J217/R217&lt;0.54*(SQRT(29000/'Steel Angle Lintel Design'!$H$31)),"Y","N"))</f>
        <v>Y</v>
      </c>
      <c r="U217" s="13" t="str">
        <f>IF(J217/R217&gt;0.91*(SQRT(29000/'Steel Angle Lintel Design'!$H$31)),"Y","N")</f>
        <v>N</v>
      </c>
      <c r="V217" s="13" t="s">
        <v>451</v>
      </c>
      <c r="W217" s="13"/>
      <c r="X217" s="13">
        <v>10</v>
      </c>
      <c r="Y217" s="13">
        <v>213</v>
      </c>
      <c r="Z217" s="13">
        <v>119</v>
      </c>
      <c r="AA217" s="13"/>
      <c r="AB217" s="13">
        <v>0</v>
      </c>
      <c r="AC217" s="13">
        <v>0</v>
      </c>
    </row>
    <row r="218" spans="1:29" s="8" customFormat="1" ht="15.75">
      <c r="A218" s="43" t="str">
        <f>IF(AND(H218=1,L218&gt;='Steel Angle Lintel Design'!$M$98,'AISC Angle Database'!N218&gt;='Steel Angle Lintel Design'!$M$96,'AISC Angle Database'!J218&gt;='Steel Angle Lintel Design'!$F$40,'AISC Angle Database'!J218&lt;='Steel Angle Lintel Design'!$F$41,'AISC Angle Database'!K218&gt;='Steel Angle Lintel Design'!$K$40,'AISC Angle Database'!K218&lt;='Steel Angle Lintel Design'!$K$41),1,"")</f>
        <v/>
      </c>
      <c r="B218" s="44">
        <f t="shared" si="15"/>
        <v>11</v>
      </c>
      <c r="C218" s="44">
        <f t="shared" si="16"/>
        <v>0</v>
      </c>
      <c r="D218" s="42" t="e">
        <f t="shared" ca="1" si="19"/>
        <v>#NAME?</v>
      </c>
      <c r="E218" s="44" t="e">
        <f t="shared" ca="1" si="17"/>
        <v>#NAME?</v>
      </c>
      <c r="F218" s="5" t="e">
        <f t="shared" ca="1" si="18"/>
        <v>#NAME?</v>
      </c>
      <c r="G218" s="15" t="s">
        <v>452</v>
      </c>
      <c r="H218" s="15">
        <f>IF('Steel Angle Lintel Design'!$AM$16=1,0,IF('Steel Angle Lintel Design'!$AM$16=2,1,1))</f>
        <v>1</v>
      </c>
      <c r="I218" s="19">
        <v>27.22</v>
      </c>
      <c r="J218" s="15">
        <v>5</v>
      </c>
      <c r="K218" s="15">
        <v>3.5</v>
      </c>
      <c r="L218" s="15">
        <v>19.899999999999999</v>
      </c>
      <c r="M218" s="15">
        <v>10.7</v>
      </c>
      <c r="N218" s="15">
        <v>5.94</v>
      </c>
      <c r="O218" s="13">
        <v>14.57</v>
      </c>
      <c r="P218" s="15">
        <v>0</v>
      </c>
      <c r="Q218" s="15">
        <v>0</v>
      </c>
      <c r="R218" s="13">
        <v>0.5</v>
      </c>
      <c r="S218" s="13">
        <v>2</v>
      </c>
      <c r="T218" s="13" t="str">
        <f>IF(S218=2,"Y",IF(J218/R218&lt;0.54*(SQRT(29000/'Steel Angle Lintel Design'!$H$31)),"Y","N"))</f>
        <v>Y</v>
      </c>
      <c r="U218" s="13" t="str">
        <f>IF(J218/R218&gt;0.91*(SQRT(29000/'Steel Angle Lintel Design'!$H$31)),"Y","N")</f>
        <v>N</v>
      </c>
      <c r="V218" s="13" t="s">
        <v>453</v>
      </c>
      <c r="W218" s="13"/>
      <c r="X218" s="13">
        <v>8.2799999999999994</v>
      </c>
      <c r="Y218" s="13">
        <v>175</v>
      </c>
      <c r="Z218" s="13">
        <v>97.3</v>
      </c>
      <c r="AA218" s="13"/>
      <c r="AB218" s="13">
        <v>0</v>
      </c>
      <c r="AC218" s="13">
        <v>0</v>
      </c>
    </row>
    <row r="219" spans="1:29" s="8" customFormat="1" ht="15.75">
      <c r="A219" s="43" t="str">
        <f>IF(AND(H219=1,L219&gt;='Steel Angle Lintel Design'!$M$98,'AISC Angle Database'!N219&gt;='Steel Angle Lintel Design'!$M$96,'AISC Angle Database'!J219&gt;='Steel Angle Lintel Design'!$F$40,'AISC Angle Database'!J219&lt;='Steel Angle Lintel Design'!$F$41,'AISC Angle Database'!K219&gt;='Steel Angle Lintel Design'!$K$40,'AISC Angle Database'!K219&lt;='Steel Angle Lintel Design'!$K$41),1,"")</f>
        <v/>
      </c>
      <c r="B219" s="44">
        <f t="shared" si="15"/>
        <v>11</v>
      </c>
      <c r="C219" s="44">
        <f t="shared" si="16"/>
        <v>0</v>
      </c>
      <c r="D219" s="42" t="e">
        <f t="shared" ca="1" si="19"/>
        <v>#NAME?</v>
      </c>
      <c r="E219" s="44" t="e">
        <f t="shared" ca="1" si="17"/>
        <v>#NAME?</v>
      </c>
      <c r="F219" s="5" t="e">
        <f t="shared" ca="1" si="18"/>
        <v>#NAME?</v>
      </c>
      <c r="G219" s="15" t="s">
        <v>454</v>
      </c>
      <c r="H219" s="15">
        <f>IF('Steel Angle Lintel Design'!$AM$16=1,0,IF('Steel Angle Lintel Design'!$AM$16=2,1,1))</f>
        <v>1</v>
      </c>
      <c r="I219" s="19">
        <v>20.8</v>
      </c>
      <c r="J219" s="15">
        <v>5</v>
      </c>
      <c r="K219" s="15">
        <v>3.5</v>
      </c>
      <c r="L219" s="15">
        <v>15.5</v>
      </c>
      <c r="M219" s="15">
        <v>8.18</v>
      </c>
      <c r="N219" s="15">
        <v>4.5599999999999996</v>
      </c>
      <c r="O219" s="13">
        <v>10.81</v>
      </c>
      <c r="P219" s="15">
        <v>0</v>
      </c>
      <c r="Q219" s="15">
        <v>0</v>
      </c>
      <c r="R219" s="13">
        <v>0.375</v>
      </c>
      <c r="S219" s="13">
        <v>2</v>
      </c>
      <c r="T219" s="13" t="str">
        <f>IF(S219=2,"Y",IF(J219/R219&lt;0.54*(SQRT(29000/'Steel Angle Lintel Design'!$H$31)),"Y","N"))</f>
        <v>Y</v>
      </c>
      <c r="U219" s="13" t="str">
        <f>IF(J219/R219&gt;0.91*(SQRT(29000/'Steel Angle Lintel Design'!$H$31)),"Y","N")</f>
        <v>N</v>
      </c>
      <c r="V219" s="13" t="s">
        <v>455</v>
      </c>
      <c r="W219" s="13"/>
      <c r="X219" s="13">
        <v>6.45</v>
      </c>
      <c r="Y219" s="13">
        <v>134</v>
      </c>
      <c r="Z219" s="13">
        <v>74.7</v>
      </c>
      <c r="AA219" s="13"/>
      <c r="AB219" s="13">
        <v>0</v>
      </c>
      <c r="AC219" s="13">
        <v>0</v>
      </c>
    </row>
    <row r="220" spans="1:29" s="8" customFormat="1" ht="15.75">
      <c r="A220" s="43" t="str">
        <f>IF(AND(H220=1,L220&gt;='Steel Angle Lintel Design'!$M$98,'AISC Angle Database'!N220&gt;='Steel Angle Lintel Design'!$M$96,'AISC Angle Database'!J220&gt;='Steel Angle Lintel Design'!$F$40,'AISC Angle Database'!J220&lt;='Steel Angle Lintel Design'!$F$41,'AISC Angle Database'!K220&gt;='Steel Angle Lintel Design'!$K$40,'AISC Angle Database'!K220&lt;='Steel Angle Lintel Design'!$K$41),1,"")</f>
        <v/>
      </c>
      <c r="B220" s="44">
        <f t="shared" si="15"/>
        <v>11</v>
      </c>
      <c r="C220" s="44">
        <f t="shared" si="16"/>
        <v>0</v>
      </c>
      <c r="D220" s="42" t="e">
        <f t="shared" ca="1" si="19"/>
        <v>#NAME?</v>
      </c>
      <c r="E220" s="44" t="e">
        <f t="shared" ca="1" si="17"/>
        <v>#NAME?</v>
      </c>
      <c r="F220" s="5" t="e">
        <f t="shared" ca="1" si="18"/>
        <v>#NAME?</v>
      </c>
      <c r="G220" s="15" t="s">
        <v>456</v>
      </c>
      <c r="H220" s="15">
        <f>IF('Steel Angle Lintel Design'!$AM$16=1,0,IF('Steel Angle Lintel Design'!$AM$16=2,1,1))</f>
        <v>1</v>
      </c>
      <c r="I220" s="19">
        <v>17.39</v>
      </c>
      <c r="J220" s="15">
        <v>5</v>
      </c>
      <c r="K220" s="15">
        <v>3.5</v>
      </c>
      <c r="L220" s="15">
        <v>13.2</v>
      </c>
      <c r="M220" s="15">
        <v>6.89</v>
      </c>
      <c r="N220" s="15">
        <v>3.84</v>
      </c>
      <c r="O220" s="13">
        <v>8.91</v>
      </c>
      <c r="P220" s="15">
        <v>0</v>
      </c>
      <c r="Q220" s="15">
        <v>0</v>
      </c>
      <c r="R220" s="13">
        <v>0.3125</v>
      </c>
      <c r="S220" s="13">
        <v>2</v>
      </c>
      <c r="T220" s="13" t="str">
        <f>IF(S220=2,"Y",IF(J220/R220&lt;0.54*(SQRT(29000/'Steel Angle Lintel Design'!$H$31)),"Y","N"))</f>
        <v>Y</v>
      </c>
      <c r="U220" s="13" t="str">
        <f>IF(J220/R220&gt;0.91*(SQRT(29000/'Steel Angle Lintel Design'!$H$31)),"Y","N")</f>
        <v>N</v>
      </c>
      <c r="V220" s="13" t="s">
        <v>457</v>
      </c>
      <c r="W220" s="13"/>
      <c r="X220" s="13">
        <v>5.49</v>
      </c>
      <c r="Y220" s="13">
        <v>113</v>
      </c>
      <c r="Z220" s="13">
        <v>62.9</v>
      </c>
      <c r="AA220" s="13"/>
      <c r="AB220" s="13">
        <v>0</v>
      </c>
      <c r="AC220" s="13">
        <v>0</v>
      </c>
    </row>
    <row r="221" spans="1:29" s="8" customFormat="1" ht="15.75">
      <c r="A221" s="43" t="str">
        <f>IF(AND(H221=1,L221&gt;='Steel Angle Lintel Design'!$M$98,'AISC Angle Database'!N221&gt;='Steel Angle Lintel Design'!$M$96,'AISC Angle Database'!J221&gt;='Steel Angle Lintel Design'!$F$40,'AISC Angle Database'!J221&lt;='Steel Angle Lintel Design'!$F$41,'AISC Angle Database'!K221&gt;='Steel Angle Lintel Design'!$K$40,'AISC Angle Database'!K221&lt;='Steel Angle Lintel Design'!$K$41),1,"")</f>
        <v/>
      </c>
      <c r="B221" s="44">
        <f t="shared" si="15"/>
        <v>11</v>
      </c>
      <c r="C221" s="44">
        <f t="shared" si="16"/>
        <v>0</v>
      </c>
      <c r="D221" s="42" t="e">
        <f t="shared" ca="1" si="19"/>
        <v>#NAME?</v>
      </c>
      <c r="E221" s="44" t="e">
        <f t="shared" ca="1" si="17"/>
        <v>#NAME?</v>
      </c>
      <c r="F221" s="5" t="e">
        <f t="shared" ca="1" si="18"/>
        <v>#NAME?</v>
      </c>
      <c r="G221" s="15" t="s">
        <v>458</v>
      </c>
      <c r="H221" s="15">
        <f>IF('Steel Angle Lintel Design'!$AM$16=1,0,IF('Steel Angle Lintel Design'!$AM$16=2,1,1))</f>
        <v>1</v>
      </c>
      <c r="I221" s="19">
        <v>14.1</v>
      </c>
      <c r="J221" s="15">
        <v>5</v>
      </c>
      <c r="K221" s="15">
        <v>3.5</v>
      </c>
      <c r="L221" s="15">
        <v>10.7</v>
      </c>
      <c r="M221" s="15">
        <v>5.57</v>
      </c>
      <c r="N221" s="15">
        <v>3.1</v>
      </c>
      <c r="O221" s="13">
        <v>7.11</v>
      </c>
      <c r="P221" s="15">
        <v>0</v>
      </c>
      <c r="Q221" s="15">
        <v>0</v>
      </c>
      <c r="R221" s="13">
        <v>0.25</v>
      </c>
      <c r="S221" s="13">
        <v>2</v>
      </c>
      <c r="T221" s="13" t="str">
        <f>IF(S221=2,"Y",IF(J221/R221&lt;0.54*(SQRT(29000/'Steel Angle Lintel Design'!$H$31)),"Y","N"))</f>
        <v>Y</v>
      </c>
      <c r="U221" s="13" t="str">
        <f>IF(J221/R221&gt;0.91*(SQRT(29000/'Steel Angle Lintel Design'!$H$31)),"Y","N")</f>
        <v>N</v>
      </c>
      <c r="V221" s="13" t="s">
        <v>459</v>
      </c>
      <c r="W221" s="13"/>
      <c r="X221" s="13">
        <v>4.45</v>
      </c>
      <c r="Y221" s="13">
        <v>91.3</v>
      </c>
      <c r="Z221" s="13">
        <v>50.8</v>
      </c>
      <c r="AA221" s="13"/>
      <c r="AB221" s="13">
        <v>0</v>
      </c>
      <c r="AC221" s="13">
        <v>0</v>
      </c>
    </row>
    <row r="222" spans="1:29" s="8" customFormat="1" ht="15.75">
      <c r="A222" s="43" t="str">
        <f>IF(AND(H222=1,L222&gt;='Steel Angle Lintel Design'!$M$98,'AISC Angle Database'!N222&gt;='Steel Angle Lintel Design'!$M$96,'AISC Angle Database'!J222&gt;='Steel Angle Lintel Design'!$F$40,'AISC Angle Database'!J222&lt;='Steel Angle Lintel Design'!$F$41,'AISC Angle Database'!K222&gt;='Steel Angle Lintel Design'!$K$40,'AISC Angle Database'!K222&lt;='Steel Angle Lintel Design'!$K$41),1,"")</f>
        <v/>
      </c>
      <c r="B222" s="44">
        <f t="shared" si="15"/>
        <v>11</v>
      </c>
      <c r="C222" s="44">
        <f t="shared" si="16"/>
        <v>0</v>
      </c>
      <c r="D222" s="42" t="e">
        <f t="shared" ca="1" si="19"/>
        <v>#NAME?</v>
      </c>
      <c r="E222" s="44" t="e">
        <f t="shared" ca="1" si="17"/>
        <v>#NAME?</v>
      </c>
      <c r="F222" s="5" t="e">
        <f t="shared" ca="1" si="18"/>
        <v>#NAME?</v>
      </c>
      <c r="G222" s="15" t="s">
        <v>460</v>
      </c>
      <c r="H222" s="15">
        <f>IF('Steel Angle Lintel Design'!$AM$16=1,0,IF('Steel Angle Lintel Design'!$AM$16=2,1,1))</f>
        <v>1</v>
      </c>
      <c r="I222" s="19">
        <v>25.5</v>
      </c>
      <c r="J222" s="15">
        <v>5</v>
      </c>
      <c r="K222" s="15">
        <v>3.5</v>
      </c>
      <c r="L222" s="15">
        <v>18.899999999999999</v>
      </c>
      <c r="M222" s="15">
        <v>10.199999999999999</v>
      </c>
      <c r="N222" s="15">
        <v>5.79</v>
      </c>
      <c r="O222" s="13">
        <v>9.23</v>
      </c>
      <c r="P222" s="15">
        <v>0</v>
      </c>
      <c r="Q222" s="15">
        <v>0</v>
      </c>
      <c r="R222" s="13">
        <v>0.5</v>
      </c>
      <c r="S222" s="13">
        <v>2</v>
      </c>
      <c r="T222" s="13" t="str">
        <f>IF(S222=2,"Y",IF(J222/R222&lt;0.54*(SQRT(29000/'Steel Angle Lintel Design'!$H$31)),"Y","N"))</f>
        <v>Y</v>
      </c>
      <c r="U222" s="13" t="str">
        <f>IF(J222/R222&gt;0.91*(SQRT(29000/'Steel Angle Lintel Design'!$H$31)),"Y","N")</f>
        <v>N</v>
      </c>
      <c r="V222" s="13" t="s">
        <v>461</v>
      </c>
      <c r="W222" s="13"/>
      <c r="X222" s="13">
        <v>7.87</v>
      </c>
      <c r="Y222" s="13">
        <v>167</v>
      </c>
      <c r="Z222" s="13">
        <v>94.9</v>
      </c>
      <c r="AA222" s="13"/>
      <c r="AB222" s="13">
        <v>0</v>
      </c>
      <c r="AC222" s="13">
        <v>0</v>
      </c>
    </row>
    <row r="223" spans="1:29" s="8" customFormat="1" ht="15.75">
      <c r="A223" s="43" t="str">
        <f>IF(AND(H223=1,L223&gt;='Steel Angle Lintel Design'!$M$98,'AISC Angle Database'!N223&gt;='Steel Angle Lintel Design'!$M$96,'AISC Angle Database'!J223&gt;='Steel Angle Lintel Design'!$F$40,'AISC Angle Database'!J223&lt;='Steel Angle Lintel Design'!$F$41,'AISC Angle Database'!K223&gt;='Steel Angle Lintel Design'!$K$40,'AISC Angle Database'!K223&lt;='Steel Angle Lintel Design'!$K$41),1,"")</f>
        <v/>
      </c>
      <c r="B223" s="44">
        <f t="shared" si="15"/>
        <v>11</v>
      </c>
      <c r="C223" s="44">
        <f t="shared" si="16"/>
        <v>0</v>
      </c>
      <c r="D223" s="42" t="e">
        <f t="shared" ca="1" si="19"/>
        <v>#NAME?</v>
      </c>
      <c r="E223" s="44" t="e">
        <f t="shared" ca="1" si="17"/>
        <v>#NAME?</v>
      </c>
      <c r="F223" s="5" t="e">
        <f t="shared" ca="1" si="18"/>
        <v>#NAME?</v>
      </c>
      <c r="G223" s="15" t="s">
        <v>462</v>
      </c>
      <c r="H223" s="15">
        <f>IF('Steel Angle Lintel Design'!$AM$16=1,0,IF('Steel Angle Lintel Design'!$AM$16=2,1,1))</f>
        <v>1</v>
      </c>
      <c r="I223" s="19">
        <v>22.49</v>
      </c>
      <c r="J223" s="15">
        <v>5</v>
      </c>
      <c r="K223" s="15">
        <v>3</v>
      </c>
      <c r="L223" s="15">
        <v>16.8</v>
      </c>
      <c r="M223" s="15">
        <v>9.07</v>
      </c>
      <c r="N223" s="15">
        <v>5.12</v>
      </c>
      <c r="O223" s="13">
        <v>8</v>
      </c>
      <c r="P223" s="15">
        <v>0</v>
      </c>
      <c r="Q223" s="15">
        <v>0</v>
      </c>
      <c r="R223" s="13">
        <v>0.4375</v>
      </c>
      <c r="S223" s="13">
        <v>2</v>
      </c>
      <c r="T223" s="13" t="str">
        <f>IF(S223=2,"Y",IF(J223/R223&lt;0.54*(SQRT(29000/'Steel Angle Lintel Design'!$H$31)),"Y","N"))</f>
        <v>Y</v>
      </c>
      <c r="U223" s="13" t="str">
        <f>IF(J223/R223&gt;0.91*(SQRT(29000/'Steel Angle Lintel Design'!$H$31)),"Y","N")</f>
        <v>N</v>
      </c>
      <c r="V223" s="13" t="s">
        <v>463</v>
      </c>
      <c r="W223" s="13"/>
      <c r="X223" s="13">
        <v>6.99</v>
      </c>
      <c r="Y223" s="13">
        <v>149</v>
      </c>
      <c r="Z223" s="13">
        <v>83.9</v>
      </c>
      <c r="AA223" s="13"/>
      <c r="AB223" s="13">
        <v>0</v>
      </c>
      <c r="AC223" s="13">
        <v>0</v>
      </c>
    </row>
    <row r="224" spans="1:29" s="8" customFormat="1" ht="15.75">
      <c r="A224" s="43" t="str">
        <f>IF(AND(H224=1,L224&gt;='Steel Angle Lintel Design'!$M$98,'AISC Angle Database'!N224&gt;='Steel Angle Lintel Design'!$M$96,'AISC Angle Database'!J224&gt;='Steel Angle Lintel Design'!$F$40,'AISC Angle Database'!J224&lt;='Steel Angle Lintel Design'!$F$41,'AISC Angle Database'!K224&gt;='Steel Angle Lintel Design'!$K$40,'AISC Angle Database'!K224&lt;='Steel Angle Lintel Design'!$K$41),1,"")</f>
        <v/>
      </c>
      <c r="B224" s="44">
        <f t="shared" si="15"/>
        <v>11</v>
      </c>
      <c r="C224" s="44">
        <f t="shared" si="16"/>
        <v>0</v>
      </c>
      <c r="D224" s="42" t="e">
        <f t="shared" ca="1" si="19"/>
        <v>#NAME?</v>
      </c>
      <c r="E224" s="44" t="e">
        <f t="shared" ca="1" si="17"/>
        <v>#NAME?</v>
      </c>
      <c r="F224" s="5" t="e">
        <f t="shared" ca="1" si="18"/>
        <v>#NAME?</v>
      </c>
      <c r="G224" s="15" t="s">
        <v>464</v>
      </c>
      <c r="H224" s="15">
        <f>IF('Steel Angle Lintel Design'!$AM$16=1,0,IF('Steel Angle Lintel Design'!$AM$16=2,1,1))</f>
        <v>1</v>
      </c>
      <c r="I224" s="19">
        <v>19.510000000000002</v>
      </c>
      <c r="J224" s="15">
        <v>5</v>
      </c>
      <c r="K224" s="15">
        <v>3</v>
      </c>
      <c r="L224" s="15">
        <v>14.7</v>
      </c>
      <c r="M224" s="15">
        <v>7.87</v>
      </c>
      <c r="N224" s="15">
        <v>4.4400000000000004</v>
      </c>
      <c r="O224" s="13">
        <v>6.81</v>
      </c>
      <c r="P224" s="15">
        <v>0</v>
      </c>
      <c r="Q224" s="15">
        <v>0</v>
      </c>
      <c r="R224" s="13">
        <v>0.375</v>
      </c>
      <c r="S224" s="13">
        <v>2</v>
      </c>
      <c r="T224" s="13" t="str">
        <f>IF(S224=2,"Y",IF(J224/R224&lt;0.54*(SQRT(29000/'Steel Angle Lintel Design'!$H$31)),"Y","N"))</f>
        <v>Y</v>
      </c>
      <c r="U224" s="13" t="str">
        <f>IF(J224/R224&gt;0.91*(SQRT(29000/'Steel Angle Lintel Design'!$H$31)),"Y","N")</f>
        <v>N</v>
      </c>
      <c r="V224" s="13" t="s">
        <v>465</v>
      </c>
      <c r="W224" s="13"/>
      <c r="X224" s="13">
        <v>6.12</v>
      </c>
      <c r="Y224" s="13">
        <v>129</v>
      </c>
      <c r="Z224" s="13">
        <v>72.8</v>
      </c>
      <c r="AA224" s="13"/>
      <c r="AB224" s="13">
        <v>0</v>
      </c>
      <c r="AC224" s="13">
        <v>0</v>
      </c>
    </row>
    <row r="225" spans="1:29" s="8" customFormat="1" ht="15.75">
      <c r="A225" s="43" t="str">
        <f>IF(AND(H225=1,L225&gt;='Steel Angle Lintel Design'!$M$98,'AISC Angle Database'!N225&gt;='Steel Angle Lintel Design'!$M$96,'AISC Angle Database'!J225&gt;='Steel Angle Lintel Design'!$F$40,'AISC Angle Database'!J225&lt;='Steel Angle Lintel Design'!$F$41,'AISC Angle Database'!K225&gt;='Steel Angle Lintel Design'!$K$40,'AISC Angle Database'!K225&lt;='Steel Angle Lintel Design'!$K$41),1,"")</f>
        <v/>
      </c>
      <c r="B225" s="44">
        <f t="shared" si="15"/>
        <v>11</v>
      </c>
      <c r="C225" s="44">
        <f t="shared" si="16"/>
        <v>0</v>
      </c>
      <c r="D225" s="42" t="e">
        <f t="shared" ca="1" si="19"/>
        <v>#NAME?</v>
      </c>
      <c r="E225" s="44" t="e">
        <f t="shared" ca="1" si="17"/>
        <v>#NAME?</v>
      </c>
      <c r="F225" s="5" t="e">
        <f t="shared" ca="1" si="18"/>
        <v>#NAME?</v>
      </c>
      <c r="G225" s="15" t="s">
        <v>466</v>
      </c>
      <c r="H225" s="15">
        <f>IF('Steel Angle Lintel Design'!$AM$16=1,0,IF('Steel Angle Lintel Design'!$AM$16=2,1,1))</f>
        <v>1</v>
      </c>
      <c r="I225" s="19">
        <v>16.41</v>
      </c>
      <c r="J225" s="15">
        <v>5</v>
      </c>
      <c r="K225" s="15">
        <v>3</v>
      </c>
      <c r="L225" s="15">
        <v>12.5</v>
      </c>
      <c r="M225" s="15">
        <v>6.63</v>
      </c>
      <c r="N225" s="15">
        <v>3.74</v>
      </c>
      <c r="O225" s="13">
        <v>5.62</v>
      </c>
      <c r="P225" s="15">
        <v>0</v>
      </c>
      <c r="Q225" s="15">
        <v>0</v>
      </c>
      <c r="R225" s="13">
        <v>0.3125</v>
      </c>
      <c r="S225" s="13">
        <v>2</v>
      </c>
      <c r="T225" s="13" t="str">
        <f>IF(S225=2,"Y",IF(J225/R225&lt;0.54*(SQRT(29000/'Steel Angle Lintel Design'!$H$31)),"Y","N"))</f>
        <v>Y</v>
      </c>
      <c r="U225" s="13" t="str">
        <f>IF(J225/R225&gt;0.91*(SQRT(29000/'Steel Angle Lintel Design'!$H$31)),"Y","N")</f>
        <v>N</v>
      </c>
      <c r="V225" s="13" t="s">
        <v>467</v>
      </c>
      <c r="W225" s="13"/>
      <c r="X225" s="13">
        <v>5.2</v>
      </c>
      <c r="Y225" s="13">
        <v>109</v>
      </c>
      <c r="Z225" s="13">
        <v>61.3</v>
      </c>
      <c r="AA225" s="13"/>
      <c r="AB225" s="13">
        <v>0</v>
      </c>
      <c r="AC225" s="13">
        <v>0</v>
      </c>
    </row>
    <row r="226" spans="1:29" s="8" customFormat="1" ht="15.75">
      <c r="A226" s="43" t="str">
        <f>IF(AND(H226=1,L226&gt;='Steel Angle Lintel Design'!$M$98,'AISC Angle Database'!N226&gt;='Steel Angle Lintel Design'!$M$96,'AISC Angle Database'!J226&gt;='Steel Angle Lintel Design'!$F$40,'AISC Angle Database'!J226&lt;='Steel Angle Lintel Design'!$F$41,'AISC Angle Database'!K226&gt;='Steel Angle Lintel Design'!$K$40,'AISC Angle Database'!K226&lt;='Steel Angle Lintel Design'!$K$41),1,"")</f>
        <v/>
      </c>
      <c r="B226" s="44">
        <f t="shared" si="15"/>
        <v>11</v>
      </c>
      <c r="C226" s="44">
        <f t="shared" si="16"/>
        <v>0</v>
      </c>
      <c r="D226" s="42" t="e">
        <f t="shared" ca="1" si="19"/>
        <v>#NAME?</v>
      </c>
      <c r="E226" s="44" t="e">
        <f t="shared" ca="1" si="17"/>
        <v>#NAME?</v>
      </c>
      <c r="F226" s="5" t="e">
        <f t="shared" ca="1" si="18"/>
        <v>#NAME?</v>
      </c>
      <c r="G226" s="15" t="s">
        <v>468</v>
      </c>
      <c r="H226" s="15">
        <f>IF('Steel Angle Lintel Design'!$AM$16=1,0,IF('Steel Angle Lintel Design'!$AM$16=2,1,1))</f>
        <v>1</v>
      </c>
      <c r="I226" s="19">
        <v>13.19</v>
      </c>
      <c r="J226" s="15">
        <v>5</v>
      </c>
      <c r="K226" s="15">
        <v>3</v>
      </c>
      <c r="L226" s="15">
        <v>10.199999999999999</v>
      </c>
      <c r="M226" s="15">
        <v>5.37</v>
      </c>
      <c r="N226" s="15">
        <v>3.03</v>
      </c>
      <c r="O226" s="13">
        <v>4.4400000000000004</v>
      </c>
      <c r="P226" s="15">
        <v>0</v>
      </c>
      <c r="Q226" s="15">
        <v>0</v>
      </c>
      <c r="R226" s="13">
        <v>0.25</v>
      </c>
      <c r="S226" s="13">
        <v>2</v>
      </c>
      <c r="T226" s="13" t="str">
        <f>IF(S226=2,"Y",IF(J226/R226&lt;0.54*(SQRT(29000/'Steel Angle Lintel Design'!$H$31)),"Y","N"))</f>
        <v>Y</v>
      </c>
      <c r="U226" s="13" t="str">
        <f>IF(J226/R226&gt;0.91*(SQRT(29000/'Steel Angle Lintel Design'!$H$31)),"Y","N")</f>
        <v>N</v>
      </c>
      <c r="V226" s="13" t="s">
        <v>469</v>
      </c>
      <c r="W226" s="13"/>
      <c r="X226" s="13">
        <v>4.25</v>
      </c>
      <c r="Y226" s="13">
        <v>88</v>
      </c>
      <c r="Z226" s="13">
        <v>49.7</v>
      </c>
      <c r="AA226" s="13"/>
      <c r="AB226" s="13">
        <v>0</v>
      </c>
      <c r="AC226" s="13">
        <v>0</v>
      </c>
    </row>
    <row r="227" spans="1:29" s="8" customFormat="1" ht="15.75">
      <c r="A227" s="43" t="str">
        <f>IF(AND(H227=1,L227&gt;='Steel Angle Lintel Design'!$M$98,'AISC Angle Database'!N227&gt;='Steel Angle Lintel Design'!$M$96,'AISC Angle Database'!J227&gt;='Steel Angle Lintel Design'!$F$40,'AISC Angle Database'!J227&lt;='Steel Angle Lintel Design'!$F$41,'AISC Angle Database'!K227&gt;='Steel Angle Lintel Design'!$K$40,'AISC Angle Database'!K227&lt;='Steel Angle Lintel Design'!$K$41),1,"")</f>
        <v/>
      </c>
      <c r="B227" s="44">
        <f t="shared" si="15"/>
        <v>11</v>
      </c>
      <c r="C227" s="44">
        <f t="shared" si="16"/>
        <v>0</v>
      </c>
      <c r="D227" s="42" t="e">
        <f t="shared" ca="1" si="19"/>
        <v>#NAME?</v>
      </c>
      <c r="E227" s="44" t="e">
        <f t="shared" ca="1" si="17"/>
        <v>#NAME?</v>
      </c>
      <c r="F227" s="5" t="e">
        <f t="shared" ca="1" si="18"/>
        <v>#NAME?</v>
      </c>
      <c r="G227" s="15" t="s">
        <v>470</v>
      </c>
      <c r="H227" s="15">
        <f>IF('Steel Angle Lintel Design'!$AM$16=1,0,IF('Steel Angle Lintel Design'!$AM$16=2,1,1))</f>
        <v>1</v>
      </c>
      <c r="I227" s="19">
        <v>23.81</v>
      </c>
      <c r="J227" s="15">
        <v>4</v>
      </c>
      <c r="K227" s="15">
        <v>3.5</v>
      </c>
      <c r="L227" s="15">
        <v>10.6</v>
      </c>
      <c r="M227" s="15">
        <v>6.91</v>
      </c>
      <c r="N227" s="15">
        <v>3.84</v>
      </c>
      <c r="O227" s="13">
        <v>14.5</v>
      </c>
      <c r="P227" s="15">
        <v>0</v>
      </c>
      <c r="Q227" s="15">
        <v>0</v>
      </c>
      <c r="R227" s="13">
        <v>0.5</v>
      </c>
      <c r="S227" s="13">
        <v>2</v>
      </c>
      <c r="T227" s="13" t="str">
        <f>IF(S227=2,"Y",IF(J227/R227&lt;0.54*(SQRT(29000/'Steel Angle Lintel Design'!$H$31)),"Y","N"))</f>
        <v>Y</v>
      </c>
      <c r="U227" s="13" t="str">
        <f>IF(J227/R227&gt;0.91*(SQRT(29000/'Steel Angle Lintel Design'!$H$31)),"Y","N")</f>
        <v>N</v>
      </c>
      <c r="V227" s="13" t="s">
        <v>471</v>
      </c>
      <c r="W227" s="13"/>
      <c r="X227" s="13">
        <v>4.41</v>
      </c>
      <c r="Y227" s="13">
        <v>113</v>
      </c>
      <c r="Z227" s="13">
        <v>62.9</v>
      </c>
      <c r="AA227" s="13"/>
      <c r="AB227" s="13">
        <v>0</v>
      </c>
      <c r="AC227" s="13">
        <v>0</v>
      </c>
    </row>
    <row r="228" spans="1:29" s="8" customFormat="1" ht="15.75">
      <c r="A228" s="43" t="str">
        <f>IF(AND(H228=1,L228&gt;='Steel Angle Lintel Design'!$M$98,'AISC Angle Database'!N228&gt;='Steel Angle Lintel Design'!$M$96,'AISC Angle Database'!J228&gt;='Steel Angle Lintel Design'!$F$40,'AISC Angle Database'!J228&lt;='Steel Angle Lintel Design'!$F$41,'AISC Angle Database'!K228&gt;='Steel Angle Lintel Design'!$K$40,'AISC Angle Database'!K228&lt;='Steel Angle Lintel Design'!$K$41),1,"")</f>
        <v/>
      </c>
      <c r="B228" s="44">
        <f t="shared" si="15"/>
        <v>11</v>
      </c>
      <c r="C228" s="44">
        <f t="shared" si="16"/>
        <v>0</v>
      </c>
      <c r="D228" s="42" t="e">
        <f t="shared" ca="1" si="19"/>
        <v>#NAME?</v>
      </c>
      <c r="E228" s="44" t="e">
        <f t="shared" ca="1" si="17"/>
        <v>#NAME?</v>
      </c>
      <c r="F228" s="5" t="e">
        <f t="shared" ca="1" si="18"/>
        <v>#NAME?</v>
      </c>
      <c r="G228" s="15" t="s">
        <v>472</v>
      </c>
      <c r="H228" s="15">
        <f>IF('Steel Angle Lintel Design'!$AM$16=1,0,IF('Steel Angle Lintel Design'!$AM$16=2,1,1))</f>
        <v>1</v>
      </c>
      <c r="I228" s="19">
        <v>18.190000000000001</v>
      </c>
      <c r="J228" s="15">
        <v>4</v>
      </c>
      <c r="K228" s="15">
        <v>3.5</v>
      </c>
      <c r="L228" s="15">
        <v>8.3000000000000007</v>
      </c>
      <c r="M228" s="15">
        <v>5.32</v>
      </c>
      <c r="N228" s="15">
        <v>2.96</v>
      </c>
      <c r="O228" s="13">
        <v>10.78</v>
      </c>
      <c r="P228" s="15">
        <v>0</v>
      </c>
      <c r="Q228" s="15">
        <v>0</v>
      </c>
      <c r="R228" s="13">
        <v>0.375</v>
      </c>
      <c r="S228" s="13">
        <v>2</v>
      </c>
      <c r="T228" s="13" t="str">
        <f>IF(S228=2,"Y",IF(J228/R228&lt;0.54*(SQRT(29000/'Steel Angle Lintel Design'!$H$31)),"Y","N"))</f>
        <v>Y</v>
      </c>
      <c r="U228" s="13" t="str">
        <f>IF(J228/R228&gt;0.91*(SQRT(29000/'Steel Angle Lintel Design'!$H$31)),"Y","N")</f>
        <v>N</v>
      </c>
      <c r="V228" s="13" t="s">
        <v>473</v>
      </c>
      <c r="W228" s="13"/>
      <c r="X228" s="13">
        <v>3.45</v>
      </c>
      <c r="Y228" s="13">
        <v>87.2</v>
      </c>
      <c r="Z228" s="13">
        <v>48.5</v>
      </c>
      <c r="AA228" s="13"/>
      <c r="AB228" s="13">
        <v>0</v>
      </c>
      <c r="AC228" s="13">
        <v>0</v>
      </c>
    </row>
    <row r="229" spans="1:29" s="8" customFormat="1" ht="15.75">
      <c r="A229" s="43" t="str">
        <f>IF(AND(H229=1,L229&gt;='Steel Angle Lintel Design'!$M$98,'AISC Angle Database'!N229&gt;='Steel Angle Lintel Design'!$M$96,'AISC Angle Database'!J229&gt;='Steel Angle Lintel Design'!$F$40,'AISC Angle Database'!J229&lt;='Steel Angle Lintel Design'!$F$41,'AISC Angle Database'!K229&gt;='Steel Angle Lintel Design'!$K$40,'AISC Angle Database'!K229&lt;='Steel Angle Lintel Design'!$K$41),1,"")</f>
        <v/>
      </c>
      <c r="B229" s="44">
        <f t="shared" si="15"/>
        <v>11</v>
      </c>
      <c r="C229" s="44">
        <f t="shared" si="16"/>
        <v>0</v>
      </c>
      <c r="D229" s="42" t="e">
        <f t="shared" ca="1" si="19"/>
        <v>#NAME?</v>
      </c>
      <c r="E229" s="44" t="e">
        <f t="shared" ca="1" si="17"/>
        <v>#NAME?</v>
      </c>
      <c r="F229" s="5" t="e">
        <f t="shared" ca="1" si="18"/>
        <v>#NAME?</v>
      </c>
      <c r="G229" s="15" t="s">
        <v>474</v>
      </c>
      <c r="H229" s="15">
        <f>IF('Steel Angle Lintel Design'!$AM$16=1,0,IF('Steel Angle Lintel Design'!$AM$16=2,1,1))</f>
        <v>1</v>
      </c>
      <c r="I229" s="19">
        <v>15.32</v>
      </c>
      <c r="J229" s="15">
        <v>4</v>
      </c>
      <c r="K229" s="15">
        <v>3.5</v>
      </c>
      <c r="L229" s="15">
        <v>7.07</v>
      </c>
      <c r="M229" s="15">
        <v>4.49</v>
      </c>
      <c r="N229" s="15">
        <v>2.5</v>
      </c>
      <c r="O229" s="13">
        <v>8.81</v>
      </c>
      <c r="P229" s="15">
        <v>0</v>
      </c>
      <c r="Q229" s="15">
        <v>0</v>
      </c>
      <c r="R229" s="13">
        <v>0.3125</v>
      </c>
      <c r="S229" s="13">
        <v>2</v>
      </c>
      <c r="T229" s="13" t="str">
        <f>IF(S229=2,"Y",IF(J229/R229&lt;0.54*(SQRT(29000/'Steel Angle Lintel Design'!$H$31)),"Y","N"))</f>
        <v>Y</v>
      </c>
      <c r="U229" s="13" t="str">
        <f>IF(J229/R229&gt;0.91*(SQRT(29000/'Steel Angle Lintel Design'!$H$31)),"Y","N")</f>
        <v>N</v>
      </c>
      <c r="V229" s="13" t="s">
        <v>475</v>
      </c>
      <c r="W229" s="13"/>
      <c r="X229" s="13">
        <v>2.94</v>
      </c>
      <c r="Y229" s="13">
        <v>73.599999999999994</v>
      </c>
      <c r="Z229" s="13">
        <v>41</v>
      </c>
      <c r="AA229" s="13"/>
      <c r="AB229" s="13">
        <v>0</v>
      </c>
      <c r="AC229" s="13">
        <v>0</v>
      </c>
    </row>
    <row r="230" spans="1:29" s="8" customFormat="1" ht="15.75">
      <c r="A230" s="43" t="str">
        <f>IF(AND(H230=1,L230&gt;='Steel Angle Lintel Design'!$M$98,'AISC Angle Database'!N230&gt;='Steel Angle Lintel Design'!$M$96,'AISC Angle Database'!J230&gt;='Steel Angle Lintel Design'!$F$40,'AISC Angle Database'!J230&lt;='Steel Angle Lintel Design'!$F$41,'AISC Angle Database'!K230&gt;='Steel Angle Lintel Design'!$K$40,'AISC Angle Database'!K230&lt;='Steel Angle Lintel Design'!$K$41),1,"")</f>
        <v/>
      </c>
      <c r="B230" s="44">
        <f t="shared" si="15"/>
        <v>11</v>
      </c>
      <c r="C230" s="44">
        <f t="shared" si="16"/>
        <v>0</v>
      </c>
      <c r="D230" s="42" t="e">
        <f t="shared" ca="1" si="19"/>
        <v>#NAME?</v>
      </c>
      <c r="E230" s="44" t="e">
        <f t="shared" ca="1" si="17"/>
        <v>#NAME?</v>
      </c>
      <c r="F230" s="5" t="e">
        <f t="shared" ca="1" si="18"/>
        <v>#NAME?</v>
      </c>
      <c r="G230" s="15" t="s">
        <v>476</v>
      </c>
      <c r="H230" s="15">
        <f>IF('Steel Angle Lintel Design'!$AM$16=1,0,IF('Steel Angle Lintel Design'!$AM$16=2,1,1))</f>
        <v>1</v>
      </c>
      <c r="I230" s="19">
        <v>12.39</v>
      </c>
      <c r="J230" s="15">
        <v>4</v>
      </c>
      <c r="K230" s="15">
        <v>3.5</v>
      </c>
      <c r="L230" s="15">
        <v>5.78</v>
      </c>
      <c r="M230" s="15">
        <v>3.63</v>
      </c>
      <c r="N230" s="15">
        <v>2.02</v>
      </c>
      <c r="O230" s="13">
        <v>7.04</v>
      </c>
      <c r="P230" s="15">
        <v>0</v>
      </c>
      <c r="Q230" s="15">
        <v>0</v>
      </c>
      <c r="R230" s="13">
        <v>0.25</v>
      </c>
      <c r="S230" s="13">
        <v>2</v>
      </c>
      <c r="T230" s="13" t="str">
        <f>IF(S230=2,"Y",IF(J230/R230&lt;0.54*(SQRT(29000/'Steel Angle Lintel Design'!$H$31)),"Y","N"))</f>
        <v>Y</v>
      </c>
      <c r="U230" s="13" t="str">
        <f>IF(J230/R230&gt;0.91*(SQRT(29000/'Steel Angle Lintel Design'!$H$31)),"Y","N")</f>
        <v>N</v>
      </c>
      <c r="V230" s="13" t="s">
        <v>477</v>
      </c>
      <c r="W230" s="13"/>
      <c r="X230" s="13">
        <v>2.41</v>
      </c>
      <c r="Y230" s="13">
        <v>59.5</v>
      </c>
      <c r="Z230" s="13">
        <v>33.1</v>
      </c>
      <c r="AA230" s="13"/>
      <c r="AB230" s="13">
        <v>0</v>
      </c>
      <c r="AC230" s="13">
        <v>0</v>
      </c>
    </row>
    <row r="231" spans="1:29" s="8" customFormat="1" ht="15.75">
      <c r="A231" s="43" t="str">
        <f>IF(AND(H231=1,L231&gt;='Steel Angle Lintel Design'!$M$98,'AISC Angle Database'!N231&gt;='Steel Angle Lintel Design'!$M$96,'AISC Angle Database'!J231&gt;='Steel Angle Lintel Design'!$F$40,'AISC Angle Database'!J231&lt;='Steel Angle Lintel Design'!$F$41,'AISC Angle Database'!K231&gt;='Steel Angle Lintel Design'!$K$40,'AISC Angle Database'!K231&lt;='Steel Angle Lintel Design'!$K$41),1,"")</f>
        <v/>
      </c>
      <c r="B231" s="44">
        <f t="shared" si="15"/>
        <v>11</v>
      </c>
      <c r="C231" s="44">
        <f t="shared" si="16"/>
        <v>0</v>
      </c>
      <c r="D231" s="42" t="e">
        <f t="shared" ca="1" si="19"/>
        <v>#NAME?</v>
      </c>
      <c r="E231" s="44" t="e">
        <f t="shared" ca="1" si="17"/>
        <v>#NAME?</v>
      </c>
      <c r="F231" s="5" t="e">
        <f t="shared" ca="1" si="18"/>
        <v>#NAME?</v>
      </c>
      <c r="G231" s="15" t="s">
        <v>478</v>
      </c>
      <c r="H231" s="15">
        <f>IF('Steel Angle Lintel Design'!$AM$16=1,0,IF('Steel Angle Lintel Design'!$AM$16=2,1,1))</f>
        <v>1</v>
      </c>
      <c r="I231" s="19">
        <v>27.1</v>
      </c>
      <c r="J231" s="15">
        <v>4</v>
      </c>
      <c r="K231" s="15">
        <v>3</v>
      </c>
      <c r="L231" s="15">
        <v>12</v>
      </c>
      <c r="M231" s="15">
        <v>8.16</v>
      </c>
      <c r="N231" s="15">
        <v>4.5599999999999996</v>
      </c>
      <c r="O231" s="13">
        <v>11.66</v>
      </c>
      <c r="P231" s="15">
        <v>0</v>
      </c>
      <c r="Q231" s="15">
        <v>0</v>
      </c>
      <c r="R231" s="13">
        <v>0.625</v>
      </c>
      <c r="S231" s="13">
        <v>2</v>
      </c>
      <c r="T231" s="13" t="str">
        <f>IF(S231=2,"Y",IF(J231/R231&lt;0.54*(SQRT(29000/'Steel Angle Lintel Design'!$H$31)),"Y","N"))</f>
        <v>Y</v>
      </c>
      <c r="U231" s="13" t="str">
        <f>IF(J231/R231&gt;0.91*(SQRT(29000/'Steel Angle Lintel Design'!$H$31)),"Y","N")</f>
        <v>N</v>
      </c>
      <c r="V231" s="13" t="s">
        <v>479</v>
      </c>
      <c r="W231" s="13"/>
      <c r="X231" s="13">
        <v>4.99</v>
      </c>
      <c r="Y231" s="13">
        <v>134</v>
      </c>
      <c r="Z231" s="13">
        <v>74.7</v>
      </c>
      <c r="AA231" s="13"/>
      <c r="AB231" s="13">
        <v>0</v>
      </c>
      <c r="AC231" s="13">
        <v>0</v>
      </c>
    </row>
    <row r="232" spans="1:29" s="8" customFormat="1" ht="15.75">
      <c r="A232" s="43" t="str">
        <f>IF(AND(H232=1,L232&gt;='Steel Angle Lintel Design'!$M$98,'AISC Angle Database'!N232&gt;='Steel Angle Lintel Design'!$M$96,'AISC Angle Database'!J232&gt;='Steel Angle Lintel Design'!$F$40,'AISC Angle Database'!J232&lt;='Steel Angle Lintel Design'!$F$41,'AISC Angle Database'!K232&gt;='Steel Angle Lintel Design'!$K$40,'AISC Angle Database'!K232&lt;='Steel Angle Lintel Design'!$K$41),1,"")</f>
        <v/>
      </c>
      <c r="B232" s="44">
        <f t="shared" si="15"/>
        <v>11</v>
      </c>
      <c r="C232" s="44">
        <f t="shared" si="16"/>
        <v>0</v>
      </c>
      <c r="D232" s="42" t="e">
        <f t="shared" ca="1" si="19"/>
        <v>#NAME?</v>
      </c>
      <c r="E232" s="44" t="e">
        <f t="shared" ca="1" si="17"/>
        <v>#NAME?</v>
      </c>
      <c r="F232" s="5" t="e">
        <f t="shared" ca="1" si="18"/>
        <v>#NAME?</v>
      </c>
      <c r="G232" s="15" t="s">
        <v>480</v>
      </c>
      <c r="H232" s="15">
        <f>IF('Steel Angle Lintel Design'!$AM$16=1,0,IF('Steel Angle Lintel Design'!$AM$16=2,1,1))</f>
        <v>1</v>
      </c>
      <c r="I232" s="19">
        <v>22.09</v>
      </c>
      <c r="J232" s="15">
        <v>4</v>
      </c>
      <c r="K232" s="15">
        <v>3</v>
      </c>
      <c r="L232" s="15">
        <v>10</v>
      </c>
      <c r="M232" s="15">
        <v>6.73</v>
      </c>
      <c r="N232" s="15">
        <v>3.75</v>
      </c>
      <c r="O232" s="13">
        <v>9.1999999999999993</v>
      </c>
      <c r="P232" s="15">
        <v>0</v>
      </c>
      <c r="Q232" s="15">
        <v>0</v>
      </c>
      <c r="R232" s="13">
        <v>0.5</v>
      </c>
      <c r="S232" s="13">
        <v>2</v>
      </c>
      <c r="T232" s="13" t="str">
        <f>IF(S232=2,"Y",IF(J232/R232&lt;0.54*(SQRT(29000/'Steel Angle Lintel Design'!$H$31)),"Y","N"))</f>
        <v>Y</v>
      </c>
      <c r="U232" s="13" t="str">
        <f>IF(J232/R232&gt;0.91*(SQRT(29000/'Steel Angle Lintel Design'!$H$31)),"Y","N")</f>
        <v>N</v>
      </c>
      <c r="V232" s="13" t="s">
        <v>481</v>
      </c>
      <c r="W232" s="13"/>
      <c r="X232" s="13">
        <v>4.16</v>
      </c>
      <c r="Y232" s="13">
        <v>110</v>
      </c>
      <c r="Z232" s="13">
        <v>61.5</v>
      </c>
      <c r="AA232" s="13"/>
      <c r="AB232" s="13">
        <v>0</v>
      </c>
      <c r="AC232" s="13">
        <v>0</v>
      </c>
    </row>
    <row r="233" spans="1:29" s="8" customFormat="1" ht="15.75">
      <c r="A233" s="43" t="str">
        <f>IF(AND(H233=1,L233&gt;='Steel Angle Lintel Design'!$M$98,'AISC Angle Database'!N233&gt;='Steel Angle Lintel Design'!$M$96,'AISC Angle Database'!J233&gt;='Steel Angle Lintel Design'!$F$40,'AISC Angle Database'!J233&lt;='Steel Angle Lintel Design'!$F$41,'AISC Angle Database'!K233&gt;='Steel Angle Lintel Design'!$K$40,'AISC Angle Database'!K233&lt;='Steel Angle Lintel Design'!$K$41),1,"")</f>
        <v/>
      </c>
      <c r="B233" s="44">
        <f t="shared" si="15"/>
        <v>11</v>
      </c>
      <c r="C233" s="44">
        <f t="shared" si="16"/>
        <v>0</v>
      </c>
      <c r="D233" s="42" t="e">
        <f t="shared" ca="1" si="19"/>
        <v>#NAME?</v>
      </c>
      <c r="E233" s="44" t="e">
        <f t="shared" ca="1" si="17"/>
        <v>#NAME?</v>
      </c>
      <c r="F233" s="5" t="e">
        <f t="shared" ca="1" si="18"/>
        <v>#NAME?</v>
      </c>
      <c r="G233" s="15" t="s">
        <v>482</v>
      </c>
      <c r="H233" s="15">
        <f>IF('Steel Angle Lintel Design'!$AM$16=1,0,IF('Steel Angle Lintel Design'!$AM$16=2,1,1))</f>
        <v>1</v>
      </c>
      <c r="I233" s="19">
        <v>16.899999999999999</v>
      </c>
      <c r="J233" s="15">
        <v>4</v>
      </c>
      <c r="K233" s="15">
        <v>3</v>
      </c>
      <c r="L233" s="15">
        <v>7.88</v>
      </c>
      <c r="M233" s="15">
        <v>5.19</v>
      </c>
      <c r="N233" s="15">
        <v>2.89</v>
      </c>
      <c r="O233" s="13">
        <v>6.8</v>
      </c>
      <c r="P233" s="15">
        <v>0</v>
      </c>
      <c r="Q233" s="15">
        <v>0</v>
      </c>
      <c r="R233" s="13">
        <v>0.375</v>
      </c>
      <c r="S233" s="13">
        <v>2</v>
      </c>
      <c r="T233" s="13" t="str">
        <f>IF(S233=2,"Y",IF(J233/R233&lt;0.54*(SQRT(29000/'Steel Angle Lintel Design'!$H$31)),"Y","N"))</f>
        <v>Y</v>
      </c>
      <c r="U233" s="13" t="str">
        <f>IF(J233/R233&gt;0.91*(SQRT(29000/'Steel Angle Lintel Design'!$H$31)),"Y","N")</f>
        <v>N</v>
      </c>
      <c r="V233" s="13" t="s">
        <v>483</v>
      </c>
      <c r="W233" s="13"/>
      <c r="X233" s="13">
        <v>3.28</v>
      </c>
      <c r="Y233" s="13">
        <v>85</v>
      </c>
      <c r="Z233" s="13">
        <v>47.4</v>
      </c>
      <c r="AA233" s="13"/>
      <c r="AB233" s="13">
        <v>0</v>
      </c>
      <c r="AC233" s="13">
        <v>0</v>
      </c>
    </row>
    <row r="234" spans="1:29" s="8" customFormat="1" ht="15.75">
      <c r="A234" s="43" t="str">
        <f>IF(AND(H234=1,L234&gt;='Steel Angle Lintel Design'!$M$98,'AISC Angle Database'!N234&gt;='Steel Angle Lintel Design'!$M$96,'AISC Angle Database'!J234&gt;='Steel Angle Lintel Design'!$F$40,'AISC Angle Database'!J234&lt;='Steel Angle Lintel Design'!$F$41,'AISC Angle Database'!K234&gt;='Steel Angle Lintel Design'!$K$40,'AISC Angle Database'!K234&lt;='Steel Angle Lintel Design'!$K$41),1,"")</f>
        <v/>
      </c>
      <c r="B234" s="44">
        <f t="shared" si="15"/>
        <v>11</v>
      </c>
      <c r="C234" s="44">
        <f t="shared" si="16"/>
        <v>0</v>
      </c>
      <c r="D234" s="42" t="e">
        <f t="shared" ca="1" si="19"/>
        <v>#NAME?</v>
      </c>
      <c r="E234" s="44" t="e">
        <f t="shared" ca="1" si="17"/>
        <v>#NAME?</v>
      </c>
      <c r="F234" s="5" t="e">
        <f t="shared" ca="1" si="18"/>
        <v>#NAME?</v>
      </c>
      <c r="G234" s="15" t="s">
        <v>484</v>
      </c>
      <c r="H234" s="15">
        <f>IF('Steel Angle Lintel Design'!$AM$16=1,0,IF('Steel Angle Lintel Design'!$AM$16=2,1,1))</f>
        <v>1</v>
      </c>
      <c r="I234" s="19">
        <v>14.2</v>
      </c>
      <c r="J234" s="15">
        <v>4</v>
      </c>
      <c r="K234" s="15">
        <v>3</v>
      </c>
      <c r="L234" s="15">
        <v>6.72</v>
      </c>
      <c r="M234" s="15">
        <v>4.38</v>
      </c>
      <c r="N234" s="15">
        <v>2.44</v>
      </c>
      <c r="O234" s="13">
        <v>5.62</v>
      </c>
      <c r="P234" s="15">
        <v>0</v>
      </c>
      <c r="Q234" s="15">
        <v>0</v>
      </c>
      <c r="R234" s="13">
        <v>0.3125</v>
      </c>
      <c r="S234" s="13">
        <v>2</v>
      </c>
      <c r="T234" s="13" t="str">
        <f>IF(S234=2,"Y",IF(J234/R234&lt;0.54*(SQRT(29000/'Steel Angle Lintel Design'!$H$31)),"Y","N"))</f>
        <v>Y</v>
      </c>
      <c r="U234" s="13" t="str">
        <f>IF(J234/R234&gt;0.91*(SQRT(29000/'Steel Angle Lintel Design'!$H$31)),"Y","N")</f>
        <v>N</v>
      </c>
      <c r="V234" s="13" t="s">
        <v>485</v>
      </c>
      <c r="W234" s="13"/>
      <c r="X234" s="13">
        <v>2.8</v>
      </c>
      <c r="Y234" s="13">
        <v>71.8</v>
      </c>
      <c r="Z234" s="13">
        <v>40</v>
      </c>
      <c r="AA234" s="13"/>
      <c r="AB234" s="13">
        <v>0</v>
      </c>
      <c r="AC234" s="13">
        <v>0</v>
      </c>
    </row>
    <row r="235" spans="1:29" s="8" customFormat="1" ht="15.75">
      <c r="A235" s="43" t="str">
        <f>IF(AND(H235=1,L235&gt;='Steel Angle Lintel Design'!$M$98,'AISC Angle Database'!N235&gt;='Steel Angle Lintel Design'!$M$96,'AISC Angle Database'!J235&gt;='Steel Angle Lintel Design'!$F$40,'AISC Angle Database'!J235&lt;='Steel Angle Lintel Design'!$F$41,'AISC Angle Database'!K235&gt;='Steel Angle Lintel Design'!$K$40,'AISC Angle Database'!K235&lt;='Steel Angle Lintel Design'!$K$41),1,"")</f>
        <v/>
      </c>
      <c r="B235" s="44">
        <f t="shared" si="15"/>
        <v>11</v>
      </c>
      <c r="C235" s="44">
        <f t="shared" si="16"/>
        <v>0</v>
      </c>
      <c r="D235" s="42" t="e">
        <f t="shared" ca="1" si="19"/>
        <v>#NAME?</v>
      </c>
      <c r="E235" s="44" t="e">
        <f t="shared" ca="1" si="17"/>
        <v>#NAME?</v>
      </c>
      <c r="F235" s="5" t="e">
        <f t="shared" ca="1" si="18"/>
        <v>#NAME?</v>
      </c>
      <c r="G235" s="15" t="s">
        <v>486</v>
      </c>
      <c r="H235" s="15">
        <f>IF('Steel Angle Lintel Design'!$AM$16=1,0,IF('Steel Angle Lintel Design'!$AM$16=2,1,1))</f>
        <v>1</v>
      </c>
      <c r="I235" s="19">
        <v>11.5</v>
      </c>
      <c r="J235" s="15">
        <v>4</v>
      </c>
      <c r="K235" s="15">
        <v>3</v>
      </c>
      <c r="L235" s="15">
        <v>5.49</v>
      </c>
      <c r="M235" s="15">
        <v>3.55</v>
      </c>
      <c r="N235" s="15">
        <v>1.98</v>
      </c>
      <c r="O235" s="13">
        <v>4.47</v>
      </c>
      <c r="P235" s="15">
        <v>0</v>
      </c>
      <c r="Q235" s="15">
        <v>0</v>
      </c>
      <c r="R235" s="13">
        <v>0.25</v>
      </c>
      <c r="S235" s="13">
        <v>2</v>
      </c>
      <c r="T235" s="13" t="str">
        <f>IF(S235=2,"Y",IF(J235/R235&lt;0.54*(SQRT(29000/'Steel Angle Lintel Design'!$H$31)),"Y","N"))</f>
        <v>Y</v>
      </c>
      <c r="U235" s="13" t="str">
        <f>IF(J235/R235&gt;0.91*(SQRT(29000/'Steel Angle Lintel Design'!$H$31)),"Y","N")</f>
        <v>N</v>
      </c>
      <c r="V235" s="13" t="s">
        <v>487</v>
      </c>
      <c r="W235" s="13"/>
      <c r="X235" s="13">
        <v>2.29</v>
      </c>
      <c r="Y235" s="13">
        <v>58.2</v>
      </c>
      <c r="Z235" s="13">
        <v>32.4</v>
      </c>
      <c r="AA235" s="13"/>
      <c r="AB235" s="13">
        <v>0</v>
      </c>
      <c r="AC235" s="13">
        <v>0</v>
      </c>
    </row>
    <row r="236" spans="1:29" s="8" customFormat="1" ht="15.75">
      <c r="A236" s="43" t="str">
        <f>IF(AND(H236=1,L236&gt;='Steel Angle Lintel Design'!$M$98,'AISC Angle Database'!N236&gt;='Steel Angle Lintel Design'!$M$96,'AISC Angle Database'!J236&gt;='Steel Angle Lintel Design'!$F$40,'AISC Angle Database'!J236&lt;='Steel Angle Lintel Design'!$F$41,'AISC Angle Database'!K236&gt;='Steel Angle Lintel Design'!$K$40,'AISC Angle Database'!K236&lt;='Steel Angle Lintel Design'!$K$41),1,"")</f>
        <v/>
      </c>
      <c r="B236" s="44">
        <f t="shared" si="15"/>
        <v>11</v>
      </c>
      <c r="C236" s="44">
        <f t="shared" si="16"/>
        <v>0</v>
      </c>
      <c r="D236" s="42" t="e">
        <f t="shared" ca="1" si="19"/>
        <v>#NAME?</v>
      </c>
      <c r="E236" s="44" t="e">
        <f t="shared" ca="1" si="17"/>
        <v>#NAME?</v>
      </c>
      <c r="F236" s="5" t="e">
        <f t="shared" ca="1" si="18"/>
        <v>#NAME?</v>
      </c>
      <c r="G236" s="15" t="s">
        <v>488</v>
      </c>
      <c r="H236" s="15">
        <f>IF('Steel Angle Lintel Design'!$AM$16=1,0,IF('Steel Angle Lintel Design'!$AM$16=2,1,1))</f>
        <v>1</v>
      </c>
      <c r="I236" s="19">
        <v>20.61</v>
      </c>
      <c r="J236" s="15">
        <v>3.5</v>
      </c>
      <c r="K236" s="15">
        <v>3.5</v>
      </c>
      <c r="L236" s="15">
        <v>6.91</v>
      </c>
      <c r="M236" s="15">
        <v>5.23</v>
      </c>
      <c r="N236" s="15">
        <v>2.9</v>
      </c>
      <c r="O236" s="13">
        <v>9.16</v>
      </c>
      <c r="P236" s="15">
        <v>0</v>
      </c>
      <c r="Q236" s="15">
        <v>0</v>
      </c>
      <c r="R236" s="13">
        <v>0.5</v>
      </c>
      <c r="S236" s="13">
        <v>2</v>
      </c>
      <c r="T236" s="13" t="str">
        <f>IF(S236=2,"Y",IF(J236/R236&lt;0.54*(SQRT(29000/'Steel Angle Lintel Design'!$H$31)),"Y","N"))</f>
        <v>Y</v>
      </c>
      <c r="U236" s="13" t="str">
        <f>IF(J236/R236&gt;0.91*(SQRT(29000/'Steel Angle Lintel Design'!$H$31)),"Y","N")</f>
        <v>N</v>
      </c>
      <c r="V236" s="13" t="s">
        <v>489</v>
      </c>
      <c r="W236" s="13"/>
      <c r="X236" s="13">
        <v>2.88</v>
      </c>
      <c r="Y236" s="13">
        <v>85.7</v>
      </c>
      <c r="Z236" s="13">
        <v>47.5</v>
      </c>
      <c r="AA236" s="13"/>
      <c r="AB236" s="13">
        <v>0</v>
      </c>
      <c r="AC236" s="13">
        <v>0</v>
      </c>
    </row>
    <row r="237" spans="1:29" s="8" customFormat="1" ht="15.75">
      <c r="A237" s="43" t="str">
        <f>IF(AND(H237=1,L237&gt;='Steel Angle Lintel Design'!$M$98,'AISC Angle Database'!N237&gt;='Steel Angle Lintel Design'!$M$96,'AISC Angle Database'!J237&gt;='Steel Angle Lintel Design'!$F$40,'AISC Angle Database'!J237&lt;='Steel Angle Lintel Design'!$F$41,'AISC Angle Database'!K237&gt;='Steel Angle Lintel Design'!$K$40,'AISC Angle Database'!K237&lt;='Steel Angle Lintel Design'!$K$41),1,"")</f>
        <v/>
      </c>
      <c r="B237" s="44">
        <f t="shared" si="15"/>
        <v>11</v>
      </c>
      <c r="C237" s="44">
        <f t="shared" si="16"/>
        <v>0</v>
      </c>
      <c r="D237" s="42" t="e">
        <f t="shared" ca="1" si="19"/>
        <v>#NAME?</v>
      </c>
      <c r="E237" s="44" t="e">
        <f t="shared" ca="1" si="17"/>
        <v>#NAME?</v>
      </c>
      <c r="F237" s="5" t="e">
        <f t="shared" ca="1" si="18"/>
        <v>#NAME?</v>
      </c>
      <c r="G237" s="15" t="s">
        <v>490</v>
      </c>
      <c r="H237" s="15">
        <f>IF('Steel Angle Lintel Design'!$AM$16=1,0,IF('Steel Angle Lintel Design'!$AM$16=2,1,1))</f>
        <v>1</v>
      </c>
      <c r="I237" s="19">
        <v>18.21</v>
      </c>
      <c r="J237" s="15">
        <v>3.5</v>
      </c>
      <c r="K237" s="15">
        <v>3</v>
      </c>
      <c r="L237" s="15">
        <v>6.2</v>
      </c>
      <c r="M237" s="15">
        <v>4.6500000000000004</v>
      </c>
      <c r="N237" s="15">
        <v>2.58</v>
      </c>
      <c r="O237" s="13">
        <v>7.96</v>
      </c>
      <c r="P237" s="15">
        <v>0</v>
      </c>
      <c r="Q237" s="15">
        <v>0</v>
      </c>
      <c r="R237" s="13">
        <v>0.4375</v>
      </c>
      <c r="S237" s="13">
        <v>2</v>
      </c>
      <c r="T237" s="13" t="str">
        <f>IF(S237=2,"Y",IF(J237/R237&lt;0.54*(SQRT(29000/'Steel Angle Lintel Design'!$H$31)),"Y","N"))</f>
        <v>Y</v>
      </c>
      <c r="U237" s="13" t="str">
        <f>IF(J237/R237&gt;0.91*(SQRT(29000/'Steel Angle Lintel Design'!$H$31)),"Y","N")</f>
        <v>N</v>
      </c>
      <c r="V237" s="13" t="s">
        <v>491</v>
      </c>
      <c r="W237" s="13"/>
      <c r="X237" s="13">
        <v>2.58</v>
      </c>
      <c r="Y237" s="13">
        <v>76.2</v>
      </c>
      <c r="Z237" s="13">
        <v>42.3</v>
      </c>
      <c r="AA237" s="13"/>
      <c r="AB237" s="13">
        <v>0</v>
      </c>
      <c r="AC237" s="13">
        <v>0</v>
      </c>
    </row>
    <row r="238" spans="1:29" s="8" customFormat="1" ht="15.75">
      <c r="A238" s="43" t="str">
        <f>IF(AND(H238=1,L238&gt;='Steel Angle Lintel Design'!$M$98,'AISC Angle Database'!N238&gt;='Steel Angle Lintel Design'!$M$96,'AISC Angle Database'!J238&gt;='Steel Angle Lintel Design'!$F$40,'AISC Angle Database'!J238&lt;='Steel Angle Lintel Design'!$F$41,'AISC Angle Database'!K238&gt;='Steel Angle Lintel Design'!$K$40,'AISC Angle Database'!K238&lt;='Steel Angle Lintel Design'!$K$41),1,"")</f>
        <v/>
      </c>
      <c r="B238" s="44">
        <f t="shared" si="15"/>
        <v>11</v>
      </c>
      <c r="C238" s="44">
        <f t="shared" si="16"/>
        <v>0</v>
      </c>
      <c r="D238" s="42" t="e">
        <f t="shared" ca="1" si="19"/>
        <v>#NAME?</v>
      </c>
      <c r="E238" s="44" t="e">
        <f t="shared" ca="1" si="17"/>
        <v>#NAME?</v>
      </c>
      <c r="F238" s="5" t="e">
        <f t="shared" ca="1" si="18"/>
        <v>#NAME?</v>
      </c>
      <c r="G238" s="15" t="s">
        <v>492</v>
      </c>
      <c r="H238" s="15">
        <f>IF('Steel Angle Lintel Design'!$AM$16=1,0,IF('Steel Angle Lintel Design'!$AM$16=2,1,1))</f>
        <v>1</v>
      </c>
      <c r="I238" s="19">
        <v>15.8</v>
      </c>
      <c r="J238" s="15">
        <v>3.5</v>
      </c>
      <c r="K238" s="15">
        <v>3</v>
      </c>
      <c r="L238" s="15">
        <v>5.45</v>
      </c>
      <c r="M238" s="15">
        <v>4.05</v>
      </c>
      <c r="N238" s="15">
        <v>2.2400000000000002</v>
      </c>
      <c r="O238" s="13">
        <v>6.8</v>
      </c>
      <c r="P238" s="15">
        <v>0</v>
      </c>
      <c r="Q238" s="15">
        <v>0</v>
      </c>
      <c r="R238" s="13">
        <v>0.375</v>
      </c>
      <c r="S238" s="13">
        <v>2</v>
      </c>
      <c r="T238" s="13" t="str">
        <f>IF(S238=2,"Y",IF(J238/R238&lt;0.54*(SQRT(29000/'Steel Angle Lintel Design'!$H$31)),"Y","N"))</f>
        <v>Y</v>
      </c>
      <c r="U238" s="13" t="str">
        <f>IF(J238/R238&gt;0.91*(SQRT(29000/'Steel Angle Lintel Design'!$H$31)),"Y","N")</f>
        <v>N</v>
      </c>
      <c r="V238" s="13" t="s">
        <v>493</v>
      </c>
      <c r="W238" s="13"/>
      <c r="X238" s="13">
        <v>2.27</v>
      </c>
      <c r="Y238" s="13">
        <v>66.400000000000006</v>
      </c>
      <c r="Z238" s="13">
        <v>36.700000000000003</v>
      </c>
      <c r="AA238" s="13"/>
      <c r="AB238" s="13">
        <v>0</v>
      </c>
      <c r="AC238" s="13">
        <v>0</v>
      </c>
    </row>
    <row r="239" spans="1:29" s="8" customFormat="1" ht="15.75">
      <c r="A239" s="43" t="str">
        <f>IF(AND(H239=1,L239&gt;='Steel Angle Lintel Design'!$M$98,'AISC Angle Database'!N239&gt;='Steel Angle Lintel Design'!$M$96,'AISC Angle Database'!J239&gt;='Steel Angle Lintel Design'!$F$40,'AISC Angle Database'!J239&lt;='Steel Angle Lintel Design'!$F$41,'AISC Angle Database'!K239&gt;='Steel Angle Lintel Design'!$K$40,'AISC Angle Database'!K239&lt;='Steel Angle Lintel Design'!$K$41),1,"")</f>
        <v/>
      </c>
      <c r="B239" s="44">
        <f t="shared" si="15"/>
        <v>11</v>
      </c>
      <c r="C239" s="44">
        <f t="shared" si="16"/>
        <v>0</v>
      </c>
      <c r="D239" s="42" t="e">
        <f t="shared" ca="1" si="19"/>
        <v>#NAME?</v>
      </c>
      <c r="E239" s="44" t="e">
        <f t="shared" ca="1" si="17"/>
        <v>#NAME?</v>
      </c>
      <c r="F239" s="5" t="e">
        <f t="shared" ca="1" si="18"/>
        <v>#NAME?</v>
      </c>
      <c r="G239" s="15" t="s">
        <v>494</v>
      </c>
      <c r="H239" s="15">
        <f>IF('Steel Angle Lintel Design'!$AM$16=1,0,IF('Steel Angle Lintel Design'!$AM$16=2,1,1))</f>
        <v>1</v>
      </c>
      <c r="I239" s="19">
        <v>13.3</v>
      </c>
      <c r="J239" s="15">
        <v>3.5</v>
      </c>
      <c r="K239" s="15">
        <v>3</v>
      </c>
      <c r="L239" s="15">
        <v>4.67</v>
      </c>
      <c r="M239" s="15">
        <v>3.43</v>
      </c>
      <c r="N239" s="15">
        <v>1.9</v>
      </c>
      <c r="O239" s="13">
        <v>5.63</v>
      </c>
      <c r="P239" s="15">
        <v>0</v>
      </c>
      <c r="Q239" s="15">
        <v>0</v>
      </c>
      <c r="R239" s="13">
        <v>0.3125</v>
      </c>
      <c r="S239" s="13">
        <v>2</v>
      </c>
      <c r="T239" s="13" t="str">
        <f>IF(S239=2,"Y",IF(J239/R239&lt;0.54*(SQRT(29000/'Steel Angle Lintel Design'!$H$31)),"Y","N"))</f>
        <v>Y</v>
      </c>
      <c r="U239" s="13" t="str">
        <f>IF(J239/R239&gt;0.91*(SQRT(29000/'Steel Angle Lintel Design'!$H$31)),"Y","N")</f>
        <v>N</v>
      </c>
      <c r="V239" s="13" t="s">
        <v>495</v>
      </c>
      <c r="W239" s="13"/>
      <c r="X239" s="13">
        <v>1.94</v>
      </c>
      <c r="Y239" s="13">
        <v>56.2</v>
      </c>
      <c r="Z239" s="13">
        <v>31.1</v>
      </c>
      <c r="AA239" s="13"/>
      <c r="AB239" s="13">
        <v>0</v>
      </c>
      <c r="AC239" s="13">
        <v>0</v>
      </c>
    </row>
    <row r="240" spans="1:29" s="8" customFormat="1" ht="15.75">
      <c r="A240" s="43" t="str">
        <f>IF(AND(H240=1,L240&gt;='Steel Angle Lintel Design'!$M$98,'AISC Angle Database'!N240&gt;='Steel Angle Lintel Design'!$M$96,'AISC Angle Database'!J240&gt;='Steel Angle Lintel Design'!$F$40,'AISC Angle Database'!J240&lt;='Steel Angle Lintel Design'!$F$41,'AISC Angle Database'!K240&gt;='Steel Angle Lintel Design'!$K$40,'AISC Angle Database'!K240&lt;='Steel Angle Lintel Design'!$K$41),1,"")</f>
        <v/>
      </c>
      <c r="B240" s="44">
        <f t="shared" si="15"/>
        <v>11</v>
      </c>
      <c r="C240" s="44">
        <f t="shared" si="16"/>
        <v>0</v>
      </c>
      <c r="D240" s="42" t="e">
        <f t="shared" ca="1" si="19"/>
        <v>#NAME?</v>
      </c>
      <c r="E240" s="44" t="e">
        <f t="shared" ca="1" si="17"/>
        <v>#NAME?</v>
      </c>
      <c r="F240" s="5" t="e">
        <f t="shared" ca="1" si="18"/>
        <v>#NAME?</v>
      </c>
      <c r="G240" s="15" t="s">
        <v>496</v>
      </c>
      <c r="H240" s="15">
        <f>IF('Steel Angle Lintel Design'!$AM$16=1,0,IF('Steel Angle Lintel Design'!$AM$16=2,1,1))</f>
        <v>1</v>
      </c>
      <c r="I240" s="19">
        <v>10.79</v>
      </c>
      <c r="J240" s="15">
        <v>3.5</v>
      </c>
      <c r="K240" s="15">
        <v>3</v>
      </c>
      <c r="L240" s="15">
        <v>3.84</v>
      </c>
      <c r="M240" s="15">
        <v>2.79</v>
      </c>
      <c r="N240" s="15">
        <v>1.55</v>
      </c>
      <c r="O240" s="13">
        <v>4.49</v>
      </c>
      <c r="P240" s="15">
        <v>0</v>
      </c>
      <c r="Q240" s="15">
        <v>0</v>
      </c>
      <c r="R240" s="13">
        <v>0.25</v>
      </c>
      <c r="S240" s="13">
        <v>2</v>
      </c>
      <c r="T240" s="13" t="str">
        <f>IF(S240=2,"Y",IF(J240/R240&lt;0.54*(SQRT(29000/'Steel Angle Lintel Design'!$H$31)),"Y","N"))</f>
        <v>Y</v>
      </c>
      <c r="U240" s="13" t="str">
        <f>IF(J240/R240&gt;0.91*(SQRT(29000/'Steel Angle Lintel Design'!$H$31)),"Y","N")</f>
        <v>N</v>
      </c>
      <c r="V240" s="13" t="s">
        <v>497</v>
      </c>
      <c r="W240" s="13"/>
      <c r="X240" s="13">
        <v>1.6</v>
      </c>
      <c r="Y240" s="13">
        <v>45.7</v>
      </c>
      <c r="Z240" s="13">
        <v>25.4</v>
      </c>
      <c r="AA240" s="13"/>
      <c r="AB240" s="13">
        <v>0</v>
      </c>
      <c r="AC240" s="13">
        <v>0</v>
      </c>
    </row>
    <row r="241" spans="1:30" s="8" customFormat="1" ht="15.75">
      <c r="A241" s="43" t="str">
        <f>IF(AND(H241=1,L241&gt;='Steel Angle Lintel Design'!$M$98,'AISC Angle Database'!N241&gt;='Steel Angle Lintel Design'!$M$96,'AISC Angle Database'!J241&gt;='Steel Angle Lintel Design'!$F$40,'AISC Angle Database'!J241&lt;='Steel Angle Lintel Design'!$F$41,'AISC Angle Database'!K241&gt;='Steel Angle Lintel Design'!$K$40,'AISC Angle Database'!K241&lt;='Steel Angle Lintel Design'!$K$41),1,"")</f>
        <v/>
      </c>
      <c r="B241" s="44">
        <f t="shared" si="15"/>
        <v>11</v>
      </c>
      <c r="C241" s="44">
        <f t="shared" si="16"/>
        <v>0</v>
      </c>
      <c r="D241" s="42" t="e">
        <f t="shared" ca="1" si="19"/>
        <v>#NAME?</v>
      </c>
      <c r="E241" s="44" t="e">
        <f t="shared" ca="1" si="17"/>
        <v>#NAME?</v>
      </c>
      <c r="F241" s="5" t="e">
        <f t="shared" ca="1" si="18"/>
        <v>#NAME?</v>
      </c>
      <c r="G241" s="15" t="s">
        <v>498</v>
      </c>
      <c r="H241" s="15">
        <f>IF('Steel Angle Lintel Design'!$AM$16=1,0,IF('Steel Angle Lintel Design'!$AM$16=2,1,1))</f>
        <v>1</v>
      </c>
      <c r="I241" s="19">
        <v>18.79</v>
      </c>
      <c r="J241" s="15">
        <v>3.5</v>
      </c>
      <c r="K241" s="15">
        <v>2.5</v>
      </c>
      <c r="L241" s="15">
        <v>6.48</v>
      </c>
      <c r="M241" s="15">
        <v>5.05</v>
      </c>
      <c r="N241" s="15">
        <v>2.82</v>
      </c>
      <c r="O241" s="13">
        <v>5.44</v>
      </c>
      <c r="P241" s="15">
        <v>0</v>
      </c>
      <c r="Q241" s="15">
        <v>0</v>
      </c>
      <c r="R241" s="13">
        <v>0.5</v>
      </c>
      <c r="S241" s="13">
        <v>2</v>
      </c>
      <c r="T241" s="13" t="str">
        <f>IF(S241=2,"Y",IF(J241/R241&lt;0.54*(SQRT(29000/'Steel Angle Lintel Design'!$H$31)),"Y","N"))</f>
        <v>Y</v>
      </c>
      <c r="U241" s="13" t="str">
        <f>IF(J241/R241&gt;0.91*(SQRT(29000/'Steel Angle Lintel Design'!$H$31)),"Y","N")</f>
        <v>N</v>
      </c>
      <c r="V241" s="13" t="s">
        <v>499</v>
      </c>
      <c r="W241" s="13"/>
      <c r="X241" s="13">
        <v>2.7</v>
      </c>
      <c r="Y241" s="13">
        <v>82.8</v>
      </c>
      <c r="Z241" s="13">
        <v>46.2</v>
      </c>
      <c r="AA241" s="13"/>
      <c r="AB241" s="13">
        <v>0</v>
      </c>
      <c r="AC241" s="13">
        <v>0</v>
      </c>
    </row>
    <row r="242" spans="1:30" s="8" customFormat="1" ht="15.75">
      <c r="A242" s="43" t="str">
        <f>IF(AND(H242=1,L242&gt;='Steel Angle Lintel Design'!$M$98,'AISC Angle Database'!N242&gt;='Steel Angle Lintel Design'!$M$96,'AISC Angle Database'!J242&gt;='Steel Angle Lintel Design'!$F$40,'AISC Angle Database'!J242&lt;='Steel Angle Lintel Design'!$F$41,'AISC Angle Database'!K242&gt;='Steel Angle Lintel Design'!$K$40,'AISC Angle Database'!K242&lt;='Steel Angle Lintel Design'!$K$41),1,"")</f>
        <v/>
      </c>
      <c r="B242" s="44">
        <f t="shared" si="15"/>
        <v>11</v>
      </c>
      <c r="C242" s="44">
        <f t="shared" si="16"/>
        <v>0</v>
      </c>
      <c r="D242" s="42" t="e">
        <f t="shared" ca="1" si="19"/>
        <v>#NAME?</v>
      </c>
      <c r="E242" s="44" t="e">
        <f t="shared" ca="1" si="17"/>
        <v>#NAME?</v>
      </c>
      <c r="F242" s="5" t="e">
        <f t="shared" ca="1" si="18"/>
        <v>#NAME?</v>
      </c>
      <c r="G242" s="15" t="s">
        <v>500</v>
      </c>
      <c r="H242" s="15">
        <f>IF('Steel Angle Lintel Design'!$AM$16=1,0,IF('Steel Angle Lintel Design'!$AM$16=2,1,1))</f>
        <v>1</v>
      </c>
      <c r="I242" s="19">
        <v>14.49</v>
      </c>
      <c r="J242" s="15">
        <v>3.5</v>
      </c>
      <c r="K242" s="15">
        <v>2.5</v>
      </c>
      <c r="L242" s="15">
        <v>5.13</v>
      </c>
      <c r="M242" s="15">
        <v>3.93</v>
      </c>
      <c r="N242" s="15">
        <v>2.1800000000000002</v>
      </c>
      <c r="O242" s="13">
        <v>4.01</v>
      </c>
      <c r="P242" s="15">
        <v>0</v>
      </c>
      <c r="Q242" s="15">
        <v>0</v>
      </c>
      <c r="R242" s="13">
        <v>0.375</v>
      </c>
      <c r="S242" s="13">
        <v>2</v>
      </c>
      <c r="T242" s="13" t="str">
        <f>IF(S242=2,"Y",IF(J242/R242&lt;0.54*(SQRT(29000/'Steel Angle Lintel Design'!$H$31)),"Y","N"))</f>
        <v>Y</v>
      </c>
      <c r="U242" s="13" t="str">
        <f>IF(J242/R242&gt;0.91*(SQRT(29000/'Steel Angle Lintel Design'!$H$31)),"Y","N")</f>
        <v>N</v>
      </c>
      <c r="V242" s="13" t="s">
        <v>501</v>
      </c>
      <c r="W242" s="13"/>
      <c r="X242" s="13">
        <v>2.14</v>
      </c>
      <c r="Y242" s="13">
        <v>64.400000000000006</v>
      </c>
      <c r="Z242" s="13">
        <v>35.700000000000003</v>
      </c>
      <c r="AA242" s="13"/>
      <c r="AB242" s="13">
        <v>0</v>
      </c>
      <c r="AC242" s="13">
        <v>0</v>
      </c>
    </row>
    <row r="243" spans="1:30" s="8" customFormat="1" ht="15.75">
      <c r="A243" s="43" t="str">
        <f>IF(AND(H243=1,L243&gt;='Steel Angle Lintel Design'!$M$98,'AISC Angle Database'!N243&gt;='Steel Angle Lintel Design'!$M$96,'AISC Angle Database'!J243&gt;='Steel Angle Lintel Design'!$F$40,'AISC Angle Database'!J243&lt;='Steel Angle Lintel Design'!$F$41,'AISC Angle Database'!K243&gt;='Steel Angle Lintel Design'!$K$40,'AISC Angle Database'!K243&lt;='Steel Angle Lintel Design'!$K$41),1,"")</f>
        <v/>
      </c>
      <c r="B243" s="44">
        <f t="shared" si="15"/>
        <v>11</v>
      </c>
      <c r="C243" s="44">
        <f t="shared" si="16"/>
        <v>0</v>
      </c>
      <c r="D243" s="42" t="e">
        <f t="shared" ca="1" si="19"/>
        <v>#NAME?</v>
      </c>
      <c r="E243" s="44" t="e">
        <f t="shared" ca="1" si="17"/>
        <v>#NAME?</v>
      </c>
      <c r="F243" s="5" t="e">
        <f t="shared" ca="1" si="18"/>
        <v>#NAME?</v>
      </c>
      <c r="G243" s="15" t="s">
        <v>502</v>
      </c>
      <c r="H243" s="15">
        <f>IF('Steel Angle Lintel Design'!$AM$16=1,0,IF('Steel Angle Lintel Design'!$AM$16=2,1,1))</f>
        <v>1</v>
      </c>
      <c r="I243" s="19">
        <v>12.21</v>
      </c>
      <c r="J243" s="15">
        <v>3.5</v>
      </c>
      <c r="K243" s="15">
        <v>2.5</v>
      </c>
      <c r="L243" s="15">
        <v>4.3899999999999997</v>
      </c>
      <c r="M243" s="15">
        <v>3.33</v>
      </c>
      <c r="N243" s="15">
        <v>1.85</v>
      </c>
      <c r="O243" s="13">
        <v>3.3</v>
      </c>
      <c r="P243" s="15">
        <v>0</v>
      </c>
      <c r="Q243" s="15">
        <v>0</v>
      </c>
      <c r="R243" s="13">
        <v>0.3125</v>
      </c>
      <c r="S243" s="13">
        <v>2</v>
      </c>
      <c r="T243" s="13" t="str">
        <f>IF(S243=2,"Y",IF(J243/R243&lt;0.54*(SQRT(29000/'Steel Angle Lintel Design'!$H$31)),"Y","N"))</f>
        <v>Y</v>
      </c>
      <c r="U243" s="13" t="str">
        <f>IF(J243/R243&gt;0.91*(SQRT(29000/'Steel Angle Lintel Design'!$H$31)),"Y","N")</f>
        <v>N</v>
      </c>
      <c r="V243" s="13" t="s">
        <v>503</v>
      </c>
      <c r="W243" s="13"/>
      <c r="X243" s="13">
        <v>1.83</v>
      </c>
      <c r="Y243" s="13">
        <v>54.6</v>
      </c>
      <c r="Z243" s="13">
        <v>30.3</v>
      </c>
      <c r="AA243" s="13"/>
      <c r="AB243" s="13">
        <v>0</v>
      </c>
      <c r="AC243" s="13">
        <v>0</v>
      </c>
    </row>
    <row r="244" spans="1:30" s="8" customFormat="1" ht="15.75">
      <c r="A244" s="43" t="str">
        <f>IF(AND(H244=1,L244&gt;='Steel Angle Lintel Design'!$M$98,'AISC Angle Database'!N244&gt;='Steel Angle Lintel Design'!$M$96,'AISC Angle Database'!J244&gt;='Steel Angle Lintel Design'!$F$40,'AISC Angle Database'!J244&lt;='Steel Angle Lintel Design'!$F$41,'AISC Angle Database'!K244&gt;='Steel Angle Lintel Design'!$K$40,'AISC Angle Database'!K244&lt;='Steel Angle Lintel Design'!$K$41),1,"")</f>
        <v/>
      </c>
      <c r="B244" s="44">
        <f t="shared" si="15"/>
        <v>11</v>
      </c>
      <c r="C244" s="44">
        <f t="shared" si="16"/>
        <v>0</v>
      </c>
      <c r="D244" s="42" t="e">
        <f t="shared" ca="1" si="19"/>
        <v>#NAME?</v>
      </c>
      <c r="E244" s="44" t="e">
        <f t="shared" ca="1" si="17"/>
        <v>#NAME?</v>
      </c>
      <c r="F244" s="5" t="e">
        <f t="shared" ca="1" si="18"/>
        <v>#NAME?</v>
      </c>
      <c r="G244" s="15" t="s">
        <v>504</v>
      </c>
      <c r="H244" s="15">
        <f>IF('Steel Angle Lintel Design'!$AM$16=1,0,IF('Steel Angle Lintel Design'!$AM$16=2,1,1))</f>
        <v>1</v>
      </c>
      <c r="I244" s="19">
        <v>9.8800000000000008</v>
      </c>
      <c r="J244" s="15">
        <v>3.5</v>
      </c>
      <c r="K244" s="15">
        <v>2.5</v>
      </c>
      <c r="L244" s="15">
        <v>3.61</v>
      </c>
      <c r="M244" s="15">
        <v>2.72</v>
      </c>
      <c r="N244" s="15">
        <v>1.51</v>
      </c>
      <c r="O244" s="13">
        <v>2.62</v>
      </c>
      <c r="P244" s="15">
        <v>0</v>
      </c>
      <c r="Q244" s="15">
        <v>0</v>
      </c>
      <c r="R244" s="13">
        <v>0.25</v>
      </c>
      <c r="S244" s="13">
        <v>2</v>
      </c>
      <c r="T244" s="13" t="str">
        <f>IF(S244=2,"Y",IF(J244/R244&lt;0.54*(SQRT(29000/'Steel Angle Lintel Design'!$H$31)),"Y","N"))</f>
        <v>Y</v>
      </c>
      <c r="U244" s="13" t="str">
        <f>IF(J244/R244&gt;0.91*(SQRT(29000/'Steel Angle Lintel Design'!$H$31)),"Y","N")</f>
        <v>N</v>
      </c>
      <c r="V244" s="13" t="s">
        <v>505</v>
      </c>
      <c r="W244" s="13"/>
      <c r="X244" s="13">
        <v>1.5</v>
      </c>
      <c r="Y244" s="13">
        <v>44.6</v>
      </c>
      <c r="Z244" s="13">
        <v>24.7</v>
      </c>
      <c r="AA244" s="13"/>
      <c r="AB244" s="13">
        <v>0</v>
      </c>
      <c r="AC244" s="13">
        <v>0</v>
      </c>
    </row>
    <row r="245" spans="1:30" s="8" customFormat="1" ht="15.75">
      <c r="A245" s="43" t="str">
        <f>IF(AND(H245=1,L245&gt;='Steel Angle Lintel Design'!$M$98,'AISC Angle Database'!N245&gt;='Steel Angle Lintel Design'!$M$96,'AISC Angle Database'!J245&gt;='Steel Angle Lintel Design'!$F$40,'AISC Angle Database'!J245&lt;='Steel Angle Lintel Design'!$F$41,'AISC Angle Database'!K245&gt;='Steel Angle Lintel Design'!$K$40,'AISC Angle Database'!K245&lt;='Steel Angle Lintel Design'!$K$41),1,"")</f>
        <v/>
      </c>
      <c r="B245" s="44">
        <f t="shared" si="15"/>
        <v>11</v>
      </c>
      <c r="C245" s="44">
        <f t="shared" si="16"/>
        <v>0</v>
      </c>
      <c r="D245" s="42" t="e">
        <f t="shared" ca="1" si="19"/>
        <v>#NAME?</v>
      </c>
      <c r="E245" s="44" t="e">
        <f t="shared" ca="1" si="17"/>
        <v>#NAME?</v>
      </c>
      <c r="F245" s="5" t="e">
        <f t="shared" ca="1" si="18"/>
        <v>#NAME?</v>
      </c>
      <c r="G245" s="15" t="s">
        <v>506</v>
      </c>
      <c r="H245" s="15">
        <f>IF('Steel Angle Lintel Design'!$AM$16=1,0,IF('Steel Angle Lintel Design'!$AM$16=2,1,1))</f>
        <v>1</v>
      </c>
      <c r="I245" s="19">
        <v>17.11</v>
      </c>
      <c r="J245" s="15">
        <v>3</v>
      </c>
      <c r="K245" s="15">
        <v>2.5</v>
      </c>
      <c r="L245" s="15">
        <v>4.1500000000000004</v>
      </c>
      <c r="M245" s="15">
        <v>3.72</v>
      </c>
      <c r="N245" s="15">
        <v>2.0699999999999998</v>
      </c>
      <c r="O245" s="13">
        <v>5.44</v>
      </c>
      <c r="P245" s="15">
        <v>0</v>
      </c>
      <c r="Q245" s="15">
        <v>0</v>
      </c>
      <c r="R245" s="13">
        <v>0.5</v>
      </c>
      <c r="S245" s="13">
        <v>2</v>
      </c>
      <c r="T245" s="13" t="str">
        <f>IF(S245=2,"Y",IF(J245/R245&lt;0.54*(SQRT(29000/'Steel Angle Lintel Design'!$H$31)),"Y","N"))</f>
        <v>Y</v>
      </c>
      <c r="U245" s="13" t="str">
        <f>IF(J245/R245&gt;0.91*(SQRT(29000/'Steel Angle Lintel Design'!$H$31)),"Y","N")</f>
        <v>N</v>
      </c>
      <c r="V245" s="13" t="s">
        <v>507</v>
      </c>
      <c r="W245" s="13"/>
      <c r="X245" s="13">
        <v>1.73</v>
      </c>
      <c r="Y245" s="13">
        <v>61</v>
      </c>
      <c r="Z245" s="13">
        <v>33.9</v>
      </c>
      <c r="AA245" s="13"/>
      <c r="AB245" s="13">
        <v>0</v>
      </c>
      <c r="AC245" s="13">
        <v>0</v>
      </c>
    </row>
    <row r="246" spans="1:30" s="8" customFormat="1" ht="15.75">
      <c r="A246" s="43" t="str">
        <f>IF(AND(H246=1,L246&gt;='Steel Angle Lintel Design'!$M$98,'AISC Angle Database'!N246&gt;='Steel Angle Lintel Design'!$M$96,'AISC Angle Database'!J246&gt;='Steel Angle Lintel Design'!$F$40,'AISC Angle Database'!J246&lt;='Steel Angle Lintel Design'!$F$41,'AISC Angle Database'!K246&gt;='Steel Angle Lintel Design'!$K$40,'AISC Angle Database'!K246&lt;='Steel Angle Lintel Design'!$K$41),1,"")</f>
        <v/>
      </c>
      <c r="B246" s="44">
        <f t="shared" si="15"/>
        <v>11</v>
      </c>
      <c r="C246" s="44">
        <f t="shared" si="16"/>
        <v>0</v>
      </c>
      <c r="D246" s="42" t="e">
        <f t="shared" ca="1" si="19"/>
        <v>#NAME?</v>
      </c>
      <c r="E246" s="44" t="e">
        <f t="shared" ca="1" si="17"/>
        <v>#NAME?</v>
      </c>
      <c r="F246" s="5" t="e">
        <f t="shared" ca="1" si="18"/>
        <v>#NAME?</v>
      </c>
      <c r="G246" s="15" t="s">
        <v>508</v>
      </c>
      <c r="H246" s="15">
        <f>IF('Steel Angle Lintel Design'!$AM$16=1,0,IF('Steel Angle Lintel Design'!$AM$16=2,1,1))</f>
        <v>1</v>
      </c>
      <c r="I246" s="19">
        <v>15.11</v>
      </c>
      <c r="J246" s="15">
        <v>3</v>
      </c>
      <c r="K246" s="15">
        <v>2.5</v>
      </c>
      <c r="L246" s="15">
        <v>3.73</v>
      </c>
      <c r="M246" s="15">
        <v>3.31</v>
      </c>
      <c r="N246" s="15">
        <v>1.84</v>
      </c>
      <c r="O246" s="13">
        <v>4.62</v>
      </c>
      <c r="P246" s="15">
        <v>0</v>
      </c>
      <c r="Q246" s="15">
        <v>0</v>
      </c>
      <c r="R246" s="13">
        <v>0.4375</v>
      </c>
      <c r="S246" s="13">
        <v>2</v>
      </c>
      <c r="T246" s="13" t="str">
        <f>IF(S246=2,"Y",IF(J246/R246&lt;0.54*(SQRT(29000/'Steel Angle Lintel Design'!$H$31)),"Y","N"))</f>
        <v>Y</v>
      </c>
      <c r="U246" s="13" t="str">
        <f>IF(J246/R246&gt;0.91*(SQRT(29000/'Steel Angle Lintel Design'!$H$31)),"Y","N")</f>
        <v>N</v>
      </c>
      <c r="V246" s="13" t="s">
        <v>509</v>
      </c>
      <c r="W246" s="13"/>
      <c r="X246" s="13">
        <v>1.55</v>
      </c>
      <c r="Y246" s="13">
        <v>54.2</v>
      </c>
      <c r="Z246" s="13">
        <v>30.2</v>
      </c>
      <c r="AA246" s="13"/>
      <c r="AB246" s="13">
        <v>0</v>
      </c>
      <c r="AC246" s="13">
        <v>0</v>
      </c>
    </row>
    <row r="247" spans="1:30" s="8" customFormat="1" ht="15.75">
      <c r="A247" s="43" t="str">
        <f>IF(AND(H247=1,L247&gt;='Steel Angle Lintel Design'!$M$98,'AISC Angle Database'!N247&gt;='Steel Angle Lintel Design'!$M$96,'AISC Angle Database'!J247&gt;='Steel Angle Lintel Design'!$F$40,'AISC Angle Database'!J247&lt;='Steel Angle Lintel Design'!$F$41,'AISC Angle Database'!K247&gt;='Steel Angle Lintel Design'!$K$40,'AISC Angle Database'!K247&lt;='Steel Angle Lintel Design'!$K$41),1,"")</f>
        <v/>
      </c>
      <c r="B247" s="44">
        <f t="shared" si="15"/>
        <v>11</v>
      </c>
      <c r="C247" s="44">
        <f t="shared" si="16"/>
        <v>0</v>
      </c>
      <c r="D247" s="42" t="e">
        <f t="shared" ca="1" si="19"/>
        <v>#NAME?</v>
      </c>
      <c r="E247" s="44" t="e">
        <f t="shared" ca="1" si="17"/>
        <v>#NAME?</v>
      </c>
      <c r="F247" s="5" t="e">
        <f t="shared" ca="1" si="18"/>
        <v>#NAME?</v>
      </c>
      <c r="G247" s="15" t="s">
        <v>510</v>
      </c>
      <c r="H247" s="15">
        <f>IF('Steel Angle Lintel Design'!$AM$16=1,0,IF('Steel Angle Lintel Design'!$AM$16=2,1,1))</f>
        <v>1</v>
      </c>
      <c r="I247" s="19">
        <v>13.1</v>
      </c>
      <c r="J247" s="15">
        <v>3</v>
      </c>
      <c r="K247" s="15">
        <v>2.5</v>
      </c>
      <c r="L247" s="15">
        <v>3.3</v>
      </c>
      <c r="M247" s="15">
        <v>2.89</v>
      </c>
      <c r="N247" s="15">
        <v>1.61</v>
      </c>
      <c r="O247" s="13">
        <v>3.93</v>
      </c>
      <c r="P247" s="15">
        <v>0</v>
      </c>
      <c r="Q247" s="15">
        <v>0</v>
      </c>
      <c r="R247" s="13">
        <v>0.375</v>
      </c>
      <c r="S247" s="13">
        <v>2</v>
      </c>
      <c r="T247" s="13" t="str">
        <f>IF(S247=2,"Y",IF(J247/R247&lt;0.54*(SQRT(29000/'Steel Angle Lintel Design'!$H$31)),"Y","N"))</f>
        <v>Y</v>
      </c>
      <c r="U247" s="13" t="str">
        <f>IF(J247/R247&gt;0.91*(SQRT(29000/'Steel Angle Lintel Design'!$H$31)),"Y","N")</f>
        <v>N</v>
      </c>
      <c r="V247" s="13" t="s">
        <v>511</v>
      </c>
      <c r="W247" s="13"/>
      <c r="X247" s="13">
        <v>1.37</v>
      </c>
      <c r="Y247" s="13">
        <v>47.4</v>
      </c>
      <c r="Z247" s="13">
        <v>26.4</v>
      </c>
      <c r="AA247" s="13"/>
      <c r="AB247" s="13">
        <v>0</v>
      </c>
      <c r="AC247" s="13">
        <v>0</v>
      </c>
    </row>
    <row r="248" spans="1:30" s="8" customFormat="1" ht="15.75">
      <c r="A248" s="43" t="str">
        <f>IF(AND(H248=1,L248&gt;='Steel Angle Lintel Design'!$M$98,'AISC Angle Database'!N248&gt;='Steel Angle Lintel Design'!$M$96,'AISC Angle Database'!J248&gt;='Steel Angle Lintel Design'!$F$40,'AISC Angle Database'!J248&lt;='Steel Angle Lintel Design'!$F$41,'AISC Angle Database'!K248&gt;='Steel Angle Lintel Design'!$K$40,'AISC Angle Database'!K248&lt;='Steel Angle Lintel Design'!$K$41),1,"")</f>
        <v/>
      </c>
      <c r="B248" s="44">
        <f t="shared" si="15"/>
        <v>11</v>
      </c>
      <c r="C248" s="44">
        <f t="shared" si="16"/>
        <v>0</v>
      </c>
      <c r="D248" s="42" t="e">
        <f t="shared" ca="1" si="19"/>
        <v>#NAME?</v>
      </c>
      <c r="E248" s="44" t="e">
        <f t="shared" ca="1" si="17"/>
        <v>#NAME?</v>
      </c>
      <c r="F248" s="5" t="e">
        <f t="shared" ca="1" si="18"/>
        <v>#NAME?</v>
      </c>
      <c r="G248" s="15" t="s">
        <v>512</v>
      </c>
      <c r="H248" s="15">
        <f>IF('Steel Angle Lintel Design'!$AM$16=1,0,IF('Steel Angle Lintel Design'!$AM$16=2,1,1))</f>
        <v>1</v>
      </c>
      <c r="I248" s="19">
        <v>11.11</v>
      </c>
      <c r="J248" s="15">
        <v>3</v>
      </c>
      <c r="K248" s="15">
        <v>2.5</v>
      </c>
      <c r="L248" s="15">
        <v>2.83</v>
      </c>
      <c r="M248" s="15">
        <v>2.46</v>
      </c>
      <c r="N248" s="15">
        <v>1.36</v>
      </c>
      <c r="O248" s="13">
        <v>3.26</v>
      </c>
      <c r="P248" s="15">
        <v>0</v>
      </c>
      <c r="Q248" s="15">
        <v>0</v>
      </c>
      <c r="R248" s="13">
        <v>0.3125</v>
      </c>
      <c r="S248" s="13">
        <v>2</v>
      </c>
      <c r="T248" s="13" t="str">
        <f>IF(S248=2,"Y",IF(J248/R248&lt;0.54*(SQRT(29000/'Steel Angle Lintel Design'!$H$31)),"Y","N"))</f>
        <v>Y</v>
      </c>
      <c r="U248" s="13" t="str">
        <f>IF(J248/R248&gt;0.91*(SQRT(29000/'Steel Angle Lintel Design'!$H$31)),"Y","N")</f>
        <v>N</v>
      </c>
      <c r="V248" s="13" t="s">
        <v>513</v>
      </c>
      <c r="W248" s="13"/>
      <c r="X248" s="13">
        <v>1.18</v>
      </c>
      <c r="Y248" s="13">
        <v>40.299999999999997</v>
      </c>
      <c r="Z248" s="13">
        <v>22.3</v>
      </c>
      <c r="AA248" s="13"/>
      <c r="AB248" s="13">
        <v>0</v>
      </c>
      <c r="AC248" s="13">
        <v>0</v>
      </c>
    </row>
    <row r="249" spans="1:30" s="8" customFormat="1" ht="15.75">
      <c r="A249" s="43" t="str">
        <f>IF(AND(H249=1,L249&gt;='Steel Angle Lintel Design'!$M$98,'AISC Angle Database'!N249&gt;='Steel Angle Lintel Design'!$M$96,'AISC Angle Database'!J249&gt;='Steel Angle Lintel Design'!$F$40,'AISC Angle Database'!J249&lt;='Steel Angle Lintel Design'!$F$41,'AISC Angle Database'!K249&gt;='Steel Angle Lintel Design'!$K$40,'AISC Angle Database'!K249&lt;='Steel Angle Lintel Design'!$K$41),1,"")</f>
        <v/>
      </c>
      <c r="B249" s="44">
        <f t="shared" si="15"/>
        <v>11</v>
      </c>
      <c r="C249" s="44">
        <f t="shared" si="16"/>
        <v>0</v>
      </c>
      <c r="D249" s="42" t="e">
        <f t="shared" ca="1" si="19"/>
        <v>#NAME?</v>
      </c>
      <c r="E249" s="44" t="e">
        <f t="shared" ca="1" si="17"/>
        <v>#NAME?</v>
      </c>
      <c r="F249" s="5" t="e">
        <f t="shared" ca="1" si="18"/>
        <v>#NAME?</v>
      </c>
      <c r="G249" s="15" t="s">
        <v>514</v>
      </c>
      <c r="H249" s="15">
        <f>IF('Steel Angle Lintel Design'!$AM$16=1,0,IF('Steel Angle Lintel Design'!$AM$16=2,1,1))</f>
        <v>1</v>
      </c>
      <c r="I249" s="19">
        <v>8.9600000000000009</v>
      </c>
      <c r="J249" s="15">
        <v>3</v>
      </c>
      <c r="K249" s="15">
        <v>2.5</v>
      </c>
      <c r="L249" s="15">
        <v>2.33</v>
      </c>
      <c r="M249" s="15">
        <v>2</v>
      </c>
      <c r="N249" s="15">
        <v>1.1100000000000001</v>
      </c>
      <c r="O249" s="13">
        <v>2.59</v>
      </c>
      <c r="P249" s="15">
        <v>0</v>
      </c>
      <c r="Q249" s="15">
        <v>0</v>
      </c>
      <c r="R249" s="13">
        <v>0.25</v>
      </c>
      <c r="S249" s="13">
        <v>2</v>
      </c>
      <c r="T249" s="13" t="str">
        <f>IF(S249=2,"Y",IF(J249/R249&lt;0.54*(SQRT(29000/'Steel Angle Lintel Design'!$H$31)),"Y","N"))</f>
        <v>Y</v>
      </c>
      <c r="U249" s="13" t="str">
        <f>IF(J249/R249&gt;0.91*(SQRT(29000/'Steel Angle Lintel Design'!$H$31)),"Y","N")</f>
        <v>N</v>
      </c>
      <c r="V249" s="13" t="s">
        <v>515</v>
      </c>
      <c r="W249" s="13"/>
      <c r="X249" s="13">
        <v>0.97</v>
      </c>
      <c r="Y249" s="13">
        <v>32.799999999999997</v>
      </c>
      <c r="Z249" s="13">
        <v>18.2</v>
      </c>
      <c r="AA249" s="13"/>
      <c r="AB249" s="13">
        <v>0</v>
      </c>
      <c r="AC249" s="13">
        <v>0</v>
      </c>
    </row>
    <row r="250" spans="1:30" s="8" customFormat="1" ht="15.75">
      <c r="A250" s="43" t="str">
        <f>IF(AND(H250=1,L250&gt;='Steel Angle Lintel Design'!$M$98,'AISC Angle Database'!N250&gt;='Steel Angle Lintel Design'!$M$96,'AISC Angle Database'!J250&gt;='Steel Angle Lintel Design'!$F$40,'AISC Angle Database'!J250&lt;='Steel Angle Lintel Design'!$F$41,'AISC Angle Database'!K250&gt;='Steel Angle Lintel Design'!$K$40,'AISC Angle Database'!K250&lt;='Steel Angle Lintel Design'!$K$41),1,"")</f>
        <v/>
      </c>
      <c r="B250" s="44">
        <f t="shared" si="15"/>
        <v>11</v>
      </c>
      <c r="C250" s="44">
        <f t="shared" si="16"/>
        <v>0</v>
      </c>
      <c r="D250" s="42" t="e">
        <f t="shared" ca="1" si="19"/>
        <v>#NAME?</v>
      </c>
      <c r="E250" s="44" t="e">
        <f t="shared" ca="1" si="17"/>
        <v>#NAME?</v>
      </c>
      <c r="F250" s="5" t="e">
        <f t="shared" ca="1" si="18"/>
        <v>#NAME?</v>
      </c>
      <c r="G250" s="15" t="s">
        <v>516</v>
      </c>
      <c r="H250" s="15">
        <f>IF('Steel Angle Lintel Design'!$AM$16=1,0,IF('Steel Angle Lintel Design'!$AM$16=2,1,1))</f>
        <v>1</v>
      </c>
      <c r="I250" s="19">
        <v>6.81</v>
      </c>
      <c r="J250" s="15">
        <v>3</v>
      </c>
      <c r="K250" s="15">
        <v>2.5</v>
      </c>
      <c r="L250" s="15">
        <v>1.8</v>
      </c>
      <c r="M250" s="15">
        <v>1.52</v>
      </c>
      <c r="N250" s="15">
        <v>0.84599999999999997</v>
      </c>
      <c r="O250" s="13">
        <v>1.92</v>
      </c>
      <c r="P250" s="15">
        <v>0</v>
      </c>
      <c r="Q250" s="15">
        <v>0</v>
      </c>
      <c r="R250" s="13">
        <v>0.1875</v>
      </c>
      <c r="S250" s="13">
        <v>2</v>
      </c>
      <c r="T250" s="13" t="str">
        <f>IF(S250=2,"Y",IF(J250/R250&lt;0.54*(SQRT(29000/'Steel Angle Lintel Design'!$H$31)),"Y","N"))</f>
        <v>Y</v>
      </c>
      <c r="U250" s="13" t="str">
        <f>IF(J250/R250&gt;0.91*(SQRT(29000/'Steel Angle Lintel Design'!$H$31)),"Y","N")</f>
        <v>N</v>
      </c>
      <c r="V250" s="13" t="s">
        <v>517</v>
      </c>
      <c r="W250" s="13"/>
      <c r="X250" s="13">
        <v>0.749</v>
      </c>
      <c r="Y250" s="13">
        <v>24.9</v>
      </c>
      <c r="Z250" s="13">
        <v>13.9</v>
      </c>
      <c r="AA250" s="13"/>
      <c r="AB250" s="13">
        <v>0</v>
      </c>
      <c r="AC250" s="13">
        <v>0</v>
      </c>
    </row>
    <row r="251" spans="1:30" s="8" customFormat="1" ht="15.75">
      <c r="A251" s="43" t="str">
        <f>IF(AND(H251=1,L251&gt;='Steel Angle Lintel Design'!$M$98,'AISC Angle Database'!N251&gt;='Steel Angle Lintel Design'!$M$96,'AISC Angle Database'!J251&gt;='Steel Angle Lintel Design'!$F$40,'AISC Angle Database'!J251&lt;='Steel Angle Lintel Design'!$F$41,'AISC Angle Database'!K251&gt;='Steel Angle Lintel Design'!$K$40,'AISC Angle Database'!K251&lt;='Steel Angle Lintel Design'!$K$41),1,"")</f>
        <v/>
      </c>
      <c r="B251" s="44">
        <f t="shared" si="15"/>
        <v>11</v>
      </c>
      <c r="C251" s="44">
        <f t="shared" si="16"/>
        <v>0</v>
      </c>
      <c r="D251" s="42" t="e">
        <f t="shared" ca="1" si="19"/>
        <v>#NAME?</v>
      </c>
      <c r="E251" s="44" t="e">
        <f t="shared" ca="1" si="17"/>
        <v>#NAME?</v>
      </c>
      <c r="F251" s="5" t="e">
        <f t="shared" ca="1" si="18"/>
        <v>#NAME?</v>
      </c>
      <c r="G251" s="15" t="s">
        <v>518</v>
      </c>
      <c r="H251" s="15">
        <f>IF('Steel Angle Lintel Design'!$AM$16=1,0,IF('Steel Angle Lintel Design'!$AM$16=2,1,1))</f>
        <v>1</v>
      </c>
      <c r="I251" s="19">
        <v>15.41</v>
      </c>
      <c r="J251" s="15">
        <v>3</v>
      </c>
      <c r="K251" s="15">
        <v>2</v>
      </c>
      <c r="L251" s="15">
        <v>3.85</v>
      </c>
      <c r="M251" s="15">
        <v>3.55</v>
      </c>
      <c r="N251" s="15">
        <v>2</v>
      </c>
      <c r="O251" s="13">
        <v>2.86</v>
      </c>
      <c r="P251" s="15">
        <v>0</v>
      </c>
      <c r="Q251" s="15">
        <v>0</v>
      </c>
      <c r="R251" s="13">
        <v>0.5</v>
      </c>
      <c r="S251" s="13">
        <v>2</v>
      </c>
      <c r="T251" s="13" t="str">
        <f>IF(S251=2,"Y",IF(J251/R251&lt;0.54*(SQRT(29000/'Steel Angle Lintel Design'!$H$31)),"Y","N"))</f>
        <v>Y</v>
      </c>
      <c r="U251" s="13" t="str">
        <f>IF(J251/R251&gt;0.91*(SQRT(29000/'Steel Angle Lintel Design'!$H$31)),"Y","N")</f>
        <v>N</v>
      </c>
      <c r="V251" s="13" t="s">
        <v>519</v>
      </c>
      <c r="W251" s="13"/>
      <c r="X251" s="13">
        <v>1.6</v>
      </c>
      <c r="Y251" s="13">
        <v>58.2</v>
      </c>
      <c r="Z251" s="13">
        <v>32.799999999999997</v>
      </c>
      <c r="AA251" s="13"/>
      <c r="AB251" s="13">
        <v>0</v>
      </c>
      <c r="AC251" s="13">
        <v>0</v>
      </c>
      <c r="AD251" s="13"/>
    </row>
    <row r="252" spans="1:30" s="8" customFormat="1" ht="15.75">
      <c r="A252" s="43" t="str">
        <f>IF(AND(H252=1,L252&gt;='Steel Angle Lintel Design'!$M$98,'AISC Angle Database'!N252&gt;='Steel Angle Lintel Design'!$M$96,'AISC Angle Database'!J252&gt;='Steel Angle Lintel Design'!$F$40,'AISC Angle Database'!J252&lt;='Steel Angle Lintel Design'!$F$41,'AISC Angle Database'!K252&gt;='Steel Angle Lintel Design'!$K$40,'AISC Angle Database'!K252&lt;='Steel Angle Lintel Design'!$K$41),1,"")</f>
        <v/>
      </c>
      <c r="B252" s="44">
        <f t="shared" si="15"/>
        <v>11</v>
      </c>
      <c r="C252" s="44">
        <f t="shared" si="16"/>
        <v>0</v>
      </c>
      <c r="D252" s="42" t="e">
        <f t="shared" ca="1" si="19"/>
        <v>#NAME?</v>
      </c>
      <c r="E252" s="44" t="e">
        <f t="shared" ca="1" si="17"/>
        <v>#NAME?</v>
      </c>
      <c r="F252" s="5" t="e">
        <f t="shared" ca="1" si="18"/>
        <v>#NAME?</v>
      </c>
      <c r="G252" s="15" t="s">
        <v>520</v>
      </c>
      <c r="H252" s="15">
        <f>IF('Steel Angle Lintel Design'!$AM$16=1,0,IF('Steel Angle Lintel Design'!$AM$16=2,1,1))</f>
        <v>1</v>
      </c>
      <c r="I252" s="19">
        <v>11.92</v>
      </c>
      <c r="J252" s="15">
        <v>3</v>
      </c>
      <c r="K252" s="15">
        <v>2</v>
      </c>
      <c r="L252" s="15">
        <v>3.07</v>
      </c>
      <c r="M252" s="15">
        <v>2.78</v>
      </c>
      <c r="N252" s="15">
        <v>1.56</v>
      </c>
      <c r="O252" s="13">
        <v>2.08</v>
      </c>
      <c r="P252" s="15">
        <v>0</v>
      </c>
      <c r="Q252" s="15">
        <v>0</v>
      </c>
      <c r="R252" s="13">
        <v>0.375</v>
      </c>
      <c r="S252" s="13">
        <v>2</v>
      </c>
      <c r="T252" s="13" t="str">
        <f>IF(S252=2,"Y",IF(J252/R252&lt;0.54*(SQRT(29000/'Steel Angle Lintel Design'!$H$31)),"Y","N"))</f>
        <v>Y</v>
      </c>
      <c r="U252" s="13" t="str">
        <f>IF(J252/R252&gt;0.91*(SQRT(29000/'Steel Angle Lintel Design'!$H$31)),"Y","N")</f>
        <v>N</v>
      </c>
      <c r="V252" s="13" t="s">
        <v>521</v>
      </c>
      <c r="W252" s="13"/>
      <c r="X252" s="13">
        <v>1.28</v>
      </c>
      <c r="Y252" s="13">
        <v>45.6</v>
      </c>
      <c r="Z252" s="13">
        <v>25.6</v>
      </c>
      <c r="AA252" s="13"/>
      <c r="AB252" s="13">
        <v>0</v>
      </c>
      <c r="AC252" s="13">
        <v>0</v>
      </c>
    </row>
    <row r="253" spans="1:30" s="8" customFormat="1" ht="15.75">
      <c r="A253" s="43" t="str">
        <f>IF(AND(H253=1,L253&gt;='Steel Angle Lintel Design'!$M$98,'AISC Angle Database'!N253&gt;='Steel Angle Lintel Design'!$M$96,'AISC Angle Database'!J253&gt;='Steel Angle Lintel Design'!$F$40,'AISC Angle Database'!J253&lt;='Steel Angle Lintel Design'!$F$41,'AISC Angle Database'!K253&gt;='Steel Angle Lintel Design'!$K$40,'AISC Angle Database'!K253&lt;='Steel Angle Lintel Design'!$K$41),1,"")</f>
        <v/>
      </c>
      <c r="B253" s="44">
        <f t="shared" si="15"/>
        <v>11</v>
      </c>
      <c r="C253" s="44">
        <f t="shared" si="16"/>
        <v>0</v>
      </c>
      <c r="D253" s="42" t="e">
        <f t="shared" ca="1" si="19"/>
        <v>#NAME?</v>
      </c>
      <c r="E253" s="44" t="e">
        <f t="shared" ca="1" si="17"/>
        <v>#NAME?</v>
      </c>
      <c r="F253" s="5" t="e">
        <f t="shared" ca="1" si="18"/>
        <v>#NAME?</v>
      </c>
      <c r="G253" s="15" t="s">
        <v>522</v>
      </c>
      <c r="H253" s="15">
        <f>IF('Steel Angle Lintel Design'!$AM$16=1,0,IF('Steel Angle Lintel Design'!$AM$16=2,1,1))</f>
        <v>1</v>
      </c>
      <c r="I253" s="19">
        <v>10.11</v>
      </c>
      <c r="J253" s="15">
        <v>3</v>
      </c>
      <c r="K253" s="15">
        <v>2</v>
      </c>
      <c r="L253" s="15">
        <v>2.64</v>
      </c>
      <c r="M253" s="15">
        <v>2.37</v>
      </c>
      <c r="N253" s="15">
        <v>1.32</v>
      </c>
      <c r="O253" s="13">
        <v>1.71</v>
      </c>
      <c r="P253" s="15">
        <v>0</v>
      </c>
      <c r="Q253" s="15">
        <v>0</v>
      </c>
      <c r="R253" s="13">
        <v>0.3125</v>
      </c>
      <c r="S253" s="13">
        <v>2</v>
      </c>
      <c r="T253" s="13" t="str">
        <f>IF(S253=2,"Y",IF(J253/R253&lt;0.54*(SQRT(29000/'Steel Angle Lintel Design'!$H$31)),"Y","N"))</f>
        <v>Y</v>
      </c>
      <c r="U253" s="13" t="str">
        <f>IF(J253/R253&gt;0.91*(SQRT(29000/'Steel Angle Lintel Design'!$H$31)),"Y","N")</f>
        <v>N</v>
      </c>
      <c r="V253" s="13" t="s">
        <v>523</v>
      </c>
      <c r="W253" s="13"/>
      <c r="X253" s="13">
        <v>1.1000000000000001</v>
      </c>
      <c r="Y253" s="13">
        <v>38.799999999999997</v>
      </c>
      <c r="Z253" s="13">
        <v>21.6</v>
      </c>
      <c r="AA253" s="13"/>
      <c r="AB253" s="13">
        <v>0</v>
      </c>
      <c r="AC253" s="13">
        <v>0</v>
      </c>
    </row>
    <row r="254" spans="1:30" s="8" customFormat="1" ht="15.75">
      <c r="A254" s="43" t="str">
        <f>IF(AND(H254=1,L254&gt;='Steel Angle Lintel Design'!$M$98,'AISC Angle Database'!N254&gt;='Steel Angle Lintel Design'!$M$96,'AISC Angle Database'!J254&gt;='Steel Angle Lintel Design'!$F$40,'AISC Angle Database'!J254&lt;='Steel Angle Lintel Design'!$F$41,'AISC Angle Database'!K254&gt;='Steel Angle Lintel Design'!$K$40,'AISC Angle Database'!K254&lt;='Steel Angle Lintel Design'!$K$41),1,"")</f>
        <v/>
      </c>
      <c r="B254" s="44">
        <f t="shared" si="15"/>
        <v>11</v>
      </c>
      <c r="C254" s="44">
        <f t="shared" si="16"/>
        <v>0</v>
      </c>
      <c r="D254" s="42" t="e">
        <f t="shared" ca="1" si="19"/>
        <v>#NAME?</v>
      </c>
      <c r="E254" s="44" t="e">
        <f t="shared" ca="1" si="17"/>
        <v>#NAME?</v>
      </c>
      <c r="F254" s="5" t="e">
        <f t="shared" ca="1" si="18"/>
        <v>#NAME?</v>
      </c>
      <c r="G254" s="15" t="s">
        <v>524</v>
      </c>
      <c r="H254" s="15">
        <f>IF('Steel Angle Lintel Design'!$AM$16=1,0,IF('Steel Angle Lintel Design'!$AM$16=2,1,1))</f>
        <v>1</v>
      </c>
      <c r="I254" s="19">
        <v>8.17</v>
      </c>
      <c r="J254" s="15">
        <v>3</v>
      </c>
      <c r="K254" s="15">
        <v>2</v>
      </c>
      <c r="L254" s="15">
        <v>2.1800000000000002</v>
      </c>
      <c r="M254" s="15">
        <v>1.94</v>
      </c>
      <c r="N254" s="15">
        <v>1.08</v>
      </c>
      <c r="O254" s="13">
        <v>1.35</v>
      </c>
      <c r="P254" s="15">
        <v>0</v>
      </c>
      <c r="Q254" s="15">
        <v>0</v>
      </c>
      <c r="R254" s="13">
        <v>0.25</v>
      </c>
      <c r="S254" s="13">
        <v>2</v>
      </c>
      <c r="T254" s="13" t="str">
        <f>IF(S254=2,"Y",IF(J254/R254&lt;0.54*(SQRT(29000/'Steel Angle Lintel Design'!$H$31)),"Y","N"))</f>
        <v>Y</v>
      </c>
      <c r="U254" s="13" t="str">
        <f>IF(J254/R254&gt;0.91*(SQRT(29000/'Steel Angle Lintel Design'!$H$31)),"Y","N")</f>
        <v>N</v>
      </c>
      <c r="V254" s="13" t="s">
        <v>525</v>
      </c>
      <c r="W254" s="13"/>
      <c r="X254" s="13">
        <v>0.90700000000000003</v>
      </c>
      <c r="Y254" s="13">
        <v>31.8</v>
      </c>
      <c r="Z254" s="13">
        <v>17.7</v>
      </c>
      <c r="AA254" s="13"/>
      <c r="AB254" s="13">
        <v>0</v>
      </c>
      <c r="AC254" s="13">
        <v>0</v>
      </c>
    </row>
    <row r="255" spans="1:30" s="8" customFormat="1" ht="15.75">
      <c r="A255" s="43" t="str">
        <f>IF(AND(H255=1,L255&gt;='Steel Angle Lintel Design'!$M$98,'AISC Angle Database'!N255&gt;='Steel Angle Lintel Design'!$M$96,'AISC Angle Database'!J255&gt;='Steel Angle Lintel Design'!$F$40,'AISC Angle Database'!J255&lt;='Steel Angle Lintel Design'!$F$41,'AISC Angle Database'!K255&gt;='Steel Angle Lintel Design'!$K$40,'AISC Angle Database'!K255&lt;='Steel Angle Lintel Design'!$K$41),1,"")</f>
        <v/>
      </c>
      <c r="B255" s="44">
        <f t="shared" si="15"/>
        <v>11</v>
      </c>
      <c r="C255" s="44">
        <f t="shared" si="16"/>
        <v>0</v>
      </c>
      <c r="D255" s="42" t="e">
        <f t="shared" ca="1" si="19"/>
        <v>#NAME?</v>
      </c>
      <c r="E255" s="44" t="e">
        <f t="shared" ca="1" si="17"/>
        <v>#NAME?</v>
      </c>
      <c r="F255" s="5" t="e">
        <f t="shared" ca="1" si="18"/>
        <v>#NAME?</v>
      </c>
      <c r="G255" s="15" t="s">
        <v>526</v>
      </c>
      <c r="H255" s="15">
        <f>IF('Steel Angle Lintel Design'!$AM$16=1,0,IF('Steel Angle Lintel Design'!$AM$16=2,1,1))</f>
        <v>1</v>
      </c>
      <c r="I255" s="19">
        <v>6.23</v>
      </c>
      <c r="J255" s="15">
        <v>3</v>
      </c>
      <c r="K255" s="15">
        <v>2</v>
      </c>
      <c r="L255" s="15">
        <v>1.69</v>
      </c>
      <c r="M255" s="15">
        <v>1.49</v>
      </c>
      <c r="N255" s="15">
        <v>0.82799999999999996</v>
      </c>
      <c r="O255" s="13">
        <v>1</v>
      </c>
      <c r="P255" s="15">
        <v>0</v>
      </c>
      <c r="Q255" s="15">
        <v>0</v>
      </c>
      <c r="R255" s="13">
        <v>0.1875</v>
      </c>
      <c r="S255" s="13">
        <v>2</v>
      </c>
      <c r="T255" s="13" t="str">
        <f>IF(S255=2,"Y",IF(J255/R255&lt;0.54*(SQRT(29000/'Steel Angle Lintel Design'!$H$31)),"Y","N"))</f>
        <v>Y</v>
      </c>
      <c r="U255" s="13" t="str">
        <f>IF(J255/R255&gt;0.91*(SQRT(29000/'Steel Angle Lintel Design'!$H$31)),"Y","N")</f>
        <v>N</v>
      </c>
      <c r="V255" s="13" t="s">
        <v>527</v>
      </c>
      <c r="W255" s="13"/>
      <c r="X255" s="13">
        <v>0.70299999999999996</v>
      </c>
      <c r="Y255" s="13">
        <v>24.4</v>
      </c>
      <c r="Z255" s="13">
        <v>13.6</v>
      </c>
      <c r="AA255" s="13"/>
      <c r="AB255" s="13">
        <v>0</v>
      </c>
      <c r="AC255" s="13">
        <v>0</v>
      </c>
    </row>
    <row r="256" spans="1:30" s="8" customFormat="1" ht="15.75">
      <c r="A256" s="43" t="str">
        <f>IF(AND(H256=1,L256&gt;='Steel Angle Lintel Design'!$M$98,'AISC Angle Database'!N256&gt;='Steel Angle Lintel Design'!$M$96,'AISC Angle Database'!J256&gt;='Steel Angle Lintel Design'!$F$40,'AISC Angle Database'!J256&lt;='Steel Angle Lintel Design'!$F$41,'AISC Angle Database'!K256&gt;='Steel Angle Lintel Design'!$K$40,'AISC Angle Database'!K256&lt;='Steel Angle Lintel Design'!$K$41),1,"")</f>
        <v/>
      </c>
      <c r="B256" s="44">
        <f t="shared" si="15"/>
        <v>11</v>
      </c>
      <c r="C256" s="44">
        <f t="shared" si="16"/>
        <v>0</v>
      </c>
      <c r="D256" s="42" t="e">
        <f t="shared" ca="1" si="19"/>
        <v>#NAME?</v>
      </c>
      <c r="E256" s="44" t="e">
        <f t="shared" ca="1" si="17"/>
        <v>#NAME?</v>
      </c>
      <c r="F256" s="5" t="e">
        <f t="shared" ca="1" si="18"/>
        <v>#NAME?</v>
      </c>
      <c r="G256" s="15" t="s">
        <v>528</v>
      </c>
      <c r="H256" s="15">
        <f>IF('Steel Angle Lintel Design'!$AM$16=1,0,IF('Steel Angle Lintel Design'!$AM$16=2,1,1))</f>
        <v>1</v>
      </c>
      <c r="I256" s="19">
        <v>10.61</v>
      </c>
      <c r="J256" s="15">
        <v>2.5</v>
      </c>
      <c r="K256" s="15">
        <v>2</v>
      </c>
      <c r="L256" s="15">
        <v>1.83</v>
      </c>
      <c r="M256" s="15">
        <v>1.96</v>
      </c>
      <c r="N256" s="15">
        <v>1.0900000000000001</v>
      </c>
      <c r="O256" s="13">
        <v>2.0699999999999998</v>
      </c>
      <c r="P256" s="15">
        <v>0</v>
      </c>
      <c r="Q256" s="15">
        <v>0</v>
      </c>
      <c r="R256" s="13">
        <v>0.375</v>
      </c>
      <c r="S256" s="13">
        <v>2</v>
      </c>
      <c r="T256" s="13" t="str">
        <f>IF(S256=2,"Y",IF(J256/R256&lt;0.54*(SQRT(29000/'Steel Angle Lintel Design'!$H$31)),"Y","N"))</f>
        <v>Y</v>
      </c>
      <c r="U256" s="13" t="str">
        <f>IF(J256/R256&gt;0.91*(SQRT(29000/'Steel Angle Lintel Design'!$H$31)),"Y","N")</f>
        <v>N</v>
      </c>
      <c r="V256" s="13" t="s">
        <v>529</v>
      </c>
      <c r="W256" s="13"/>
      <c r="X256" s="13">
        <v>0.76200000000000001</v>
      </c>
      <c r="Y256" s="13">
        <v>32.1</v>
      </c>
      <c r="Z256" s="13">
        <v>17.899999999999999</v>
      </c>
      <c r="AA256" s="13"/>
      <c r="AB256" s="13">
        <v>0</v>
      </c>
      <c r="AC256" s="13">
        <v>0</v>
      </c>
    </row>
    <row r="257" spans="1:29" s="8" customFormat="1" ht="15.75">
      <c r="A257" s="43" t="str">
        <f>IF(AND(H257=1,L257&gt;='Steel Angle Lintel Design'!$M$98,'AISC Angle Database'!N257&gt;='Steel Angle Lintel Design'!$M$96,'AISC Angle Database'!J257&gt;='Steel Angle Lintel Design'!$F$40,'AISC Angle Database'!J257&lt;='Steel Angle Lintel Design'!$F$41,'AISC Angle Database'!K257&gt;='Steel Angle Lintel Design'!$K$40,'AISC Angle Database'!K257&lt;='Steel Angle Lintel Design'!$K$41),1,"")</f>
        <v/>
      </c>
      <c r="B257" s="44">
        <f t="shared" si="15"/>
        <v>11</v>
      </c>
      <c r="C257" s="44">
        <f t="shared" si="16"/>
        <v>0</v>
      </c>
      <c r="D257" s="42" t="e">
        <f t="shared" ca="1" si="19"/>
        <v>#NAME?</v>
      </c>
      <c r="E257" s="44" t="e">
        <f t="shared" ca="1" si="17"/>
        <v>#NAME?</v>
      </c>
      <c r="F257" s="5" t="e">
        <f t="shared" ca="1" si="18"/>
        <v>#NAME?</v>
      </c>
      <c r="G257" s="15" t="s">
        <v>530</v>
      </c>
      <c r="H257" s="15">
        <f>IF('Steel Angle Lintel Design'!$AM$16=1,0,IF('Steel Angle Lintel Design'!$AM$16=2,1,1))</f>
        <v>1</v>
      </c>
      <c r="I257" s="19">
        <v>8.99</v>
      </c>
      <c r="J257" s="15">
        <v>2.5</v>
      </c>
      <c r="K257" s="15">
        <v>2</v>
      </c>
      <c r="L257" s="15">
        <v>1.58</v>
      </c>
      <c r="M257" s="15">
        <v>1.68</v>
      </c>
      <c r="N257" s="15">
        <v>0.93100000000000005</v>
      </c>
      <c r="O257" s="13">
        <v>1.7</v>
      </c>
      <c r="P257" s="15">
        <v>0</v>
      </c>
      <c r="Q257" s="15">
        <v>0</v>
      </c>
      <c r="R257" s="13">
        <v>0.3125</v>
      </c>
      <c r="S257" s="13">
        <v>2</v>
      </c>
      <c r="T257" s="13" t="str">
        <f>IF(S257=2,"Y",IF(J257/R257&lt;0.54*(SQRT(29000/'Steel Angle Lintel Design'!$H$31)),"Y","N"))</f>
        <v>Y</v>
      </c>
      <c r="U257" s="13" t="str">
        <f>IF(J257/R257&gt;0.91*(SQRT(29000/'Steel Angle Lintel Design'!$H$31)),"Y","N")</f>
        <v>N</v>
      </c>
      <c r="V257" s="13" t="s">
        <v>531</v>
      </c>
      <c r="W257" s="13"/>
      <c r="X257" s="13">
        <v>0.65800000000000003</v>
      </c>
      <c r="Y257" s="13">
        <v>27.5</v>
      </c>
      <c r="Z257" s="13">
        <v>15.3</v>
      </c>
      <c r="AA257" s="13"/>
      <c r="AB257" s="13">
        <v>0</v>
      </c>
      <c r="AC257" s="13">
        <v>0</v>
      </c>
    </row>
    <row r="258" spans="1:29" s="8" customFormat="1" ht="15.75">
      <c r="A258" s="43" t="str">
        <f>IF(AND(H258=1,L258&gt;='Steel Angle Lintel Design'!$M$98,'AISC Angle Database'!N258&gt;='Steel Angle Lintel Design'!$M$96,'AISC Angle Database'!J258&gt;='Steel Angle Lintel Design'!$F$40,'AISC Angle Database'!J258&lt;='Steel Angle Lintel Design'!$F$41,'AISC Angle Database'!K258&gt;='Steel Angle Lintel Design'!$K$40,'AISC Angle Database'!K258&lt;='Steel Angle Lintel Design'!$K$41),1,"")</f>
        <v/>
      </c>
      <c r="B258" s="44">
        <f t="shared" si="15"/>
        <v>11</v>
      </c>
      <c r="C258" s="44">
        <f t="shared" si="16"/>
        <v>0</v>
      </c>
      <c r="D258" s="42" t="e">
        <f t="shared" ca="1" si="19"/>
        <v>#NAME?</v>
      </c>
      <c r="E258" s="44" t="e">
        <f t="shared" ca="1" si="17"/>
        <v>#NAME?</v>
      </c>
      <c r="F258" s="5" t="e">
        <f t="shared" ca="1" si="18"/>
        <v>#NAME?</v>
      </c>
      <c r="G258" s="15" t="s">
        <v>532</v>
      </c>
      <c r="H258" s="15">
        <f>IF('Steel Angle Lintel Design'!$AM$16=1,0,IF('Steel Angle Lintel Design'!$AM$16=2,1,1))</f>
        <v>1</v>
      </c>
      <c r="I258" s="19">
        <v>7.32</v>
      </c>
      <c r="J258" s="15">
        <v>2.5</v>
      </c>
      <c r="K258" s="15">
        <v>2</v>
      </c>
      <c r="L258" s="15">
        <v>1.31</v>
      </c>
      <c r="M258" s="15">
        <v>1.38</v>
      </c>
      <c r="N258" s="15">
        <v>0.76200000000000001</v>
      </c>
      <c r="O258" s="13">
        <v>1.35</v>
      </c>
      <c r="P258" s="15">
        <v>0</v>
      </c>
      <c r="Q258" s="15">
        <v>0</v>
      </c>
      <c r="R258" s="13">
        <v>0.25</v>
      </c>
      <c r="S258" s="13">
        <v>2</v>
      </c>
      <c r="T258" s="13" t="str">
        <f>IF(S258=2,"Y",IF(J258/R258&lt;0.54*(SQRT(29000/'Steel Angle Lintel Design'!$H$31)),"Y","N"))</f>
        <v>Y</v>
      </c>
      <c r="U258" s="13" t="str">
        <f>IF(J258/R258&gt;0.91*(SQRT(29000/'Steel Angle Lintel Design'!$H$31)),"Y","N")</f>
        <v>N</v>
      </c>
      <c r="V258" s="13" t="s">
        <v>533</v>
      </c>
      <c r="W258" s="13"/>
      <c r="X258" s="13">
        <v>0.54500000000000004</v>
      </c>
      <c r="Y258" s="13">
        <v>22.6</v>
      </c>
      <c r="Z258" s="13">
        <v>12.5</v>
      </c>
      <c r="AA258" s="13"/>
      <c r="AB258" s="13">
        <v>0</v>
      </c>
      <c r="AC258" s="13">
        <v>0</v>
      </c>
    </row>
    <row r="259" spans="1:29" s="8" customFormat="1" ht="15.75">
      <c r="A259" s="43" t="str">
        <f>IF(AND(H259=1,L259&gt;='Steel Angle Lintel Design'!$M$98,'AISC Angle Database'!N259&gt;='Steel Angle Lintel Design'!$M$96,'AISC Angle Database'!J259&gt;='Steel Angle Lintel Design'!$F$40,'AISC Angle Database'!J259&lt;='Steel Angle Lintel Design'!$F$41,'AISC Angle Database'!K259&gt;='Steel Angle Lintel Design'!$K$40,'AISC Angle Database'!K259&lt;='Steel Angle Lintel Design'!$K$41),1,"")</f>
        <v/>
      </c>
      <c r="B259" s="44">
        <f t="shared" si="15"/>
        <v>11</v>
      </c>
      <c r="C259" s="44">
        <f t="shared" si="16"/>
        <v>0</v>
      </c>
      <c r="D259" s="42" t="e">
        <f t="shared" ca="1" si="19"/>
        <v>#NAME?</v>
      </c>
      <c r="E259" s="44" t="e">
        <f t="shared" ca="1" si="17"/>
        <v>#NAME?</v>
      </c>
      <c r="F259" s="5" t="e">
        <f t="shared" ca="1" si="18"/>
        <v>#NAME?</v>
      </c>
      <c r="G259" s="15" t="s">
        <v>534</v>
      </c>
      <c r="H259" s="15">
        <f>IF('Steel Angle Lintel Design'!$AM$16=1,0,IF('Steel Angle Lintel Design'!$AM$16=2,1,1))</f>
        <v>1</v>
      </c>
      <c r="I259" s="19">
        <v>5.58</v>
      </c>
      <c r="J259" s="15">
        <v>2.5</v>
      </c>
      <c r="K259" s="15">
        <v>2</v>
      </c>
      <c r="L259" s="15">
        <v>1.02</v>
      </c>
      <c r="M259" s="15">
        <v>1.06</v>
      </c>
      <c r="N259" s="15">
        <v>0.58499999999999996</v>
      </c>
      <c r="O259" s="13">
        <v>1.01</v>
      </c>
      <c r="P259" s="15">
        <v>0</v>
      </c>
      <c r="Q259" s="15">
        <v>0</v>
      </c>
      <c r="R259" s="13">
        <v>0.1875</v>
      </c>
      <c r="S259" s="13">
        <v>2</v>
      </c>
      <c r="T259" s="13" t="str">
        <f>IF(S259=2,"Y",IF(J259/R259&lt;0.54*(SQRT(29000/'Steel Angle Lintel Design'!$H$31)),"Y","N"))</f>
        <v>Y</v>
      </c>
      <c r="U259" s="13" t="str">
        <f>IF(J259/R259&gt;0.91*(SQRT(29000/'Steel Angle Lintel Design'!$H$31)),"Y","N")</f>
        <v>N</v>
      </c>
      <c r="V259" s="13" t="s">
        <v>535</v>
      </c>
      <c r="W259" s="13"/>
      <c r="X259" s="13">
        <v>0.42499999999999999</v>
      </c>
      <c r="Y259" s="13">
        <v>17.399999999999999</v>
      </c>
      <c r="Z259" s="13">
        <v>9.59</v>
      </c>
      <c r="AA259" s="13"/>
      <c r="AB259" s="13">
        <v>0</v>
      </c>
      <c r="AC259" s="13">
        <v>0</v>
      </c>
    </row>
    <row r="260" spans="1:29" s="8" customFormat="1" ht="15.75">
      <c r="A260" s="43" t="str">
        <f>IF(AND(H260=1,L260&gt;='Steel Angle Lintel Design'!$M$98,'AISC Angle Database'!N260&gt;='Steel Angle Lintel Design'!$M$96,'AISC Angle Database'!J260&gt;='Steel Angle Lintel Design'!$F$40,'AISC Angle Database'!J260&lt;='Steel Angle Lintel Design'!$F$41,'AISC Angle Database'!K260&gt;='Steel Angle Lintel Design'!$K$40,'AISC Angle Database'!K260&lt;='Steel Angle Lintel Design'!$K$41),1,"")</f>
        <v/>
      </c>
      <c r="B260" s="44">
        <f t="shared" si="15"/>
        <v>11</v>
      </c>
      <c r="C260" s="44">
        <f t="shared" si="16"/>
        <v>0</v>
      </c>
      <c r="D260" s="42" t="e">
        <f t="shared" ca="1" si="19"/>
        <v>#NAME?</v>
      </c>
      <c r="E260" s="44" t="e">
        <f t="shared" ca="1" si="17"/>
        <v>#NAME?</v>
      </c>
      <c r="F260" s="5" t="e">
        <f t="shared" ca="1" si="18"/>
        <v>#NAME?</v>
      </c>
      <c r="G260" s="15" t="s">
        <v>536</v>
      </c>
      <c r="H260" s="15">
        <f>IF('Steel Angle Lintel Design'!$AM$16=1,0,IF('Steel Angle Lintel Design'!$AM$16=2,1,1))</f>
        <v>1</v>
      </c>
      <c r="I260" s="19">
        <v>88.81</v>
      </c>
      <c r="J260" s="15">
        <v>8</v>
      </c>
      <c r="K260" s="15">
        <v>6</v>
      </c>
      <c r="L260" s="15">
        <v>77.599999999999994</v>
      </c>
      <c r="M260" s="15">
        <v>32.4</v>
      </c>
      <c r="N260" s="15">
        <v>17.8</v>
      </c>
      <c r="O260" s="13">
        <v>343.87</v>
      </c>
      <c r="P260" s="15">
        <v>0</v>
      </c>
      <c r="Q260" s="15">
        <v>0</v>
      </c>
      <c r="R260" s="13">
        <v>1</v>
      </c>
      <c r="S260" s="13">
        <v>2</v>
      </c>
      <c r="T260" s="13" t="str">
        <f>IF(S260=2,"Y",IF(J260/R260&lt;0.54*(SQRT(29000/'Steel Angle Lintel Design'!$H$31)),"Y","N"))</f>
        <v>Y</v>
      </c>
      <c r="U260" s="13" t="str">
        <f>IF(J260/R260&gt;0.91*(SQRT(29000/'Steel Angle Lintel Design'!$H$31)),"Y","N")</f>
        <v>N</v>
      </c>
      <c r="V260" s="13" t="s">
        <v>537</v>
      </c>
      <c r="W260" s="13"/>
      <c r="X260" s="13">
        <v>32.299999999999997</v>
      </c>
      <c r="Y260" s="13">
        <v>531</v>
      </c>
      <c r="Z260" s="13">
        <v>292</v>
      </c>
      <c r="AA260" s="13"/>
      <c r="AB260" s="13">
        <v>0</v>
      </c>
      <c r="AC260" s="13">
        <v>0</v>
      </c>
    </row>
    <row r="261" spans="1:29" s="8" customFormat="1" ht="15.75">
      <c r="A261" s="43" t="str">
        <f>IF(AND(H261=1,L261&gt;='Steel Angle Lintel Design'!$M$98,'AISC Angle Database'!N261&gt;='Steel Angle Lintel Design'!$M$96,'AISC Angle Database'!J261&gt;='Steel Angle Lintel Design'!$F$40,'AISC Angle Database'!J261&lt;='Steel Angle Lintel Design'!$F$41,'AISC Angle Database'!K261&gt;='Steel Angle Lintel Design'!$K$40,'AISC Angle Database'!K261&lt;='Steel Angle Lintel Design'!$K$41),1,"")</f>
        <v/>
      </c>
      <c r="B261" s="44">
        <f t="shared" si="15"/>
        <v>11</v>
      </c>
      <c r="C261" s="44">
        <f t="shared" si="16"/>
        <v>0</v>
      </c>
      <c r="D261" s="42" t="e">
        <f t="shared" ca="1" si="19"/>
        <v>#NAME?</v>
      </c>
      <c r="E261" s="44" t="e">
        <f t="shared" ca="1" si="17"/>
        <v>#NAME?</v>
      </c>
      <c r="F261" s="5" t="e">
        <f t="shared" ca="1" si="18"/>
        <v>#NAME?</v>
      </c>
      <c r="G261" s="15" t="s">
        <v>538</v>
      </c>
      <c r="H261" s="15">
        <f>IF('Steel Angle Lintel Design'!$AM$16=1,0,IF('Steel Angle Lintel Design'!$AM$16=2,1,1))</f>
        <v>1</v>
      </c>
      <c r="I261" s="19">
        <v>78.510000000000005</v>
      </c>
      <c r="J261" s="15">
        <v>8</v>
      </c>
      <c r="K261" s="15">
        <v>6</v>
      </c>
      <c r="L261" s="15">
        <v>69.8</v>
      </c>
      <c r="M261" s="15">
        <v>28.7</v>
      </c>
      <c r="N261" s="15">
        <v>15.9</v>
      </c>
      <c r="O261" s="13">
        <v>300.64</v>
      </c>
      <c r="P261" s="15">
        <v>0</v>
      </c>
      <c r="Q261" s="15">
        <v>0</v>
      </c>
      <c r="R261" s="13">
        <v>0.875</v>
      </c>
      <c r="S261" s="13">
        <v>2</v>
      </c>
      <c r="T261" s="13" t="str">
        <f>IF(S261=2,"Y",IF(J261/R261&lt;0.54*(SQRT(29000/'Steel Angle Lintel Design'!$H$31)),"Y","N"))</f>
        <v>Y</v>
      </c>
      <c r="U261" s="13" t="str">
        <f>IF(J261/R261&gt;0.91*(SQRT(29000/'Steel Angle Lintel Design'!$H$31)),"Y","N")</f>
        <v>N</v>
      </c>
      <c r="V261" s="13" t="s">
        <v>539</v>
      </c>
      <c r="W261" s="13"/>
      <c r="X261" s="13">
        <v>29.1</v>
      </c>
      <c r="Y261" s="13">
        <v>470</v>
      </c>
      <c r="Z261" s="13">
        <v>261</v>
      </c>
      <c r="AA261" s="13"/>
      <c r="AB261" s="13">
        <v>0</v>
      </c>
      <c r="AC261" s="13">
        <v>0</v>
      </c>
    </row>
    <row r="262" spans="1:29" s="8" customFormat="1" ht="15.75">
      <c r="A262" s="43" t="str">
        <f>IF(AND(H262=1,L262&gt;='Steel Angle Lintel Design'!$M$98,'AISC Angle Database'!N262&gt;='Steel Angle Lintel Design'!$M$96,'AISC Angle Database'!J262&gt;='Steel Angle Lintel Design'!$F$40,'AISC Angle Database'!J262&lt;='Steel Angle Lintel Design'!$F$41,'AISC Angle Database'!K262&gt;='Steel Angle Lintel Design'!$K$40,'AISC Angle Database'!K262&lt;='Steel Angle Lintel Design'!$K$41),1,"")</f>
        <v/>
      </c>
      <c r="B262" s="44">
        <f t="shared" ref="B262:B325" si="20">IF(A262=1,B261+1,B261)</f>
        <v>11</v>
      </c>
      <c r="C262" s="44">
        <f t="shared" ref="C262:C325" si="21">IF(A262=1,I262,0)</f>
        <v>0</v>
      </c>
      <c r="D262" s="42" t="e">
        <f t="shared" ca="1" si="19"/>
        <v>#NAME?</v>
      </c>
      <c r="E262" s="44" t="e">
        <f t="shared" ref="E262:E325" ca="1" si="22">D262-D$335</f>
        <v>#NAME?</v>
      </c>
      <c r="F262" s="5" t="e">
        <f t="shared" ref="F262:F325" ca="1" si="23">E262*-1</f>
        <v>#NAME?</v>
      </c>
      <c r="G262" s="15" t="s">
        <v>540</v>
      </c>
      <c r="H262" s="15">
        <f>IF('Steel Angle Lintel Design'!$AM$16=1,0,IF('Steel Angle Lintel Design'!$AM$16=2,1,1))</f>
        <v>1</v>
      </c>
      <c r="I262" s="19">
        <v>68</v>
      </c>
      <c r="J262" s="15">
        <v>8</v>
      </c>
      <c r="K262" s="15">
        <v>6</v>
      </c>
      <c r="L262" s="15">
        <v>61.5</v>
      </c>
      <c r="M262" s="15">
        <v>24.9</v>
      </c>
      <c r="N262" s="15">
        <v>13.8</v>
      </c>
      <c r="O262" s="13">
        <v>257.55</v>
      </c>
      <c r="P262" s="15">
        <v>0</v>
      </c>
      <c r="Q262" s="15">
        <v>0</v>
      </c>
      <c r="R262" s="13">
        <v>0.75</v>
      </c>
      <c r="S262" s="13">
        <v>2</v>
      </c>
      <c r="T262" s="13" t="str">
        <f>IF(S262=2,"Y",IF(J262/R262&lt;0.54*(SQRT(29000/'Steel Angle Lintel Design'!$H$31)),"Y","N"))</f>
        <v>Y</v>
      </c>
      <c r="U262" s="13" t="str">
        <f>IF(J262/R262&gt;0.91*(SQRT(29000/'Steel Angle Lintel Design'!$H$31)),"Y","N")</f>
        <v>N</v>
      </c>
      <c r="V262" s="13" t="s">
        <v>541</v>
      </c>
      <c r="W262" s="13"/>
      <c r="X262" s="13">
        <v>25.6</v>
      </c>
      <c r="Y262" s="13">
        <v>408</v>
      </c>
      <c r="Z262" s="13">
        <v>226</v>
      </c>
      <c r="AA262" s="13"/>
      <c r="AB262" s="13">
        <v>0</v>
      </c>
      <c r="AC262" s="13">
        <v>0</v>
      </c>
    </row>
    <row r="263" spans="1:29" s="8" customFormat="1" ht="15.75">
      <c r="A263" s="43" t="str">
        <f>IF(AND(H263=1,L263&gt;='Steel Angle Lintel Design'!$M$98,'AISC Angle Database'!N263&gt;='Steel Angle Lintel Design'!$M$96,'AISC Angle Database'!J263&gt;='Steel Angle Lintel Design'!$F$40,'AISC Angle Database'!J263&lt;='Steel Angle Lintel Design'!$F$41,'AISC Angle Database'!K263&gt;='Steel Angle Lintel Design'!$K$40,'AISC Angle Database'!K263&lt;='Steel Angle Lintel Design'!$K$41),1,"")</f>
        <v/>
      </c>
      <c r="B263" s="44">
        <f t="shared" si="20"/>
        <v>11</v>
      </c>
      <c r="C263" s="44">
        <f t="shared" si="21"/>
        <v>0</v>
      </c>
      <c r="D263" s="42" t="e">
        <f t="shared" ref="D263:D326" ca="1" si="24">_xlfn.RANK.EQ(C263,$C$6:$C$333)</f>
        <v>#NAME?</v>
      </c>
      <c r="E263" s="44" t="e">
        <f t="shared" ca="1" si="22"/>
        <v>#NAME?</v>
      </c>
      <c r="F263" s="5" t="e">
        <f t="shared" ca="1" si="23"/>
        <v>#NAME?</v>
      </c>
      <c r="G263" s="15" t="s">
        <v>542</v>
      </c>
      <c r="H263" s="15">
        <f>IF('Steel Angle Lintel Design'!$AM$16=1,0,IF('Steel Angle Lintel Design'!$AM$16=2,1,1))</f>
        <v>1</v>
      </c>
      <c r="I263" s="19">
        <v>57.3</v>
      </c>
      <c r="J263" s="15">
        <v>8</v>
      </c>
      <c r="K263" s="15">
        <v>6</v>
      </c>
      <c r="L263" s="15">
        <v>52.8</v>
      </c>
      <c r="M263" s="15">
        <v>21</v>
      </c>
      <c r="N263" s="15">
        <v>11.8</v>
      </c>
      <c r="O263" s="13">
        <v>214.61</v>
      </c>
      <c r="P263" s="15">
        <v>0</v>
      </c>
      <c r="Q263" s="15">
        <v>0</v>
      </c>
      <c r="R263" s="13">
        <v>0.63500000000000001</v>
      </c>
      <c r="S263" s="13">
        <v>2</v>
      </c>
      <c r="T263" s="13" t="str">
        <f>IF(S263=2,"Y",IF(J263/R263&lt;0.54*(SQRT(29000/'Steel Angle Lintel Design'!$H$31)),"Y","N"))</f>
        <v>Y</v>
      </c>
      <c r="U263" s="13" t="str">
        <f>IF(J263/R263&gt;0.91*(SQRT(29000/'Steel Angle Lintel Design'!$H$31)),"Y","N")</f>
        <v>N</v>
      </c>
      <c r="V263" s="13" t="s">
        <v>543</v>
      </c>
      <c r="W263" s="13"/>
      <c r="X263" s="13">
        <v>22</v>
      </c>
      <c r="Y263" s="13">
        <v>344</v>
      </c>
      <c r="Z263" s="13">
        <v>193</v>
      </c>
      <c r="AA263" s="13"/>
      <c r="AB263" s="13">
        <v>0</v>
      </c>
      <c r="AC263" s="13">
        <v>0</v>
      </c>
    </row>
    <row r="264" spans="1:29" s="8" customFormat="1" ht="15.75">
      <c r="A264" s="43" t="str">
        <f>IF(AND(H264=1,L264&gt;='Steel Angle Lintel Design'!$M$98,'AISC Angle Database'!N264&gt;='Steel Angle Lintel Design'!$M$96,'AISC Angle Database'!J264&gt;='Steel Angle Lintel Design'!$F$40,'AISC Angle Database'!J264&lt;='Steel Angle Lintel Design'!$F$41,'AISC Angle Database'!K264&gt;='Steel Angle Lintel Design'!$K$40,'AISC Angle Database'!K264&lt;='Steel Angle Lintel Design'!$K$41),1,"")</f>
        <v/>
      </c>
      <c r="B264" s="44">
        <f t="shared" si="20"/>
        <v>11</v>
      </c>
      <c r="C264" s="44">
        <f t="shared" si="21"/>
        <v>0</v>
      </c>
      <c r="D264" s="42" t="e">
        <f t="shared" ca="1" si="24"/>
        <v>#NAME?</v>
      </c>
      <c r="E264" s="44" t="e">
        <f t="shared" ca="1" si="22"/>
        <v>#NAME?</v>
      </c>
      <c r="F264" s="5" t="e">
        <f t="shared" ca="1" si="23"/>
        <v>#NAME?</v>
      </c>
      <c r="G264" s="15" t="s">
        <v>544</v>
      </c>
      <c r="H264" s="15">
        <f>IF('Steel Angle Lintel Design'!$AM$16=1,0,IF('Steel Angle Lintel Design'!$AM$16=2,1,1))</f>
        <v>1</v>
      </c>
      <c r="I264" s="19">
        <v>51.81</v>
      </c>
      <c r="J264" s="15">
        <v>8</v>
      </c>
      <c r="K264" s="15">
        <v>6</v>
      </c>
      <c r="L264" s="15">
        <v>48.2</v>
      </c>
      <c r="M264" s="15">
        <v>19</v>
      </c>
      <c r="N264" s="15">
        <v>10.7</v>
      </c>
      <c r="O264" s="13">
        <v>191.85</v>
      </c>
      <c r="P264" s="15">
        <v>0</v>
      </c>
      <c r="Q264" s="15">
        <v>0</v>
      </c>
      <c r="R264" s="13">
        <v>0.5625</v>
      </c>
      <c r="S264" s="13">
        <v>2</v>
      </c>
      <c r="T264" s="13" t="str">
        <f>IF(S264=2,"Y",IF(J264/R264&lt;0.54*(SQRT(29000/'Steel Angle Lintel Design'!$H$31)),"Y","N"))</f>
        <v>Y</v>
      </c>
      <c r="U264" s="13" t="str">
        <f>IF(J264/R264&gt;0.91*(SQRT(29000/'Steel Angle Lintel Design'!$H$31)),"Y","N")</f>
        <v>N</v>
      </c>
      <c r="V264" s="13" t="s">
        <v>545</v>
      </c>
      <c r="W264" s="13"/>
      <c r="X264" s="13">
        <v>20.100000000000001</v>
      </c>
      <c r="Y264" s="13">
        <v>311</v>
      </c>
      <c r="Z264" s="13">
        <v>175</v>
      </c>
      <c r="AA264" s="13"/>
      <c r="AB264" s="13">
        <v>0</v>
      </c>
      <c r="AC264" s="13">
        <v>0</v>
      </c>
    </row>
    <row r="265" spans="1:29" s="8" customFormat="1" ht="15.75">
      <c r="A265" s="43" t="str">
        <f>IF(AND(H265=1,L265&gt;='Steel Angle Lintel Design'!$M$98,'AISC Angle Database'!N265&gt;='Steel Angle Lintel Design'!$M$96,'AISC Angle Database'!J265&gt;='Steel Angle Lintel Design'!$F$40,'AISC Angle Database'!J265&lt;='Steel Angle Lintel Design'!$F$41,'AISC Angle Database'!K265&gt;='Steel Angle Lintel Design'!$K$40,'AISC Angle Database'!K265&lt;='Steel Angle Lintel Design'!$K$41),1,"")</f>
        <v/>
      </c>
      <c r="B265" s="44">
        <f t="shared" si="20"/>
        <v>11</v>
      </c>
      <c r="C265" s="44">
        <f t="shared" si="21"/>
        <v>0</v>
      </c>
      <c r="D265" s="42" t="e">
        <f t="shared" ca="1" si="24"/>
        <v>#NAME?</v>
      </c>
      <c r="E265" s="44" t="e">
        <f t="shared" ca="1" si="22"/>
        <v>#NAME?</v>
      </c>
      <c r="F265" s="5" t="e">
        <f t="shared" ca="1" si="23"/>
        <v>#NAME?</v>
      </c>
      <c r="G265" s="15" t="s">
        <v>546</v>
      </c>
      <c r="H265" s="15">
        <f>IF('Steel Angle Lintel Design'!$AM$16=1,0,IF('Steel Angle Lintel Design'!$AM$16=2,1,1))</f>
        <v>1</v>
      </c>
      <c r="I265" s="19">
        <v>46.31</v>
      </c>
      <c r="J265" s="15">
        <v>8</v>
      </c>
      <c r="K265" s="15">
        <v>6</v>
      </c>
      <c r="L265" s="15">
        <v>43.5</v>
      </c>
      <c r="M265" s="15">
        <v>17</v>
      </c>
      <c r="N265" s="15">
        <v>9.58</v>
      </c>
      <c r="O265" s="13">
        <v>170.51</v>
      </c>
      <c r="P265" s="15">
        <v>0</v>
      </c>
      <c r="Q265" s="15">
        <v>0</v>
      </c>
      <c r="R265" s="13">
        <v>0.5</v>
      </c>
      <c r="S265" s="13">
        <v>2</v>
      </c>
      <c r="T265" s="13" t="str">
        <f>IF(S265=2,"Y",IF(J265/R265&lt;0.54*(SQRT(29000/'Steel Angle Lintel Design'!$H$31)),"Y","N"))</f>
        <v>Y</v>
      </c>
      <c r="U265" s="13" t="str">
        <f>IF(J265/R265&gt;0.91*(SQRT(29000/'Steel Angle Lintel Design'!$H$31)),"Y","N")</f>
        <v>N</v>
      </c>
      <c r="V265" s="13" t="s">
        <v>547</v>
      </c>
      <c r="W265" s="13"/>
      <c r="X265" s="13">
        <v>18.100000000000001</v>
      </c>
      <c r="Y265" s="13">
        <v>279</v>
      </c>
      <c r="Z265" s="13">
        <v>157</v>
      </c>
      <c r="AA265" s="13"/>
      <c r="AB265" s="13">
        <v>0</v>
      </c>
      <c r="AC265" s="13">
        <v>0</v>
      </c>
    </row>
    <row r="266" spans="1:29" s="8" customFormat="1" ht="15.75">
      <c r="A266" s="43" t="str">
        <f>IF(AND(H266=1,L266&gt;='Steel Angle Lintel Design'!$M$98,'AISC Angle Database'!N266&gt;='Steel Angle Lintel Design'!$M$96,'AISC Angle Database'!J266&gt;='Steel Angle Lintel Design'!$F$40,'AISC Angle Database'!J266&lt;='Steel Angle Lintel Design'!$F$41,'AISC Angle Database'!K266&gt;='Steel Angle Lintel Design'!$K$40,'AISC Angle Database'!K266&lt;='Steel Angle Lintel Design'!$K$41),1,"")</f>
        <v/>
      </c>
      <c r="B266" s="44">
        <f t="shared" si="20"/>
        <v>11</v>
      </c>
      <c r="C266" s="44">
        <f t="shared" si="21"/>
        <v>0</v>
      </c>
      <c r="D266" s="42" t="e">
        <f t="shared" ca="1" si="24"/>
        <v>#NAME?</v>
      </c>
      <c r="E266" s="44" t="e">
        <f t="shared" ca="1" si="22"/>
        <v>#NAME?</v>
      </c>
      <c r="F266" s="5" t="e">
        <f t="shared" ca="1" si="23"/>
        <v>#NAME?</v>
      </c>
      <c r="G266" s="15" t="s">
        <v>548</v>
      </c>
      <c r="H266" s="15">
        <f>IF('Steel Angle Lintel Design'!$AM$16=1,0,IF('Steel Angle Lintel Design'!$AM$16=2,1,1))</f>
        <v>1</v>
      </c>
      <c r="I266" s="19">
        <v>40.700000000000003</v>
      </c>
      <c r="J266" s="15">
        <v>8</v>
      </c>
      <c r="K266" s="15">
        <v>6</v>
      </c>
      <c r="L266" s="15">
        <v>38.6</v>
      </c>
      <c r="M266" s="15">
        <v>15</v>
      </c>
      <c r="N266" s="15">
        <v>8.4600000000000009</v>
      </c>
      <c r="O266" s="13">
        <v>149.04</v>
      </c>
      <c r="P266" s="15">
        <v>0</v>
      </c>
      <c r="Q266" s="15">
        <v>0</v>
      </c>
      <c r="R266" s="13">
        <v>0.4375</v>
      </c>
      <c r="S266" s="13">
        <v>2</v>
      </c>
      <c r="T266" s="13" t="str">
        <f>IF(S266=2,"Y",IF(J266/R266&lt;0.54*(SQRT(29000/'Steel Angle Lintel Design'!$H$31)),"Y","N"))</f>
        <v>Y</v>
      </c>
      <c r="U266" s="13" t="str">
        <f>IF(J266/R266&gt;0.91*(SQRT(29000/'Steel Angle Lintel Design'!$H$31)),"Y","N")</f>
        <v>N</v>
      </c>
      <c r="V266" s="13" t="s">
        <v>549</v>
      </c>
      <c r="W266" s="13"/>
      <c r="X266" s="13">
        <v>16.100000000000001</v>
      </c>
      <c r="Y266" s="13">
        <v>246</v>
      </c>
      <c r="Z266" s="13">
        <v>139</v>
      </c>
      <c r="AA266" s="13"/>
      <c r="AB266" s="13">
        <v>0</v>
      </c>
      <c r="AC266" s="13">
        <v>0</v>
      </c>
    </row>
    <row r="267" spans="1:29" s="8" customFormat="1" ht="15.75">
      <c r="A267" s="43" t="str">
        <f>IF(AND(H267=1,L267&gt;='Steel Angle Lintel Design'!$M$98,'AISC Angle Database'!N267&gt;='Steel Angle Lintel Design'!$M$96,'AISC Angle Database'!J267&gt;='Steel Angle Lintel Design'!$F$40,'AISC Angle Database'!J267&lt;='Steel Angle Lintel Design'!$F$41,'AISC Angle Database'!K267&gt;='Steel Angle Lintel Design'!$K$40,'AISC Angle Database'!K267&lt;='Steel Angle Lintel Design'!$K$41),1,"")</f>
        <v/>
      </c>
      <c r="B267" s="44">
        <f t="shared" si="20"/>
        <v>11</v>
      </c>
      <c r="C267" s="44">
        <f t="shared" si="21"/>
        <v>0</v>
      </c>
      <c r="D267" s="42" t="e">
        <f t="shared" ca="1" si="24"/>
        <v>#NAME?</v>
      </c>
      <c r="E267" s="44" t="e">
        <f t="shared" ca="1" si="22"/>
        <v>#NAME?</v>
      </c>
      <c r="F267" s="5" t="e">
        <f t="shared" ca="1" si="23"/>
        <v>#NAME?</v>
      </c>
      <c r="G267" s="15" t="s">
        <v>550</v>
      </c>
      <c r="H267" s="15">
        <f>IF('Steel Angle Lintel Design'!$AM$16=1,0,IF('Steel Angle Lintel Design'!$AM$16=2,1,1))</f>
        <v>1</v>
      </c>
      <c r="I267" s="19">
        <v>75.209999999999994</v>
      </c>
      <c r="J267" s="15">
        <v>8</v>
      </c>
      <c r="K267" s="15">
        <v>4</v>
      </c>
      <c r="L267" s="15">
        <v>23.3</v>
      </c>
      <c r="M267" s="15">
        <v>15.5</v>
      </c>
      <c r="N267" s="15">
        <v>7.87</v>
      </c>
      <c r="O267" s="13">
        <v>343.07</v>
      </c>
      <c r="P267" s="15">
        <v>0</v>
      </c>
      <c r="Q267" s="15">
        <v>0</v>
      </c>
      <c r="R267" s="13">
        <v>1</v>
      </c>
      <c r="S267" s="13">
        <v>2</v>
      </c>
      <c r="T267" s="13" t="str">
        <f>IF(S267=2,"Y",IF(J267/R267&lt;0.54*(SQRT(29000/'Steel Angle Lintel Design'!$H$31)),"Y","N"))</f>
        <v>Y</v>
      </c>
      <c r="U267" s="13" t="str">
        <f>IF(J267/R267&gt;0.91*(SQRT(29000/'Steel Angle Lintel Design'!$H$31)),"Y","N")</f>
        <v>N</v>
      </c>
      <c r="V267" s="13" t="s">
        <v>551</v>
      </c>
      <c r="W267" s="13"/>
      <c r="X267" s="13">
        <v>9.6999999999999993</v>
      </c>
      <c r="Y267" s="13">
        <v>254</v>
      </c>
      <c r="Z267" s="13">
        <v>129</v>
      </c>
      <c r="AA267" s="13"/>
      <c r="AB267" s="13">
        <v>0</v>
      </c>
      <c r="AC267" s="13">
        <v>0</v>
      </c>
    </row>
    <row r="268" spans="1:29" s="8" customFormat="1" ht="15.75">
      <c r="A268" s="43" t="str">
        <f>IF(AND(H268=1,L268&gt;='Steel Angle Lintel Design'!$M$98,'AISC Angle Database'!N268&gt;='Steel Angle Lintel Design'!$M$96,'AISC Angle Database'!J268&gt;='Steel Angle Lintel Design'!$F$40,'AISC Angle Database'!J268&lt;='Steel Angle Lintel Design'!$F$41,'AISC Angle Database'!K268&gt;='Steel Angle Lintel Design'!$K$40,'AISC Angle Database'!K268&lt;='Steel Angle Lintel Design'!$K$41),1,"")</f>
        <v/>
      </c>
      <c r="B268" s="44">
        <f t="shared" si="20"/>
        <v>11</v>
      </c>
      <c r="C268" s="44">
        <f t="shared" si="21"/>
        <v>0</v>
      </c>
      <c r="D268" s="42" t="e">
        <f t="shared" ca="1" si="24"/>
        <v>#NAME?</v>
      </c>
      <c r="E268" s="44" t="e">
        <f t="shared" ca="1" si="22"/>
        <v>#NAME?</v>
      </c>
      <c r="F268" s="5" t="e">
        <f t="shared" ca="1" si="23"/>
        <v>#NAME?</v>
      </c>
      <c r="G268" s="15" t="s">
        <v>552</v>
      </c>
      <c r="H268" s="15">
        <f>IF('Steel Angle Lintel Design'!$AM$16=1,0,IF('Steel Angle Lintel Design'!$AM$16=2,1,1))</f>
        <v>1</v>
      </c>
      <c r="I268" s="19">
        <v>66.599999999999994</v>
      </c>
      <c r="J268" s="15">
        <v>8</v>
      </c>
      <c r="K268" s="15">
        <v>4</v>
      </c>
      <c r="L268" s="15">
        <v>21.1</v>
      </c>
      <c r="M268" s="15">
        <v>13.5</v>
      </c>
      <c r="N268" s="15">
        <v>7.02</v>
      </c>
      <c r="O268" s="13">
        <v>299.22000000000003</v>
      </c>
      <c r="P268" s="15">
        <v>0</v>
      </c>
      <c r="Q268" s="15">
        <v>0</v>
      </c>
      <c r="R268" s="13">
        <v>0.875</v>
      </c>
      <c r="S268" s="13">
        <v>2</v>
      </c>
      <c r="T268" s="13" t="str">
        <f>IF(S268=2,"Y",IF(J268/R268&lt;0.54*(SQRT(29000/'Steel Angle Lintel Design'!$H$31)),"Y","N"))</f>
        <v>Y</v>
      </c>
      <c r="U268" s="13" t="str">
        <f>IF(J268/R268&gt;0.91*(SQRT(29000/'Steel Angle Lintel Design'!$H$31)),"Y","N")</f>
        <v>N</v>
      </c>
      <c r="V268" s="13" t="s">
        <v>553</v>
      </c>
      <c r="W268" s="13"/>
      <c r="X268" s="13">
        <v>8.7799999999999994</v>
      </c>
      <c r="Y268" s="13">
        <v>221</v>
      </c>
      <c r="Z268" s="13">
        <v>115</v>
      </c>
      <c r="AA268" s="13"/>
      <c r="AB268" s="13">
        <v>0</v>
      </c>
      <c r="AC268" s="13">
        <v>0</v>
      </c>
    </row>
    <row r="269" spans="1:29" s="8" customFormat="1" ht="15.75">
      <c r="A269" s="43" t="str">
        <f>IF(AND(H269=1,L269&gt;='Steel Angle Lintel Design'!$M$98,'AISC Angle Database'!N269&gt;='Steel Angle Lintel Design'!$M$96,'AISC Angle Database'!J269&gt;='Steel Angle Lintel Design'!$F$40,'AISC Angle Database'!J269&lt;='Steel Angle Lintel Design'!$F$41,'AISC Angle Database'!K269&gt;='Steel Angle Lintel Design'!$K$40,'AISC Angle Database'!K269&lt;='Steel Angle Lintel Design'!$K$41),1,"")</f>
        <v/>
      </c>
      <c r="B269" s="44">
        <f t="shared" si="20"/>
        <v>11</v>
      </c>
      <c r="C269" s="44">
        <f t="shared" si="21"/>
        <v>0</v>
      </c>
      <c r="D269" s="42" t="e">
        <f t="shared" ca="1" si="24"/>
        <v>#NAME?</v>
      </c>
      <c r="E269" s="44" t="e">
        <f t="shared" ca="1" si="22"/>
        <v>#NAME?</v>
      </c>
      <c r="F269" s="5" t="e">
        <f t="shared" ca="1" si="23"/>
        <v>#NAME?</v>
      </c>
      <c r="G269" s="15" t="s">
        <v>554</v>
      </c>
      <c r="H269" s="15">
        <f>IF('Steel Angle Lintel Design'!$AM$16=1,0,IF('Steel Angle Lintel Design'!$AM$16=2,1,1))</f>
        <v>1</v>
      </c>
      <c r="I269" s="19">
        <v>57.8</v>
      </c>
      <c r="J269" s="15">
        <v>8</v>
      </c>
      <c r="K269" s="15">
        <v>4</v>
      </c>
      <c r="L269" s="15">
        <v>18.7</v>
      </c>
      <c r="M269" s="15">
        <v>11.6</v>
      </c>
      <c r="N269" s="15">
        <v>6.14</v>
      </c>
      <c r="O269" s="13">
        <v>257.04000000000002</v>
      </c>
      <c r="P269" s="15">
        <v>0</v>
      </c>
      <c r="Q269" s="15">
        <v>0</v>
      </c>
      <c r="R269" s="13">
        <v>0.75</v>
      </c>
      <c r="S269" s="13">
        <v>2</v>
      </c>
      <c r="T269" s="13" t="str">
        <f>IF(S269=2,"Y",IF(J269/R269&lt;0.54*(SQRT(29000/'Steel Angle Lintel Design'!$H$31)),"Y","N"))</f>
        <v>Y</v>
      </c>
      <c r="U269" s="13" t="str">
        <f>IF(J269/R269&gt;0.91*(SQRT(29000/'Steel Angle Lintel Design'!$H$31)),"Y","N")</f>
        <v>N</v>
      </c>
      <c r="V269" s="13" t="s">
        <v>555</v>
      </c>
      <c r="W269" s="13"/>
      <c r="X269" s="13">
        <v>7.78</v>
      </c>
      <c r="Y269" s="13">
        <v>190</v>
      </c>
      <c r="Z269" s="13">
        <v>101</v>
      </c>
      <c r="AA269" s="13"/>
      <c r="AB269" s="13">
        <v>0</v>
      </c>
      <c r="AC269" s="13">
        <v>0</v>
      </c>
    </row>
    <row r="270" spans="1:29" s="8" customFormat="1" ht="15.75">
      <c r="A270" s="43" t="str">
        <f>IF(AND(H270=1,L270&gt;='Steel Angle Lintel Design'!$M$98,'AISC Angle Database'!N270&gt;='Steel Angle Lintel Design'!$M$96,'AISC Angle Database'!J270&gt;='Steel Angle Lintel Design'!$F$40,'AISC Angle Database'!J270&lt;='Steel Angle Lintel Design'!$F$41,'AISC Angle Database'!K270&gt;='Steel Angle Lintel Design'!$K$40,'AISC Angle Database'!K270&lt;='Steel Angle Lintel Design'!$K$41),1,"")</f>
        <v/>
      </c>
      <c r="B270" s="44">
        <f t="shared" si="20"/>
        <v>11</v>
      </c>
      <c r="C270" s="44">
        <f t="shared" si="21"/>
        <v>0</v>
      </c>
      <c r="D270" s="42" t="e">
        <f t="shared" ca="1" si="24"/>
        <v>#NAME?</v>
      </c>
      <c r="E270" s="44" t="e">
        <f t="shared" ca="1" si="22"/>
        <v>#NAME?</v>
      </c>
      <c r="F270" s="5" t="e">
        <f t="shared" ca="1" si="23"/>
        <v>#NAME?</v>
      </c>
      <c r="G270" s="15" t="s">
        <v>556</v>
      </c>
      <c r="H270" s="15">
        <f>IF('Steel Angle Lintel Design'!$AM$16=1,0,IF('Steel Angle Lintel Design'!$AM$16=2,1,1))</f>
        <v>1</v>
      </c>
      <c r="I270" s="19">
        <v>48.71</v>
      </c>
      <c r="J270" s="15">
        <v>8</v>
      </c>
      <c r="K270" s="15">
        <v>4</v>
      </c>
      <c r="L270" s="15">
        <v>16.2</v>
      </c>
      <c r="M270" s="15">
        <v>9.73</v>
      </c>
      <c r="N270" s="15">
        <v>5.23</v>
      </c>
      <c r="O270" s="13">
        <v>213.24</v>
      </c>
      <c r="P270" s="15">
        <v>0</v>
      </c>
      <c r="Q270" s="15">
        <v>0</v>
      </c>
      <c r="R270" s="13">
        <v>0.625</v>
      </c>
      <c r="S270" s="13">
        <v>2</v>
      </c>
      <c r="T270" s="13" t="str">
        <f>IF(S270=2,"Y",IF(J270/R270&lt;0.54*(SQRT(29000/'Steel Angle Lintel Design'!$H$31)),"Y","N"))</f>
        <v>Y</v>
      </c>
      <c r="U270" s="13" t="str">
        <f>IF(J270/R270&gt;0.91*(SQRT(29000/'Steel Angle Lintel Design'!$H$31)),"Y","N")</f>
        <v>N</v>
      </c>
      <c r="V270" s="13" t="s">
        <v>557</v>
      </c>
      <c r="W270" s="13"/>
      <c r="X270" s="13">
        <v>6.74</v>
      </c>
      <c r="Y270" s="13">
        <v>159</v>
      </c>
      <c r="Z270" s="13">
        <v>85.7</v>
      </c>
      <c r="AA270" s="13"/>
      <c r="AB270" s="13">
        <v>0</v>
      </c>
      <c r="AC270" s="13">
        <v>0</v>
      </c>
    </row>
    <row r="271" spans="1:29" s="8" customFormat="1" ht="15.75">
      <c r="A271" s="43" t="str">
        <f>IF(AND(H271=1,L271&gt;='Steel Angle Lintel Design'!$M$98,'AISC Angle Database'!N271&gt;='Steel Angle Lintel Design'!$M$96,'AISC Angle Database'!J271&gt;='Steel Angle Lintel Design'!$F$40,'AISC Angle Database'!J271&lt;='Steel Angle Lintel Design'!$F$41,'AISC Angle Database'!K271&gt;='Steel Angle Lintel Design'!$K$40,'AISC Angle Database'!K271&lt;='Steel Angle Lintel Design'!$K$41),1,"")</f>
        <v/>
      </c>
      <c r="B271" s="44">
        <f t="shared" si="20"/>
        <v>11</v>
      </c>
      <c r="C271" s="44">
        <f t="shared" si="21"/>
        <v>0</v>
      </c>
      <c r="D271" s="42" t="e">
        <f t="shared" ca="1" si="24"/>
        <v>#NAME?</v>
      </c>
      <c r="E271" s="44" t="e">
        <f t="shared" ca="1" si="22"/>
        <v>#NAME?</v>
      </c>
      <c r="F271" s="5" t="e">
        <f t="shared" ca="1" si="23"/>
        <v>#NAME?</v>
      </c>
      <c r="G271" s="15" t="s">
        <v>558</v>
      </c>
      <c r="H271" s="15">
        <f>IF('Steel Angle Lintel Design'!$AM$16=1,0,IF('Steel Angle Lintel Design'!$AM$16=2,1,1))</f>
        <v>1</v>
      </c>
      <c r="I271" s="19">
        <v>44.1</v>
      </c>
      <c r="J271" s="15">
        <v>8</v>
      </c>
      <c r="K271" s="15">
        <v>4</v>
      </c>
      <c r="L271" s="15">
        <v>14.9</v>
      </c>
      <c r="M271" s="15">
        <v>8.77</v>
      </c>
      <c r="N271" s="15">
        <v>4.7699999999999996</v>
      </c>
      <c r="O271" s="13">
        <v>192.1</v>
      </c>
      <c r="P271" s="15">
        <v>0</v>
      </c>
      <c r="Q271" s="15">
        <v>0</v>
      </c>
      <c r="R271" s="13">
        <v>0.5625</v>
      </c>
      <c r="S271" s="13">
        <v>2</v>
      </c>
      <c r="T271" s="13" t="str">
        <f>IF(S271=2,"Y",IF(J271/R271&lt;0.54*(SQRT(29000/'Steel Angle Lintel Design'!$H$31)),"Y","N"))</f>
        <v>Y</v>
      </c>
      <c r="U271" s="13" t="str">
        <f>IF(J271/R271&gt;0.91*(SQRT(29000/'Steel Angle Lintel Design'!$H$31)),"Y","N")</f>
        <v>N</v>
      </c>
      <c r="V271" s="13" t="s">
        <v>559</v>
      </c>
      <c r="W271" s="13"/>
      <c r="X271" s="13">
        <v>6.2</v>
      </c>
      <c r="Y271" s="13">
        <v>144</v>
      </c>
      <c r="Z271" s="13">
        <v>78.2</v>
      </c>
      <c r="AA271" s="13"/>
      <c r="AB271" s="13">
        <v>0</v>
      </c>
      <c r="AC271" s="13">
        <v>0</v>
      </c>
    </row>
    <row r="272" spans="1:29" s="8" customFormat="1" ht="15.75">
      <c r="A272" s="43" t="str">
        <f>IF(AND(H272=1,L272&gt;='Steel Angle Lintel Design'!$M$98,'AISC Angle Database'!N272&gt;='Steel Angle Lintel Design'!$M$96,'AISC Angle Database'!J272&gt;='Steel Angle Lintel Design'!$F$40,'AISC Angle Database'!J272&lt;='Steel Angle Lintel Design'!$F$41,'AISC Angle Database'!K272&gt;='Steel Angle Lintel Design'!$K$40,'AISC Angle Database'!K272&lt;='Steel Angle Lintel Design'!$K$41),1,"")</f>
        <v/>
      </c>
      <c r="B272" s="44">
        <f t="shared" si="20"/>
        <v>11</v>
      </c>
      <c r="C272" s="44">
        <f t="shared" si="21"/>
        <v>0</v>
      </c>
      <c r="D272" s="42" t="e">
        <f t="shared" ca="1" si="24"/>
        <v>#NAME?</v>
      </c>
      <c r="E272" s="44" t="e">
        <f t="shared" ca="1" si="22"/>
        <v>#NAME?</v>
      </c>
      <c r="F272" s="5" t="e">
        <f t="shared" ca="1" si="23"/>
        <v>#NAME?</v>
      </c>
      <c r="G272" s="15" t="s">
        <v>560</v>
      </c>
      <c r="H272" s="15">
        <f>IF('Steel Angle Lintel Design'!$AM$16=1,0,IF('Steel Angle Lintel Design'!$AM$16=2,1,1))</f>
        <v>1</v>
      </c>
      <c r="I272" s="19">
        <v>39.51</v>
      </c>
      <c r="J272" s="15">
        <v>8</v>
      </c>
      <c r="K272" s="15">
        <v>4</v>
      </c>
      <c r="L272" s="15">
        <v>13.5</v>
      </c>
      <c r="M272" s="15">
        <v>7.81</v>
      </c>
      <c r="N272" s="15">
        <v>4.29</v>
      </c>
      <c r="O272" s="13">
        <v>170.28</v>
      </c>
      <c r="P272" s="15">
        <v>0</v>
      </c>
      <c r="Q272" s="15">
        <v>0</v>
      </c>
      <c r="R272" s="13">
        <v>0.5</v>
      </c>
      <c r="S272" s="13">
        <v>2</v>
      </c>
      <c r="T272" s="13" t="str">
        <f>IF(S272=2,"Y",IF(J272/R272&lt;0.54*(SQRT(29000/'Steel Angle Lintel Design'!$H$31)),"Y","N"))</f>
        <v>Y</v>
      </c>
      <c r="U272" s="13" t="str">
        <f>IF(J272/R272&gt;0.91*(SQRT(29000/'Steel Angle Lintel Design'!$H$31)),"Y","N")</f>
        <v>N</v>
      </c>
      <c r="V272" s="13" t="s">
        <v>561</v>
      </c>
      <c r="W272" s="13"/>
      <c r="X272" s="13">
        <v>5.62</v>
      </c>
      <c r="Y272" s="13">
        <v>128</v>
      </c>
      <c r="Z272" s="13">
        <v>70.3</v>
      </c>
      <c r="AA272" s="13"/>
      <c r="AB272" s="13">
        <v>0</v>
      </c>
      <c r="AC272" s="13">
        <v>0</v>
      </c>
    </row>
    <row r="273" spans="1:29" s="8" customFormat="1" ht="15.75">
      <c r="A273" s="43" t="str">
        <f>IF(AND(H273=1,L273&gt;='Steel Angle Lintel Design'!$M$98,'AISC Angle Database'!N273&gt;='Steel Angle Lintel Design'!$M$96,'AISC Angle Database'!J273&gt;='Steel Angle Lintel Design'!$F$40,'AISC Angle Database'!J273&lt;='Steel Angle Lintel Design'!$F$41,'AISC Angle Database'!K273&gt;='Steel Angle Lintel Design'!$K$40,'AISC Angle Database'!K273&lt;='Steel Angle Lintel Design'!$K$41),1,"")</f>
        <v/>
      </c>
      <c r="B273" s="44">
        <f t="shared" si="20"/>
        <v>11</v>
      </c>
      <c r="C273" s="44">
        <f t="shared" si="21"/>
        <v>0</v>
      </c>
      <c r="D273" s="42" t="e">
        <f t="shared" ca="1" si="24"/>
        <v>#NAME?</v>
      </c>
      <c r="E273" s="44" t="e">
        <f t="shared" ca="1" si="22"/>
        <v>#NAME?</v>
      </c>
      <c r="F273" s="5" t="e">
        <f t="shared" ca="1" si="23"/>
        <v>#NAME?</v>
      </c>
      <c r="G273" s="15" t="s">
        <v>562</v>
      </c>
      <c r="H273" s="15">
        <f>IF('Steel Angle Lintel Design'!$AM$16=1,0,IF('Steel Angle Lintel Design'!$AM$16=2,1,1))</f>
        <v>1</v>
      </c>
      <c r="I273" s="19">
        <v>34.79</v>
      </c>
      <c r="J273" s="15">
        <v>8</v>
      </c>
      <c r="K273" s="15">
        <v>4</v>
      </c>
      <c r="L273" s="15">
        <v>12.1</v>
      </c>
      <c r="M273" s="15">
        <v>6.85</v>
      </c>
      <c r="N273" s="15">
        <v>3.81</v>
      </c>
      <c r="O273" s="13">
        <v>149.24</v>
      </c>
      <c r="P273" s="15">
        <v>0</v>
      </c>
      <c r="Q273" s="15">
        <v>0</v>
      </c>
      <c r="R273" s="13">
        <v>0.4375</v>
      </c>
      <c r="S273" s="13">
        <v>2</v>
      </c>
      <c r="T273" s="13" t="str">
        <f>IF(S273=2,"Y",IF(J273/R273&lt;0.54*(SQRT(29000/'Steel Angle Lintel Design'!$H$31)),"Y","N"))</f>
        <v>Y</v>
      </c>
      <c r="U273" s="13" t="str">
        <f>IF(J273/R273&gt;0.91*(SQRT(29000/'Steel Angle Lintel Design'!$H$31)),"Y","N")</f>
        <v>N</v>
      </c>
      <c r="V273" s="13" t="s">
        <v>563</v>
      </c>
      <c r="W273" s="13"/>
      <c r="X273" s="13">
        <v>5.04</v>
      </c>
      <c r="Y273" s="13">
        <v>112</v>
      </c>
      <c r="Z273" s="13">
        <v>62.4</v>
      </c>
      <c r="AA273" s="13"/>
      <c r="AB273" s="13">
        <v>0</v>
      </c>
      <c r="AC273" s="13">
        <v>0</v>
      </c>
    </row>
    <row r="274" spans="1:29" s="8" customFormat="1" ht="15.75">
      <c r="A274" s="43" t="str">
        <f>IF(AND(H274=1,L274&gt;='Steel Angle Lintel Design'!$M$98,'AISC Angle Database'!N274&gt;='Steel Angle Lintel Design'!$M$96,'AISC Angle Database'!J274&gt;='Steel Angle Lintel Design'!$F$40,'AISC Angle Database'!J274&lt;='Steel Angle Lintel Design'!$F$41,'AISC Angle Database'!K274&gt;='Steel Angle Lintel Design'!$K$40,'AISC Angle Database'!K274&lt;='Steel Angle Lintel Design'!$K$41),1,"")</f>
        <v/>
      </c>
      <c r="B274" s="44">
        <f t="shared" si="20"/>
        <v>11</v>
      </c>
      <c r="C274" s="44">
        <f t="shared" si="21"/>
        <v>0</v>
      </c>
      <c r="D274" s="42" t="e">
        <f t="shared" ca="1" si="24"/>
        <v>#NAME?</v>
      </c>
      <c r="E274" s="44" t="e">
        <f t="shared" ca="1" si="22"/>
        <v>#NAME?</v>
      </c>
      <c r="F274" s="5" t="e">
        <f t="shared" ca="1" si="23"/>
        <v>#NAME?</v>
      </c>
      <c r="G274" s="15" t="s">
        <v>564</v>
      </c>
      <c r="H274" s="15">
        <f>IF('Steel Angle Lintel Design'!$AM$16=1,0,IF('Steel Angle Lintel Design'!$AM$16=2,1,1))</f>
        <v>1</v>
      </c>
      <c r="I274" s="19">
        <v>52.41</v>
      </c>
      <c r="J274" s="15">
        <v>7</v>
      </c>
      <c r="K274" s="15">
        <v>4</v>
      </c>
      <c r="L274" s="15">
        <v>18</v>
      </c>
      <c r="M274" s="15">
        <v>11.2</v>
      </c>
      <c r="N274" s="15">
        <v>6.01</v>
      </c>
      <c r="O274" s="13">
        <v>171.79</v>
      </c>
      <c r="P274" s="15">
        <v>0</v>
      </c>
      <c r="Q274" s="15">
        <v>0</v>
      </c>
      <c r="R274" s="13">
        <v>0.75</v>
      </c>
      <c r="S274" s="13">
        <v>2</v>
      </c>
      <c r="T274" s="13" t="str">
        <f>IF(S274=2,"Y",IF(J274/R274&lt;0.54*(SQRT(29000/'Steel Angle Lintel Design'!$H$31)),"Y","N"))</f>
        <v>Y</v>
      </c>
      <c r="U274" s="13" t="str">
        <f>IF(J274/R274&gt;0.91*(SQRT(29000/'Steel Angle Lintel Design'!$H$31)),"Y","N")</f>
        <v>N</v>
      </c>
      <c r="V274" s="13" t="s">
        <v>565</v>
      </c>
      <c r="W274" s="13"/>
      <c r="X274" s="13">
        <v>7.49</v>
      </c>
      <c r="Y274" s="13">
        <v>184</v>
      </c>
      <c r="Z274" s="13">
        <v>98.5</v>
      </c>
      <c r="AA274" s="13"/>
      <c r="AB274" s="13">
        <v>0</v>
      </c>
      <c r="AC274" s="13">
        <v>0</v>
      </c>
    </row>
    <row r="275" spans="1:29" s="8" customFormat="1" ht="15.75">
      <c r="A275" s="43" t="str">
        <f>IF(AND(H275=1,L275&gt;='Steel Angle Lintel Design'!$M$98,'AISC Angle Database'!N275&gt;='Steel Angle Lintel Design'!$M$96,'AISC Angle Database'!J275&gt;='Steel Angle Lintel Design'!$F$40,'AISC Angle Database'!J275&lt;='Steel Angle Lintel Design'!$F$41,'AISC Angle Database'!K275&gt;='Steel Angle Lintel Design'!$K$40,'AISC Angle Database'!K275&lt;='Steel Angle Lintel Design'!$K$41),1,"")</f>
        <v/>
      </c>
      <c r="B275" s="44">
        <f t="shared" si="20"/>
        <v>11</v>
      </c>
      <c r="C275" s="44">
        <f t="shared" si="21"/>
        <v>0</v>
      </c>
      <c r="D275" s="42" t="e">
        <f t="shared" ca="1" si="24"/>
        <v>#NAME?</v>
      </c>
      <c r="E275" s="44" t="e">
        <f t="shared" ca="1" si="22"/>
        <v>#NAME?</v>
      </c>
      <c r="F275" s="5" t="e">
        <f t="shared" ca="1" si="23"/>
        <v>#NAME?</v>
      </c>
      <c r="G275" s="15" t="s">
        <v>566</v>
      </c>
      <c r="H275" s="15">
        <f>IF('Steel Angle Lintel Design'!$AM$16=1,0,IF('Steel Angle Lintel Design'!$AM$16=2,1,1))</f>
        <v>1</v>
      </c>
      <c r="I275" s="19">
        <v>44.21</v>
      </c>
      <c r="J275" s="15">
        <v>7</v>
      </c>
      <c r="K275" s="15">
        <v>4</v>
      </c>
      <c r="L275" s="15">
        <v>15.6</v>
      </c>
      <c r="M275" s="15">
        <v>9.3800000000000008</v>
      </c>
      <c r="N275" s="15">
        <v>5.12</v>
      </c>
      <c r="O275" s="13">
        <v>143.21</v>
      </c>
      <c r="P275" s="15">
        <v>0</v>
      </c>
      <c r="Q275" s="15">
        <v>0</v>
      </c>
      <c r="R275" s="13">
        <v>0.625</v>
      </c>
      <c r="S275" s="13">
        <v>2</v>
      </c>
      <c r="T275" s="13" t="str">
        <f>IF(S275=2,"Y",IF(J275/R275&lt;0.54*(SQRT(29000/'Steel Angle Lintel Design'!$H$31)),"Y","N"))</f>
        <v>Y</v>
      </c>
      <c r="U275" s="13" t="str">
        <f>IF(J275/R275&gt;0.91*(SQRT(29000/'Steel Angle Lintel Design'!$H$31)),"Y","N")</f>
        <v>N</v>
      </c>
      <c r="V275" s="13" t="s">
        <v>567</v>
      </c>
      <c r="W275" s="13"/>
      <c r="X275" s="13">
        <v>6.49</v>
      </c>
      <c r="Y275" s="13">
        <v>154</v>
      </c>
      <c r="Z275" s="13">
        <v>83.9</v>
      </c>
      <c r="AA275" s="13"/>
      <c r="AB275" s="13">
        <v>0</v>
      </c>
      <c r="AC275" s="13">
        <v>0</v>
      </c>
    </row>
    <row r="276" spans="1:29" s="8" customFormat="1" ht="15.75">
      <c r="A276" s="43" t="str">
        <f>IF(AND(H276=1,L276&gt;='Steel Angle Lintel Design'!$M$98,'AISC Angle Database'!N276&gt;='Steel Angle Lintel Design'!$M$96,'AISC Angle Database'!J276&gt;='Steel Angle Lintel Design'!$F$40,'AISC Angle Database'!J276&lt;='Steel Angle Lintel Design'!$F$41,'AISC Angle Database'!K276&gt;='Steel Angle Lintel Design'!$K$40,'AISC Angle Database'!K276&lt;='Steel Angle Lintel Design'!$K$41),1,"")</f>
        <v/>
      </c>
      <c r="B276" s="44">
        <f t="shared" si="20"/>
        <v>11</v>
      </c>
      <c r="C276" s="44">
        <f t="shared" si="21"/>
        <v>0</v>
      </c>
      <c r="D276" s="42" t="e">
        <f t="shared" ca="1" si="24"/>
        <v>#NAME?</v>
      </c>
      <c r="E276" s="44" t="e">
        <f t="shared" ca="1" si="22"/>
        <v>#NAME?</v>
      </c>
      <c r="F276" s="5" t="e">
        <f t="shared" ca="1" si="23"/>
        <v>#NAME?</v>
      </c>
      <c r="G276" s="15" t="s">
        <v>568</v>
      </c>
      <c r="H276" s="15">
        <f>IF('Steel Angle Lintel Design'!$AM$16=1,0,IF('Steel Angle Lintel Design'!$AM$16=2,1,1))</f>
        <v>1</v>
      </c>
      <c r="I276" s="19">
        <v>35.81</v>
      </c>
      <c r="J276" s="15">
        <v>7</v>
      </c>
      <c r="K276" s="15">
        <v>4</v>
      </c>
      <c r="L276" s="15">
        <v>13</v>
      </c>
      <c r="M276" s="15">
        <v>7.54</v>
      </c>
      <c r="N276" s="15">
        <v>4.2</v>
      </c>
      <c r="O276" s="13">
        <v>113.88</v>
      </c>
      <c r="P276" s="15">
        <v>0</v>
      </c>
      <c r="Q276" s="15">
        <v>0</v>
      </c>
      <c r="R276" s="13">
        <v>0.5</v>
      </c>
      <c r="S276" s="13">
        <v>2</v>
      </c>
      <c r="T276" s="13" t="str">
        <f>IF(S276=2,"Y",IF(J276/R276&lt;0.54*(SQRT(29000/'Steel Angle Lintel Design'!$H$31)),"Y","N"))</f>
        <v>Y</v>
      </c>
      <c r="U276" s="13" t="str">
        <f>IF(J276/R276&gt;0.91*(SQRT(29000/'Steel Angle Lintel Design'!$H$31)),"Y","N")</f>
        <v>N</v>
      </c>
      <c r="V276" s="13" t="s">
        <v>569</v>
      </c>
      <c r="W276" s="13"/>
      <c r="X276" s="13">
        <v>5.41</v>
      </c>
      <c r="Y276" s="13">
        <v>124</v>
      </c>
      <c r="Z276" s="13">
        <v>68.8</v>
      </c>
      <c r="AA276" s="13"/>
      <c r="AB276" s="13">
        <v>0</v>
      </c>
      <c r="AC276" s="13">
        <v>0</v>
      </c>
    </row>
    <row r="277" spans="1:29" s="8" customFormat="1" ht="15.75">
      <c r="A277" s="43" t="str">
        <f>IF(AND(H277=1,L277&gt;='Steel Angle Lintel Design'!$M$98,'AISC Angle Database'!N277&gt;='Steel Angle Lintel Design'!$M$96,'AISC Angle Database'!J277&gt;='Steel Angle Lintel Design'!$F$40,'AISC Angle Database'!J277&lt;='Steel Angle Lintel Design'!$F$41,'AISC Angle Database'!K277&gt;='Steel Angle Lintel Design'!$K$40,'AISC Angle Database'!K277&lt;='Steel Angle Lintel Design'!$K$41),1,"")</f>
        <v/>
      </c>
      <c r="B277" s="44">
        <f t="shared" si="20"/>
        <v>11</v>
      </c>
      <c r="C277" s="44">
        <f t="shared" si="21"/>
        <v>0</v>
      </c>
      <c r="D277" s="42" t="e">
        <f t="shared" ca="1" si="24"/>
        <v>#NAME?</v>
      </c>
      <c r="E277" s="44" t="e">
        <f t="shared" ca="1" si="22"/>
        <v>#NAME?</v>
      </c>
      <c r="F277" s="5" t="e">
        <f t="shared" ca="1" si="23"/>
        <v>#NAME?</v>
      </c>
      <c r="G277" s="15" t="s">
        <v>570</v>
      </c>
      <c r="H277" s="15">
        <f>IF('Steel Angle Lintel Design'!$AM$16=1,0,IF('Steel Angle Lintel Design'!$AM$16=2,1,1))</f>
        <v>1</v>
      </c>
      <c r="I277" s="19">
        <v>31.5</v>
      </c>
      <c r="J277" s="15">
        <v>7</v>
      </c>
      <c r="K277" s="15">
        <v>4</v>
      </c>
      <c r="L277" s="15">
        <v>11.6</v>
      </c>
      <c r="M277" s="15">
        <v>6.61</v>
      </c>
      <c r="N277" s="15">
        <v>3.72</v>
      </c>
      <c r="O277" s="13">
        <v>99.59</v>
      </c>
      <c r="P277" s="15">
        <v>0</v>
      </c>
      <c r="Q277" s="15">
        <v>0</v>
      </c>
      <c r="R277" s="13">
        <v>0.4375</v>
      </c>
      <c r="S277" s="13">
        <v>2</v>
      </c>
      <c r="T277" s="13" t="str">
        <f>IF(S277=2,"Y",IF(J277/R277&lt;0.54*(SQRT(29000/'Steel Angle Lintel Design'!$H$31)),"Y","N"))</f>
        <v>Y</v>
      </c>
      <c r="U277" s="13" t="str">
        <f>IF(J277/R277&gt;0.91*(SQRT(29000/'Steel Angle Lintel Design'!$H$31)),"Y","N")</f>
        <v>N</v>
      </c>
      <c r="V277" s="13" t="s">
        <v>571</v>
      </c>
      <c r="W277" s="13"/>
      <c r="X277" s="13">
        <v>4.83</v>
      </c>
      <c r="Y277" s="13">
        <v>108</v>
      </c>
      <c r="Z277" s="13">
        <v>61</v>
      </c>
      <c r="AA277" s="13"/>
      <c r="AB277" s="13">
        <v>0</v>
      </c>
      <c r="AC277" s="13">
        <v>0</v>
      </c>
    </row>
    <row r="278" spans="1:29" s="8" customFormat="1" ht="15.75">
      <c r="A278" s="43" t="str">
        <f>IF(AND(H278=1,L278&gt;='Steel Angle Lintel Design'!$M$98,'AISC Angle Database'!N278&gt;='Steel Angle Lintel Design'!$M$96,'AISC Angle Database'!J278&gt;='Steel Angle Lintel Design'!$F$40,'AISC Angle Database'!J278&lt;='Steel Angle Lintel Design'!$F$41,'AISC Angle Database'!K278&gt;='Steel Angle Lintel Design'!$K$40,'AISC Angle Database'!K278&lt;='Steel Angle Lintel Design'!$K$41),1,"")</f>
        <v/>
      </c>
      <c r="B278" s="44">
        <f t="shared" si="20"/>
        <v>11</v>
      </c>
      <c r="C278" s="44">
        <f t="shared" si="21"/>
        <v>0</v>
      </c>
      <c r="D278" s="42" t="e">
        <f t="shared" ca="1" si="24"/>
        <v>#NAME?</v>
      </c>
      <c r="E278" s="44" t="e">
        <f t="shared" ca="1" si="22"/>
        <v>#NAME?</v>
      </c>
      <c r="F278" s="5" t="e">
        <f t="shared" ca="1" si="23"/>
        <v>#NAME?</v>
      </c>
      <c r="G278" s="15" t="s">
        <v>572</v>
      </c>
      <c r="H278" s="15">
        <f>IF('Steel Angle Lintel Design'!$AM$16=1,0,IF('Steel Angle Lintel Design'!$AM$16=2,1,1))</f>
        <v>1</v>
      </c>
      <c r="I278" s="19">
        <v>27.2</v>
      </c>
      <c r="J278" s="15">
        <v>7</v>
      </c>
      <c r="K278" s="15">
        <v>4</v>
      </c>
      <c r="L278" s="15">
        <v>10.1</v>
      </c>
      <c r="M278" s="15">
        <v>5.68</v>
      </c>
      <c r="N278" s="15">
        <v>3.22</v>
      </c>
      <c r="O278" s="13">
        <v>84.95</v>
      </c>
      <c r="P278" s="15">
        <v>0</v>
      </c>
      <c r="Q278" s="15">
        <v>0</v>
      </c>
      <c r="R278" s="13">
        <v>0.375</v>
      </c>
      <c r="S278" s="13">
        <v>2</v>
      </c>
      <c r="T278" s="13" t="str">
        <f>IF(S278=2,"Y",IF(J278/R278&lt;0.54*(SQRT(29000/'Steel Angle Lintel Design'!$H$31)),"Y","N"))</f>
        <v>Y</v>
      </c>
      <c r="U278" s="13" t="str">
        <f>IF(J278/R278&gt;0.91*(SQRT(29000/'Steel Angle Lintel Design'!$H$31)),"Y","N")</f>
        <v>N</v>
      </c>
      <c r="V278" s="13" t="s">
        <v>573</v>
      </c>
      <c r="W278" s="13"/>
      <c r="X278" s="13">
        <v>4.2</v>
      </c>
      <c r="Y278" s="13">
        <v>93.1</v>
      </c>
      <c r="Z278" s="13">
        <v>52.8</v>
      </c>
      <c r="AA278" s="13"/>
      <c r="AB278" s="13">
        <v>0</v>
      </c>
      <c r="AC278" s="13">
        <v>0</v>
      </c>
    </row>
    <row r="279" spans="1:29" s="8" customFormat="1" ht="15.75">
      <c r="A279" s="43" t="str">
        <f>IF(AND(H279=1,L279&gt;='Steel Angle Lintel Design'!$M$98,'AISC Angle Database'!N279&gt;='Steel Angle Lintel Design'!$M$96,'AISC Angle Database'!J279&gt;='Steel Angle Lintel Design'!$F$40,'AISC Angle Database'!J279&lt;='Steel Angle Lintel Design'!$F$41,'AISC Angle Database'!K279&gt;='Steel Angle Lintel Design'!$K$40,'AISC Angle Database'!K279&lt;='Steel Angle Lintel Design'!$K$41),1,"")</f>
        <v/>
      </c>
      <c r="B279" s="44">
        <f t="shared" si="20"/>
        <v>11</v>
      </c>
      <c r="C279" s="44">
        <f t="shared" si="21"/>
        <v>0</v>
      </c>
      <c r="D279" s="42" t="e">
        <f t="shared" ca="1" si="24"/>
        <v>#NAME?</v>
      </c>
      <c r="E279" s="44" t="e">
        <f t="shared" ca="1" si="22"/>
        <v>#NAME?</v>
      </c>
      <c r="F279" s="5" t="e">
        <f t="shared" ca="1" si="23"/>
        <v>#NAME?</v>
      </c>
      <c r="G279" s="15" t="s">
        <v>574</v>
      </c>
      <c r="H279" s="15">
        <f>IF('Steel Angle Lintel Design'!$AM$16=1,0,IF('Steel Angle Lintel Design'!$AM$16=2,1,1))</f>
        <v>1</v>
      </c>
      <c r="I279" s="19">
        <v>54.3</v>
      </c>
      <c r="J279" s="15">
        <v>6</v>
      </c>
      <c r="K279" s="15">
        <v>4</v>
      </c>
      <c r="L279" s="15">
        <v>19.399999999999999</v>
      </c>
      <c r="M279" s="15">
        <v>12.5</v>
      </c>
      <c r="N279" s="15">
        <v>6.74</v>
      </c>
      <c r="O279" s="13">
        <v>126.9</v>
      </c>
      <c r="P279" s="15">
        <v>0</v>
      </c>
      <c r="Q279" s="15">
        <v>0</v>
      </c>
      <c r="R279" s="13">
        <v>0.875</v>
      </c>
      <c r="S279" s="13">
        <v>2</v>
      </c>
      <c r="T279" s="13" t="str">
        <f>IF(S279=2,"Y",IF(J279/R279&lt;0.54*(SQRT(29000/'Steel Angle Lintel Design'!$H$31)),"Y","N"))</f>
        <v>Y</v>
      </c>
      <c r="U279" s="13" t="str">
        <f>IF(J279/R279&gt;0.91*(SQRT(29000/'Steel Angle Lintel Design'!$H$31)),"Y","N")</f>
        <v>N</v>
      </c>
      <c r="V279" s="13" t="s">
        <v>575</v>
      </c>
      <c r="W279" s="13"/>
      <c r="X279" s="13">
        <v>8.07</v>
      </c>
      <c r="Y279" s="13">
        <v>205</v>
      </c>
      <c r="Z279" s="13">
        <v>110</v>
      </c>
      <c r="AA279" s="13"/>
      <c r="AB279" s="13">
        <v>0</v>
      </c>
      <c r="AC279" s="13">
        <v>0</v>
      </c>
    </row>
    <row r="280" spans="1:29" s="8" customFormat="1" ht="15.75">
      <c r="A280" s="43" t="str">
        <f>IF(AND(H280=1,L280&gt;='Steel Angle Lintel Design'!$M$98,'AISC Angle Database'!N280&gt;='Steel Angle Lintel Design'!$M$96,'AISC Angle Database'!J280&gt;='Steel Angle Lintel Design'!$F$40,'AISC Angle Database'!J280&lt;='Steel Angle Lintel Design'!$F$41,'AISC Angle Database'!K280&gt;='Steel Angle Lintel Design'!$K$40,'AISC Angle Database'!K280&lt;='Steel Angle Lintel Design'!$K$41),1,"")</f>
        <v/>
      </c>
      <c r="B280" s="44">
        <f t="shared" si="20"/>
        <v>11</v>
      </c>
      <c r="C280" s="44">
        <f t="shared" si="21"/>
        <v>0</v>
      </c>
      <c r="D280" s="42" t="e">
        <f t="shared" ca="1" si="24"/>
        <v>#NAME?</v>
      </c>
      <c r="E280" s="44" t="e">
        <f t="shared" ca="1" si="22"/>
        <v>#NAME?</v>
      </c>
      <c r="F280" s="5" t="e">
        <f t="shared" ca="1" si="23"/>
        <v>#NAME?</v>
      </c>
      <c r="G280" s="15" t="s">
        <v>576</v>
      </c>
      <c r="H280" s="15">
        <f>IF('Steel Angle Lintel Design'!$AM$16=1,0,IF('Steel Angle Lintel Design'!$AM$16=2,1,1))</f>
        <v>1</v>
      </c>
      <c r="I280" s="19">
        <v>47.21</v>
      </c>
      <c r="J280" s="15">
        <v>6</v>
      </c>
      <c r="K280" s="15">
        <v>4</v>
      </c>
      <c r="L280" s="15">
        <v>17.3</v>
      </c>
      <c r="M280" s="15">
        <v>10.8</v>
      </c>
      <c r="N280" s="15">
        <v>5.9</v>
      </c>
      <c r="O280" s="13">
        <v>108.75</v>
      </c>
      <c r="P280" s="15">
        <v>0</v>
      </c>
      <c r="Q280" s="15">
        <v>0</v>
      </c>
      <c r="R280" s="13">
        <v>0.75</v>
      </c>
      <c r="S280" s="13">
        <v>2</v>
      </c>
      <c r="T280" s="13" t="str">
        <f>IF(S280=2,"Y",IF(J280/R280&lt;0.54*(SQRT(29000/'Steel Angle Lintel Design'!$H$31)),"Y","N"))</f>
        <v>Y</v>
      </c>
      <c r="U280" s="13" t="str">
        <f>IF(J280/R280&gt;0.91*(SQRT(29000/'Steel Angle Lintel Design'!$H$31)),"Y","N")</f>
        <v>N</v>
      </c>
      <c r="V280" s="13" t="s">
        <v>577</v>
      </c>
      <c r="W280" s="13"/>
      <c r="X280" s="13">
        <v>7.2</v>
      </c>
      <c r="Y280" s="13">
        <v>177</v>
      </c>
      <c r="Z280" s="13">
        <v>96.7</v>
      </c>
      <c r="AA280" s="13"/>
      <c r="AB280" s="13">
        <v>0</v>
      </c>
      <c r="AC280" s="13">
        <v>0</v>
      </c>
    </row>
    <row r="281" spans="1:29" s="8" customFormat="1" ht="15.75">
      <c r="A281" s="43" t="str">
        <f>IF(AND(H281=1,L281&gt;='Steel Angle Lintel Design'!$M$98,'AISC Angle Database'!N281&gt;='Steel Angle Lintel Design'!$M$96,'AISC Angle Database'!J281&gt;='Steel Angle Lintel Design'!$F$40,'AISC Angle Database'!J281&lt;='Steel Angle Lintel Design'!$F$41,'AISC Angle Database'!K281&gt;='Steel Angle Lintel Design'!$K$40,'AISC Angle Database'!K281&lt;='Steel Angle Lintel Design'!$K$41),1,"")</f>
        <v/>
      </c>
      <c r="B281" s="44">
        <f t="shared" si="20"/>
        <v>11</v>
      </c>
      <c r="C281" s="44">
        <f t="shared" si="21"/>
        <v>0</v>
      </c>
      <c r="D281" s="42" t="e">
        <f t="shared" ca="1" si="24"/>
        <v>#NAME?</v>
      </c>
      <c r="E281" s="44" t="e">
        <f t="shared" ca="1" si="22"/>
        <v>#NAME?</v>
      </c>
      <c r="F281" s="5" t="e">
        <f t="shared" ca="1" si="23"/>
        <v>#NAME?</v>
      </c>
      <c r="G281" s="15" t="s">
        <v>578</v>
      </c>
      <c r="H281" s="15">
        <f>IF('Steel Angle Lintel Design'!$AM$16=1,0,IF('Steel Angle Lintel Design'!$AM$16=2,1,1))</f>
        <v>1</v>
      </c>
      <c r="I281" s="19">
        <v>39.9</v>
      </c>
      <c r="J281" s="15">
        <v>6</v>
      </c>
      <c r="K281" s="15">
        <v>4</v>
      </c>
      <c r="L281" s="15">
        <v>15</v>
      </c>
      <c r="M281" s="15">
        <v>9.1300000000000008</v>
      </c>
      <c r="N281" s="15">
        <v>5.03</v>
      </c>
      <c r="O281" s="13">
        <v>89.97</v>
      </c>
      <c r="P281" s="15">
        <v>0</v>
      </c>
      <c r="Q281" s="15">
        <v>0</v>
      </c>
      <c r="R281" s="13">
        <v>0.625</v>
      </c>
      <c r="S281" s="13">
        <v>2</v>
      </c>
      <c r="T281" s="13" t="str">
        <f>IF(S281=2,"Y",IF(J281/R281&lt;0.54*(SQRT(29000/'Steel Angle Lintel Design'!$H$31)),"Y","N"))</f>
        <v>Y</v>
      </c>
      <c r="U281" s="13" t="str">
        <f>IF(J281/R281&gt;0.91*(SQRT(29000/'Steel Angle Lintel Design'!$H$31)),"Y","N")</f>
        <v>N</v>
      </c>
      <c r="V281" s="13" t="s">
        <v>579</v>
      </c>
      <c r="W281" s="13"/>
      <c r="X281" s="13">
        <v>6.24</v>
      </c>
      <c r="Y281" s="13">
        <v>150</v>
      </c>
      <c r="Z281" s="13">
        <v>82.4</v>
      </c>
      <c r="AA281" s="13"/>
      <c r="AB281" s="13">
        <v>0</v>
      </c>
      <c r="AC281" s="13">
        <v>0</v>
      </c>
    </row>
    <row r="282" spans="1:29" s="8" customFormat="1" ht="15.75">
      <c r="A282" s="43" t="str">
        <f>IF(AND(H282=1,L282&gt;='Steel Angle Lintel Design'!$M$98,'AISC Angle Database'!N282&gt;='Steel Angle Lintel Design'!$M$96,'AISC Angle Database'!J282&gt;='Steel Angle Lintel Design'!$F$40,'AISC Angle Database'!J282&lt;='Steel Angle Lintel Design'!$F$41,'AISC Angle Database'!K282&gt;='Steel Angle Lintel Design'!$K$40,'AISC Angle Database'!K282&lt;='Steel Angle Lintel Design'!$K$41),1,"")</f>
        <v/>
      </c>
      <c r="B282" s="44">
        <f t="shared" si="20"/>
        <v>11</v>
      </c>
      <c r="C282" s="44">
        <f t="shared" si="21"/>
        <v>0</v>
      </c>
      <c r="D282" s="42" t="e">
        <f t="shared" ca="1" si="24"/>
        <v>#NAME?</v>
      </c>
      <c r="E282" s="44" t="e">
        <f t="shared" ca="1" si="22"/>
        <v>#NAME?</v>
      </c>
      <c r="F282" s="5" t="e">
        <f t="shared" ca="1" si="23"/>
        <v>#NAME?</v>
      </c>
      <c r="G282" s="15" t="s">
        <v>580</v>
      </c>
      <c r="H282" s="15">
        <f>IF('Steel Angle Lintel Design'!$AM$16=1,0,IF('Steel Angle Lintel Design'!$AM$16=2,1,1))</f>
        <v>1</v>
      </c>
      <c r="I282" s="19">
        <v>36.11</v>
      </c>
      <c r="J282" s="15">
        <v>6</v>
      </c>
      <c r="K282" s="15">
        <v>4</v>
      </c>
      <c r="L282" s="15">
        <v>13.7</v>
      </c>
      <c r="M282" s="15">
        <v>8.26</v>
      </c>
      <c r="N282" s="15">
        <v>4.58</v>
      </c>
      <c r="O282" s="13">
        <v>80.81</v>
      </c>
      <c r="P282" s="15">
        <v>0</v>
      </c>
      <c r="Q282" s="15">
        <v>0</v>
      </c>
      <c r="R282" s="13">
        <v>0.5625</v>
      </c>
      <c r="S282" s="13">
        <v>2</v>
      </c>
      <c r="T282" s="13" t="str">
        <f>IF(S282=2,"Y",IF(J282/R282&lt;0.54*(SQRT(29000/'Steel Angle Lintel Design'!$H$31)),"Y","N"))</f>
        <v>Y</v>
      </c>
      <c r="U282" s="13" t="str">
        <f>IF(J282/R282&gt;0.91*(SQRT(29000/'Steel Angle Lintel Design'!$H$31)),"Y","N")</f>
        <v>N</v>
      </c>
      <c r="V282" s="13" t="s">
        <v>581</v>
      </c>
      <c r="W282" s="13"/>
      <c r="X282" s="13">
        <v>5.7</v>
      </c>
      <c r="Y282" s="13">
        <v>135</v>
      </c>
      <c r="Z282" s="13">
        <v>75.099999999999994</v>
      </c>
      <c r="AA282" s="13"/>
      <c r="AB282" s="13">
        <v>0</v>
      </c>
      <c r="AC282" s="13">
        <v>0</v>
      </c>
    </row>
    <row r="283" spans="1:29" s="8" customFormat="1" ht="15.75">
      <c r="A283" s="43" t="str">
        <f>IF(AND(H283=1,L283&gt;='Steel Angle Lintel Design'!$M$98,'AISC Angle Database'!N283&gt;='Steel Angle Lintel Design'!$M$96,'AISC Angle Database'!J283&gt;='Steel Angle Lintel Design'!$F$40,'AISC Angle Database'!J283&lt;='Steel Angle Lintel Design'!$F$41,'AISC Angle Database'!K283&gt;='Steel Angle Lintel Design'!$K$40,'AISC Angle Database'!K283&lt;='Steel Angle Lintel Design'!$K$41),1,"")</f>
        <v/>
      </c>
      <c r="B283" s="44">
        <f t="shared" si="20"/>
        <v>11</v>
      </c>
      <c r="C283" s="44">
        <f t="shared" si="21"/>
        <v>0</v>
      </c>
      <c r="D283" s="42" t="e">
        <f t="shared" ca="1" si="24"/>
        <v>#NAME?</v>
      </c>
      <c r="E283" s="44" t="e">
        <f t="shared" ca="1" si="22"/>
        <v>#NAME?</v>
      </c>
      <c r="F283" s="5" t="e">
        <f t="shared" ca="1" si="23"/>
        <v>#NAME?</v>
      </c>
      <c r="G283" s="15" t="s">
        <v>582</v>
      </c>
      <c r="H283" s="15">
        <f>IF('Steel Angle Lintel Design'!$AM$16=1,0,IF('Steel Angle Lintel Design'!$AM$16=2,1,1))</f>
        <v>1</v>
      </c>
      <c r="I283" s="19">
        <v>32.31</v>
      </c>
      <c r="J283" s="15">
        <v>6</v>
      </c>
      <c r="K283" s="15">
        <v>4</v>
      </c>
      <c r="L283" s="15">
        <v>12.4</v>
      </c>
      <c r="M283" s="15">
        <v>7.38</v>
      </c>
      <c r="N283" s="15">
        <v>4.12</v>
      </c>
      <c r="O283" s="13">
        <v>71.790000000000006</v>
      </c>
      <c r="P283" s="15">
        <v>0</v>
      </c>
      <c r="Q283" s="15">
        <v>0</v>
      </c>
      <c r="R283" s="13">
        <v>0.5</v>
      </c>
      <c r="S283" s="13">
        <v>2</v>
      </c>
      <c r="T283" s="13" t="str">
        <f>IF(S283=2,"Y",IF(J283/R283&lt;0.54*(SQRT(29000/'Steel Angle Lintel Design'!$H$31)),"Y","N"))</f>
        <v>Y</v>
      </c>
      <c r="U283" s="13" t="str">
        <f>IF(J283/R283&gt;0.91*(SQRT(29000/'Steel Angle Lintel Design'!$H$31)),"Y","N")</f>
        <v>N</v>
      </c>
      <c r="V283" s="13" t="s">
        <v>583</v>
      </c>
      <c r="W283" s="13"/>
      <c r="X283" s="13">
        <v>5.16</v>
      </c>
      <c r="Y283" s="13">
        <v>121</v>
      </c>
      <c r="Z283" s="13">
        <v>67.5</v>
      </c>
      <c r="AA283" s="13"/>
      <c r="AB283" s="13">
        <v>0</v>
      </c>
      <c r="AC283" s="13">
        <v>0</v>
      </c>
    </row>
    <row r="284" spans="1:29" s="8" customFormat="1" ht="15.75">
      <c r="A284" s="43" t="str">
        <f>IF(AND(H284=1,L284&gt;='Steel Angle Lintel Design'!$M$98,'AISC Angle Database'!N284&gt;='Steel Angle Lintel Design'!$M$96,'AISC Angle Database'!J284&gt;='Steel Angle Lintel Design'!$F$40,'AISC Angle Database'!J284&lt;='Steel Angle Lintel Design'!$F$41,'AISC Angle Database'!K284&gt;='Steel Angle Lintel Design'!$K$40,'AISC Angle Database'!K284&lt;='Steel Angle Lintel Design'!$K$41),1,"")</f>
        <v/>
      </c>
      <c r="B284" s="44">
        <f t="shared" si="20"/>
        <v>11</v>
      </c>
      <c r="C284" s="44">
        <f t="shared" si="21"/>
        <v>0</v>
      </c>
      <c r="D284" s="42" t="e">
        <f t="shared" ca="1" si="24"/>
        <v>#NAME?</v>
      </c>
      <c r="E284" s="44" t="e">
        <f t="shared" ca="1" si="22"/>
        <v>#NAME?</v>
      </c>
      <c r="F284" s="5" t="e">
        <f t="shared" ca="1" si="23"/>
        <v>#NAME?</v>
      </c>
      <c r="G284" s="15" t="s">
        <v>584</v>
      </c>
      <c r="H284" s="15">
        <f>IF('Steel Angle Lintel Design'!$AM$16=1,0,IF('Steel Angle Lintel Design'!$AM$16=2,1,1))</f>
        <v>1</v>
      </c>
      <c r="I284" s="19">
        <v>28.51</v>
      </c>
      <c r="J284" s="15">
        <v>6</v>
      </c>
      <c r="K284" s="15">
        <v>4</v>
      </c>
      <c r="L284" s="15">
        <v>11.1</v>
      </c>
      <c r="M284" s="15">
        <v>6.49</v>
      </c>
      <c r="N284" s="15">
        <v>3.65</v>
      </c>
      <c r="O284" s="13">
        <v>62.88</v>
      </c>
      <c r="P284" s="15">
        <v>0</v>
      </c>
      <c r="Q284" s="15">
        <v>0</v>
      </c>
      <c r="R284" s="13">
        <v>0.4375</v>
      </c>
      <c r="S284" s="13">
        <v>2</v>
      </c>
      <c r="T284" s="13" t="str">
        <f>IF(S284=2,"Y",IF(J284/R284&lt;0.54*(SQRT(29000/'Steel Angle Lintel Design'!$H$31)),"Y","N"))</f>
        <v>Y</v>
      </c>
      <c r="U284" s="13" t="str">
        <f>IF(J284/R284&gt;0.91*(SQRT(29000/'Steel Angle Lintel Design'!$H$31)),"Y","N")</f>
        <v>N</v>
      </c>
      <c r="V284" s="13" t="s">
        <v>585</v>
      </c>
      <c r="W284" s="13"/>
      <c r="X284" s="13">
        <v>4.62</v>
      </c>
      <c r="Y284" s="13">
        <v>106</v>
      </c>
      <c r="Z284" s="13">
        <v>59.8</v>
      </c>
      <c r="AA284" s="13"/>
      <c r="AB284" s="13">
        <v>0</v>
      </c>
      <c r="AC284" s="13">
        <v>0</v>
      </c>
    </row>
    <row r="285" spans="1:29" s="8" customFormat="1" ht="15.75" customHeight="1">
      <c r="A285" s="43" t="str">
        <f>IF(AND(H285=1,L285&gt;='Steel Angle Lintel Design'!$M$98,'AISC Angle Database'!N285&gt;='Steel Angle Lintel Design'!$M$96,'AISC Angle Database'!J285&gt;='Steel Angle Lintel Design'!$F$40,'AISC Angle Database'!J285&lt;='Steel Angle Lintel Design'!$F$41,'AISC Angle Database'!K285&gt;='Steel Angle Lintel Design'!$K$40,'AISC Angle Database'!K285&lt;='Steel Angle Lintel Design'!$K$41),1,"")</f>
        <v/>
      </c>
      <c r="B285" s="44">
        <f t="shared" si="20"/>
        <v>11</v>
      </c>
      <c r="C285" s="44">
        <f t="shared" si="21"/>
        <v>0</v>
      </c>
      <c r="D285" s="42" t="e">
        <f t="shared" ca="1" si="24"/>
        <v>#NAME?</v>
      </c>
      <c r="E285" s="44" t="e">
        <f t="shared" ca="1" si="22"/>
        <v>#NAME?</v>
      </c>
      <c r="F285" s="5" t="e">
        <f t="shared" ca="1" si="23"/>
        <v>#NAME?</v>
      </c>
      <c r="G285" s="15" t="s">
        <v>586</v>
      </c>
      <c r="H285" s="15">
        <f>IF('Steel Angle Lintel Design'!$AM$16=1,0,IF('Steel Angle Lintel Design'!$AM$16=2,1,1))</f>
        <v>1</v>
      </c>
      <c r="I285" s="19">
        <v>24.61</v>
      </c>
      <c r="J285" s="15">
        <v>6</v>
      </c>
      <c r="K285" s="15">
        <v>4</v>
      </c>
      <c r="L285" s="15">
        <v>9.7200000000000006</v>
      </c>
      <c r="M285" s="15">
        <v>5.58</v>
      </c>
      <c r="N285" s="15">
        <v>3.17</v>
      </c>
      <c r="O285" s="13">
        <v>53.88</v>
      </c>
      <c r="P285" s="15">
        <v>0</v>
      </c>
      <c r="Q285" s="15">
        <v>0</v>
      </c>
      <c r="R285" s="13">
        <v>0.375</v>
      </c>
      <c r="S285" s="13">
        <v>2</v>
      </c>
      <c r="T285" s="13" t="str">
        <f>IF(S285=2,"Y",IF(J285/R285&lt;0.54*(SQRT(29000/'Steel Angle Lintel Design'!$H$31)),"Y","N"))</f>
        <v>Y</v>
      </c>
      <c r="U285" s="13" t="str">
        <f>IF(J285/R285&gt;0.91*(SQRT(29000/'Steel Angle Lintel Design'!$H$31)),"Y","N")</f>
        <v>N</v>
      </c>
      <c r="V285" s="13" t="s">
        <v>587</v>
      </c>
      <c r="W285" s="13"/>
      <c r="X285" s="13">
        <v>4.05</v>
      </c>
      <c r="Y285" s="13">
        <v>91.4</v>
      </c>
      <c r="Z285" s="13">
        <v>51.9</v>
      </c>
      <c r="AA285" s="13"/>
      <c r="AB285" s="13">
        <v>0</v>
      </c>
      <c r="AC285" s="13">
        <v>0</v>
      </c>
    </row>
    <row r="286" spans="1:29" s="8" customFormat="1" ht="15.75">
      <c r="A286" s="43" t="str">
        <f>IF(AND(H286=1,L286&gt;='Steel Angle Lintel Design'!$M$98,'AISC Angle Database'!N286&gt;='Steel Angle Lintel Design'!$M$96,'AISC Angle Database'!J286&gt;='Steel Angle Lintel Design'!$F$40,'AISC Angle Database'!J286&lt;='Steel Angle Lintel Design'!$F$41,'AISC Angle Database'!K286&gt;='Steel Angle Lintel Design'!$K$40,'AISC Angle Database'!K286&lt;='Steel Angle Lintel Design'!$K$41),1,"")</f>
        <v/>
      </c>
      <c r="B286" s="44">
        <f t="shared" si="20"/>
        <v>11</v>
      </c>
      <c r="C286" s="44">
        <f t="shared" si="21"/>
        <v>0</v>
      </c>
      <c r="D286" s="42" t="e">
        <f t="shared" ca="1" si="24"/>
        <v>#NAME?</v>
      </c>
      <c r="E286" s="44" t="e">
        <f t="shared" ca="1" si="22"/>
        <v>#NAME?</v>
      </c>
      <c r="F286" s="5" t="e">
        <f t="shared" ca="1" si="23"/>
        <v>#NAME?</v>
      </c>
      <c r="G286" s="15" t="s">
        <v>588</v>
      </c>
      <c r="H286" s="15">
        <f>IF('Steel Angle Lintel Design'!$AM$16=1,0,IF('Steel Angle Lintel Design'!$AM$16=2,1,1))</f>
        <v>1</v>
      </c>
      <c r="I286" s="19">
        <v>20.6</v>
      </c>
      <c r="J286" s="15">
        <v>6</v>
      </c>
      <c r="K286" s="15">
        <v>4</v>
      </c>
      <c r="L286" s="15">
        <v>8.26</v>
      </c>
      <c r="M286" s="15">
        <v>4.67</v>
      </c>
      <c r="N286" s="15">
        <v>2.67</v>
      </c>
      <c r="O286" s="13">
        <v>44.79</v>
      </c>
      <c r="P286" s="15">
        <v>0</v>
      </c>
      <c r="Q286" s="15">
        <v>0</v>
      </c>
      <c r="R286" s="13">
        <v>0.3125</v>
      </c>
      <c r="S286" s="13">
        <v>2</v>
      </c>
      <c r="T286" s="13" t="str">
        <f>IF(S286=2,"Y",IF(J286/R286&lt;0.54*(SQRT(29000/'Steel Angle Lintel Design'!$H$31)),"Y","N"))</f>
        <v>Y</v>
      </c>
      <c r="U286" s="13" t="str">
        <f>IF(J286/R286&gt;0.91*(SQRT(29000/'Steel Angle Lintel Design'!$H$31)),"Y","N")</f>
        <v>N</v>
      </c>
      <c r="V286" s="13" t="s">
        <v>589</v>
      </c>
      <c r="W286" s="13"/>
      <c r="X286" s="13">
        <v>3.44</v>
      </c>
      <c r="Y286" s="13">
        <v>76.5</v>
      </c>
      <c r="Z286" s="13">
        <v>43.8</v>
      </c>
      <c r="AA286" s="13"/>
      <c r="AB286" s="13">
        <v>0</v>
      </c>
      <c r="AC286" s="13">
        <v>0</v>
      </c>
    </row>
    <row r="287" spans="1:29" s="8" customFormat="1" ht="15.75">
      <c r="A287" s="43" t="str">
        <f>IF(AND(H287=1,L287&gt;='Steel Angle Lintel Design'!$M$98,'AISC Angle Database'!N287&gt;='Steel Angle Lintel Design'!$M$96,'AISC Angle Database'!J287&gt;='Steel Angle Lintel Design'!$F$40,'AISC Angle Database'!J287&lt;='Steel Angle Lintel Design'!$F$41,'AISC Angle Database'!K287&gt;='Steel Angle Lintel Design'!$K$40,'AISC Angle Database'!K287&lt;='Steel Angle Lintel Design'!$K$41),1,"")</f>
        <v/>
      </c>
      <c r="B287" s="44">
        <f t="shared" si="20"/>
        <v>11</v>
      </c>
      <c r="C287" s="44">
        <f t="shared" si="21"/>
        <v>0</v>
      </c>
      <c r="D287" s="42" t="e">
        <f t="shared" ca="1" si="24"/>
        <v>#NAME?</v>
      </c>
      <c r="E287" s="44" t="e">
        <f t="shared" ca="1" si="22"/>
        <v>#NAME?</v>
      </c>
      <c r="F287" s="5" t="e">
        <f t="shared" ca="1" si="23"/>
        <v>#NAME?</v>
      </c>
      <c r="G287" s="15" t="s">
        <v>590</v>
      </c>
      <c r="H287" s="15">
        <f>IF('Steel Angle Lintel Design'!$AM$16=1,0,IF('Steel Angle Lintel Design'!$AM$16=2,1,1))</f>
        <v>1</v>
      </c>
      <c r="I287" s="19">
        <v>30.71</v>
      </c>
      <c r="J287" s="15">
        <v>6</v>
      </c>
      <c r="K287" s="15">
        <v>3.5</v>
      </c>
      <c r="L287" s="15">
        <v>8.4700000000000006</v>
      </c>
      <c r="M287" s="15">
        <v>5.77</v>
      </c>
      <c r="N287" s="15">
        <v>3.17</v>
      </c>
      <c r="O287" s="13">
        <v>71.75</v>
      </c>
      <c r="P287" s="15">
        <v>0</v>
      </c>
      <c r="Q287" s="15">
        <v>0</v>
      </c>
      <c r="R287" s="13">
        <v>0.5</v>
      </c>
      <c r="S287" s="13">
        <v>2</v>
      </c>
      <c r="T287" s="13" t="str">
        <f>IF(S287=2,"Y",IF(J287/R287&lt;0.54*(SQRT(29000/'Steel Angle Lintel Design'!$H$31)),"Y","N"))</f>
        <v>Y</v>
      </c>
      <c r="U287" s="13" t="str">
        <f>IF(J287/R287&gt;0.91*(SQRT(29000/'Steel Angle Lintel Design'!$H$31)),"Y","N")</f>
        <v>N</v>
      </c>
      <c r="V287" s="13" t="s">
        <v>591</v>
      </c>
      <c r="W287" s="13"/>
      <c r="X287" s="13">
        <v>3.53</v>
      </c>
      <c r="Y287" s="13">
        <v>94.6</v>
      </c>
      <c r="Z287" s="13">
        <v>51.9</v>
      </c>
      <c r="AA287" s="13"/>
      <c r="AB287" s="13">
        <v>0</v>
      </c>
      <c r="AC287" s="13">
        <v>0</v>
      </c>
    </row>
    <row r="288" spans="1:29" s="8" customFormat="1" ht="15.75">
      <c r="A288" s="43" t="str">
        <f>IF(AND(H288=1,L288&gt;='Steel Angle Lintel Design'!$M$98,'AISC Angle Database'!N288&gt;='Steel Angle Lintel Design'!$M$96,'AISC Angle Database'!J288&gt;='Steel Angle Lintel Design'!$F$40,'AISC Angle Database'!J288&lt;='Steel Angle Lintel Design'!$F$41,'AISC Angle Database'!K288&gt;='Steel Angle Lintel Design'!$K$40,'AISC Angle Database'!K288&lt;='Steel Angle Lintel Design'!$K$41),1,"")</f>
        <v/>
      </c>
      <c r="B288" s="44">
        <f t="shared" si="20"/>
        <v>11</v>
      </c>
      <c r="C288" s="44">
        <f t="shared" si="21"/>
        <v>0</v>
      </c>
      <c r="D288" s="42" t="e">
        <f t="shared" ca="1" si="24"/>
        <v>#NAME?</v>
      </c>
      <c r="E288" s="44" t="e">
        <f t="shared" ca="1" si="22"/>
        <v>#NAME?</v>
      </c>
      <c r="F288" s="5" t="e">
        <f t="shared" ca="1" si="23"/>
        <v>#NAME?</v>
      </c>
      <c r="G288" s="15" t="s">
        <v>592</v>
      </c>
      <c r="H288" s="15">
        <f>IF('Steel Angle Lintel Design'!$AM$16=1,0,IF('Steel Angle Lintel Design'!$AM$16=2,1,1))</f>
        <v>1</v>
      </c>
      <c r="I288" s="19">
        <v>23.41</v>
      </c>
      <c r="J288" s="15">
        <v>6</v>
      </c>
      <c r="K288" s="15">
        <v>3.5</v>
      </c>
      <c r="L288" s="15">
        <v>6.65</v>
      </c>
      <c r="M288" s="15">
        <v>4.3600000000000003</v>
      </c>
      <c r="N288" s="15">
        <v>2.4500000000000002</v>
      </c>
      <c r="O288" s="13">
        <v>53.91</v>
      </c>
      <c r="P288" s="15">
        <v>0</v>
      </c>
      <c r="Q288" s="15">
        <v>0</v>
      </c>
      <c r="R288" s="13">
        <v>0.375</v>
      </c>
      <c r="S288" s="13">
        <v>2</v>
      </c>
      <c r="T288" s="13" t="str">
        <f>IF(S288=2,"Y",IF(J288/R288&lt;0.54*(SQRT(29000/'Steel Angle Lintel Design'!$H$31)),"Y","N"))</f>
        <v>Y</v>
      </c>
      <c r="U288" s="13" t="str">
        <f>IF(J288/R288&gt;0.91*(SQRT(29000/'Steel Angle Lintel Design'!$H$31)),"Y","N")</f>
        <v>N</v>
      </c>
      <c r="V288" s="13" t="s">
        <v>593</v>
      </c>
      <c r="W288" s="13"/>
      <c r="X288" s="13">
        <v>2.77</v>
      </c>
      <c r="Y288" s="13">
        <v>71.400000000000006</v>
      </c>
      <c r="Z288" s="13">
        <v>40.1</v>
      </c>
      <c r="AA288" s="13"/>
      <c r="AB288" s="13">
        <v>0</v>
      </c>
      <c r="AC288" s="13">
        <v>0</v>
      </c>
    </row>
    <row r="289" spans="1:29" s="8" customFormat="1" ht="15.75">
      <c r="A289" s="43" t="str">
        <f>IF(AND(H289=1,L289&gt;='Steel Angle Lintel Design'!$M$98,'AISC Angle Database'!N289&gt;='Steel Angle Lintel Design'!$M$96,'AISC Angle Database'!J289&gt;='Steel Angle Lintel Design'!$F$40,'AISC Angle Database'!J289&lt;='Steel Angle Lintel Design'!$F$41,'AISC Angle Database'!K289&gt;='Steel Angle Lintel Design'!$K$40,'AISC Angle Database'!K289&lt;='Steel Angle Lintel Design'!$K$41),1,"")</f>
        <v/>
      </c>
      <c r="B289" s="44">
        <f t="shared" si="20"/>
        <v>11</v>
      </c>
      <c r="C289" s="44">
        <f t="shared" si="21"/>
        <v>0</v>
      </c>
      <c r="D289" s="42" t="e">
        <f t="shared" ca="1" si="24"/>
        <v>#NAME?</v>
      </c>
      <c r="E289" s="44" t="e">
        <f t="shared" ca="1" si="22"/>
        <v>#NAME?</v>
      </c>
      <c r="F289" s="5" t="e">
        <f t="shared" ca="1" si="23"/>
        <v>#NAME?</v>
      </c>
      <c r="G289" s="15" t="s">
        <v>594</v>
      </c>
      <c r="H289" s="15">
        <f>IF('Steel Angle Lintel Design'!$AM$16=1,0,IF('Steel Angle Lintel Design'!$AM$16=2,1,1))</f>
        <v>1</v>
      </c>
      <c r="I289" s="19">
        <v>19.7</v>
      </c>
      <c r="J289" s="15">
        <v>6</v>
      </c>
      <c r="K289" s="15">
        <v>3.5</v>
      </c>
      <c r="L289" s="15">
        <v>5.68</v>
      </c>
      <c r="M289" s="15">
        <v>3.65</v>
      </c>
      <c r="N289" s="15">
        <v>2.0699999999999998</v>
      </c>
      <c r="O289" s="13">
        <v>44.74</v>
      </c>
      <c r="P289" s="15">
        <v>0</v>
      </c>
      <c r="Q289" s="15">
        <v>0</v>
      </c>
      <c r="R289" s="13">
        <v>0.3125</v>
      </c>
      <c r="S289" s="13">
        <v>2</v>
      </c>
      <c r="T289" s="13" t="str">
        <f>IF(S289=2,"Y",IF(J289/R289&lt;0.54*(SQRT(29000/'Steel Angle Lintel Design'!$H$31)),"Y","N"))</f>
        <v>Y</v>
      </c>
      <c r="U289" s="13" t="str">
        <f>IF(J289/R289&gt;0.91*(SQRT(29000/'Steel Angle Lintel Design'!$H$31)),"Y","N")</f>
        <v>N</v>
      </c>
      <c r="V289" s="13" t="s">
        <v>595</v>
      </c>
      <c r="W289" s="13"/>
      <c r="X289" s="13">
        <v>2.36</v>
      </c>
      <c r="Y289" s="13">
        <v>59.8</v>
      </c>
      <c r="Z289" s="13">
        <v>33.9</v>
      </c>
      <c r="AA289" s="13"/>
      <c r="AB289" s="13">
        <v>0</v>
      </c>
      <c r="AC289" s="13">
        <v>0</v>
      </c>
    </row>
    <row r="290" spans="1:29" s="8" customFormat="1" ht="15.75">
      <c r="A290" s="43" t="str">
        <f>IF(AND(H290=1,L290&gt;='Steel Angle Lintel Design'!$M$98,'AISC Angle Database'!N290&gt;='Steel Angle Lintel Design'!$M$96,'AISC Angle Database'!J290&gt;='Steel Angle Lintel Design'!$F$40,'AISC Angle Database'!J290&lt;='Steel Angle Lintel Design'!$F$41,'AISC Angle Database'!K290&gt;='Steel Angle Lintel Design'!$K$40,'AISC Angle Database'!K290&lt;='Steel Angle Lintel Design'!$K$41),1,"")</f>
        <v/>
      </c>
      <c r="B290" s="44">
        <f t="shared" si="20"/>
        <v>11</v>
      </c>
      <c r="C290" s="44">
        <f t="shared" si="21"/>
        <v>0</v>
      </c>
      <c r="D290" s="42" t="e">
        <f t="shared" ca="1" si="24"/>
        <v>#NAME?</v>
      </c>
      <c r="E290" s="44" t="e">
        <f t="shared" ca="1" si="22"/>
        <v>#NAME?</v>
      </c>
      <c r="F290" s="5" t="e">
        <f t="shared" ca="1" si="23"/>
        <v>#NAME?</v>
      </c>
      <c r="G290" s="15" t="s">
        <v>596</v>
      </c>
      <c r="H290" s="15">
        <f>IF('Steel Angle Lintel Design'!$AM$16=1,0,IF('Steel Angle Lintel Design'!$AM$16=2,1,1))</f>
        <v>1</v>
      </c>
      <c r="I290" s="19">
        <v>39.6</v>
      </c>
      <c r="J290" s="15">
        <v>5</v>
      </c>
      <c r="K290" s="15">
        <v>3.5</v>
      </c>
      <c r="L290" s="15">
        <v>11</v>
      </c>
      <c r="M290" s="15">
        <v>8.1300000000000008</v>
      </c>
      <c r="N290" s="15">
        <v>4.4000000000000004</v>
      </c>
      <c r="O290" s="13">
        <v>63.18</v>
      </c>
      <c r="P290" s="15">
        <v>0</v>
      </c>
      <c r="Q290" s="15">
        <v>0</v>
      </c>
      <c r="R290" s="13">
        <v>0.75</v>
      </c>
      <c r="S290" s="13">
        <v>2</v>
      </c>
      <c r="T290" s="13" t="str">
        <f>IF(S290=2,"Y",IF(J290/R290&lt;0.54*(SQRT(29000/'Steel Angle Lintel Design'!$H$31)),"Y","N"))</f>
        <v>Y</v>
      </c>
      <c r="U290" s="13" t="str">
        <f>IF(J290/R290&gt;0.91*(SQRT(29000/'Steel Angle Lintel Design'!$H$31)),"Y","N")</f>
        <v>N</v>
      </c>
      <c r="V290" s="13" t="s">
        <v>597</v>
      </c>
      <c r="W290" s="13"/>
      <c r="X290" s="13">
        <v>4.58</v>
      </c>
      <c r="Y290" s="13">
        <v>133</v>
      </c>
      <c r="Z290" s="13">
        <v>72.099999999999994</v>
      </c>
      <c r="AA290" s="13"/>
      <c r="AB290" s="13">
        <v>0</v>
      </c>
      <c r="AC290" s="13">
        <v>0</v>
      </c>
    </row>
    <row r="291" spans="1:29" s="8" customFormat="1" ht="15.75">
      <c r="A291" s="43" t="str">
        <f>IF(AND(H291=1,L291&gt;='Steel Angle Lintel Design'!$M$98,'AISC Angle Database'!N291&gt;='Steel Angle Lintel Design'!$M$96,'AISC Angle Database'!J291&gt;='Steel Angle Lintel Design'!$F$40,'AISC Angle Database'!J291&lt;='Steel Angle Lintel Design'!$F$41,'AISC Angle Database'!K291&gt;='Steel Angle Lintel Design'!$K$40,'AISC Angle Database'!K291&lt;='Steel Angle Lintel Design'!$K$41),1,"")</f>
        <v/>
      </c>
      <c r="B291" s="44">
        <f t="shared" si="20"/>
        <v>11</v>
      </c>
      <c r="C291" s="44">
        <f t="shared" si="21"/>
        <v>0</v>
      </c>
      <c r="D291" s="42" t="e">
        <f t="shared" ca="1" si="24"/>
        <v>#NAME?</v>
      </c>
      <c r="E291" s="44" t="e">
        <f t="shared" ca="1" si="22"/>
        <v>#NAME?</v>
      </c>
      <c r="F291" s="5" t="e">
        <f t="shared" ca="1" si="23"/>
        <v>#NAME?</v>
      </c>
      <c r="G291" s="15" t="s">
        <v>598</v>
      </c>
      <c r="H291" s="15">
        <f>IF('Steel Angle Lintel Design'!$AM$16=1,0,IF('Steel Angle Lintel Design'!$AM$16=2,1,1))</f>
        <v>1</v>
      </c>
      <c r="I291" s="19">
        <v>33.51</v>
      </c>
      <c r="J291" s="15">
        <v>5</v>
      </c>
      <c r="K291" s="15">
        <v>3.5</v>
      </c>
      <c r="L291" s="15">
        <v>9.6</v>
      </c>
      <c r="M291" s="15">
        <v>6.87</v>
      </c>
      <c r="N291" s="15">
        <v>3.76</v>
      </c>
      <c r="O291" s="13">
        <v>52.08</v>
      </c>
      <c r="P291" s="15">
        <v>0</v>
      </c>
      <c r="Q291" s="15">
        <v>0</v>
      </c>
      <c r="R291" s="13">
        <v>0.625</v>
      </c>
      <c r="S291" s="13">
        <v>2</v>
      </c>
      <c r="T291" s="13" t="str">
        <f>IF(S291=2,"Y",IF(J291/R291&lt;0.54*(SQRT(29000/'Steel Angle Lintel Design'!$H$31)),"Y","N"))</f>
        <v>Y</v>
      </c>
      <c r="U291" s="13" t="str">
        <f>IF(J291/R291&gt;0.91*(SQRT(29000/'Steel Angle Lintel Design'!$H$31)),"Y","N")</f>
        <v>N</v>
      </c>
      <c r="V291" s="13" t="s">
        <v>599</v>
      </c>
      <c r="W291" s="13"/>
      <c r="X291" s="13">
        <v>4</v>
      </c>
      <c r="Y291" s="13">
        <v>113</v>
      </c>
      <c r="Z291" s="13">
        <v>61.6</v>
      </c>
      <c r="AA291" s="13"/>
      <c r="AB291" s="13">
        <v>0</v>
      </c>
      <c r="AC291" s="13">
        <v>0</v>
      </c>
    </row>
    <row r="292" spans="1:29" s="8" customFormat="1" ht="15.75">
      <c r="A292" s="43" t="str">
        <f>IF(AND(H292=1,L292&gt;='Steel Angle Lintel Design'!$M$98,'AISC Angle Database'!N292&gt;='Steel Angle Lintel Design'!$M$96,'AISC Angle Database'!J292&gt;='Steel Angle Lintel Design'!$F$40,'AISC Angle Database'!J292&lt;='Steel Angle Lintel Design'!$F$41,'AISC Angle Database'!K292&gt;='Steel Angle Lintel Design'!$K$40,'AISC Angle Database'!K292&lt;='Steel Angle Lintel Design'!$K$41),1,"")</f>
        <v/>
      </c>
      <c r="B292" s="44">
        <f t="shared" si="20"/>
        <v>11</v>
      </c>
      <c r="C292" s="44">
        <f t="shared" si="21"/>
        <v>0</v>
      </c>
      <c r="D292" s="42" t="e">
        <f t="shared" ca="1" si="24"/>
        <v>#NAME?</v>
      </c>
      <c r="E292" s="44" t="e">
        <f t="shared" ca="1" si="22"/>
        <v>#NAME?</v>
      </c>
      <c r="F292" s="5" t="e">
        <f t="shared" ca="1" si="23"/>
        <v>#NAME?</v>
      </c>
      <c r="G292" s="15" t="s">
        <v>600</v>
      </c>
      <c r="H292" s="15">
        <f>IF('Steel Angle Lintel Design'!$AM$16=1,0,IF('Steel Angle Lintel Design'!$AM$16=2,1,1))</f>
        <v>1</v>
      </c>
      <c r="I292" s="19">
        <v>27.19</v>
      </c>
      <c r="J292" s="15">
        <v>5</v>
      </c>
      <c r="K292" s="15">
        <v>3.5</v>
      </c>
      <c r="L292" s="15">
        <v>8.0399999999999991</v>
      </c>
      <c r="M292" s="15">
        <v>5.57</v>
      </c>
      <c r="N292" s="15">
        <v>3.09</v>
      </c>
      <c r="O292" s="13">
        <v>41.55</v>
      </c>
      <c r="P292" s="15">
        <v>0</v>
      </c>
      <c r="Q292" s="15">
        <v>0</v>
      </c>
      <c r="R292" s="13">
        <v>0.5</v>
      </c>
      <c r="S292" s="13">
        <v>2</v>
      </c>
      <c r="T292" s="13" t="str">
        <f>IF(S292=2,"Y",IF(J292/R292&lt;0.54*(SQRT(29000/'Steel Angle Lintel Design'!$H$31)),"Y","N"))</f>
        <v>Y</v>
      </c>
      <c r="U292" s="13" t="str">
        <f>IF(J292/R292&gt;0.91*(SQRT(29000/'Steel Angle Lintel Design'!$H$31)),"Y","N")</f>
        <v>N</v>
      </c>
      <c r="V292" s="13" t="s">
        <v>601</v>
      </c>
      <c r="W292" s="13"/>
      <c r="X292" s="13">
        <v>3.35</v>
      </c>
      <c r="Y292" s="13">
        <v>91.3</v>
      </c>
      <c r="Z292" s="13">
        <v>50.6</v>
      </c>
      <c r="AA292" s="13"/>
      <c r="AB292" s="13">
        <v>0</v>
      </c>
      <c r="AC292" s="13">
        <v>0</v>
      </c>
    </row>
    <row r="293" spans="1:29" s="8" customFormat="1" ht="15.75">
      <c r="A293" s="43" t="str">
        <f>IF(AND(H293=1,L293&gt;='Steel Angle Lintel Design'!$M$98,'AISC Angle Database'!N293&gt;='Steel Angle Lintel Design'!$M$96,'AISC Angle Database'!J293&gt;='Steel Angle Lintel Design'!$F$40,'AISC Angle Database'!J293&lt;='Steel Angle Lintel Design'!$F$41,'AISC Angle Database'!K293&gt;='Steel Angle Lintel Design'!$K$40,'AISC Angle Database'!K293&lt;='Steel Angle Lintel Design'!$K$41),1,"")</f>
        <v/>
      </c>
      <c r="B293" s="44">
        <f t="shared" si="20"/>
        <v>11</v>
      </c>
      <c r="C293" s="44">
        <f t="shared" si="21"/>
        <v>0</v>
      </c>
      <c r="D293" s="42" t="e">
        <f t="shared" ca="1" si="24"/>
        <v>#NAME?</v>
      </c>
      <c r="E293" s="44" t="e">
        <f t="shared" ca="1" si="22"/>
        <v>#NAME?</v>
      </c>
      <c r="F293" s="5" t="e">
        <f t="shared" ca="1" si="23"/>
        <v>#NAME?</v>
      </c>
      <c r="G293" s="15" t="s">
        <v>602</v>
      </c>
      <c r="H293" s="15">
        <f>IF('Steel Angle Lintel Design'!$AM$16=1,0,IF('Steel Angle Lintel Design'!$AM$16=2,1,1))</f>
        <v>1</v>
      </c>
      <c r="I293" s="19">
        <v>20.81</v>
      </c>
      <c r="J293" s="15">
        <v>5</v>
      </c>
      <c r="K293" s="15">
        <v>3.5</v>
      </c>
      <c r="L293" s="15">
        <v>6.31</v>
      </c>
      <c r="M293" s="15">
        <v>4.2300000000000004</v>
      </c>
      <c r="N293" s="15">
        <v>2.38</v>
      </c>
      <c r="O293" s="13">
        <v>31.22</v>
      </c>
      <c r="P293" s="15">
        <v>0</v>
      </c>
      <c r="Q293" s="15">
        <v>0</v>
      </c>
      <c r="R293" s="13">
        <v>0.375</v>
      </c>
      <c r="S293" s="13">
        <v>2</v>
      </c>
      <c r="T293" s="13" t="str">
        <f>IF(S293=2,"Y",IF(J293/R293&lt;0.54*(SQRT(29000/'Steel Angle Lintel Design'!$H$31)),"Y","N"))</f>
        <v>Y</v>
      </c>
      <c r="U293" s="13" t="str">
        <f>IF(J293/R293&gt;0.91*(SQRT(29000/'Steel Angle Lintel Design'!$H$31)),"Y","N")</f>
        <v>N</v>
      </c>
      <c r="V293" s="13" t="s">
        <v>603</v>
      </c>
      <c r="W293" s="13"/>
      <c r="X293" s="13">
        <v>2.63</v>
      </c>
      <c r="Y293" s="13">
        <v>69.3</v>
      </c>
      <c r="Z293" s="13">
        <v>39</v>
      </c>
      <c r="AA293" s="13"/>
      <c r="AB293" s="13">
        <v>0</v>
      </c>
      <c r="AC293" s="13">
        <v>0</v>
      </c>
    </row>
    <row r="294" spans="1:29" s="8" customFormat="1" ht="15.75">
      <c r="A294" s="43" t="str">
        <f>IF(AND(H294=1,L294&gt;='Steel Angle Lintel Design'!$M$98,'AISC Angle Database'!N294&gt;='Steel Angle Lintel Design'!$M$96,'AISC Angle Database'!J294&gt;='Steel Angle Lintel Design'!$F$40,'AISC Angle Database'!J294&lt;='Steel Angle Lintel Design'!$F$41,'AISC Angle Database'!K294&gt;='Steel Angle Lintel Design'!$K$40,'AISC Angle Database'!K294&lt;='Steel Angle Lintel Design'!$K$41),1,"")</f>
        <v/>
      </c>
      <c r="B294" s="44">
        <f t="shared" si="20"/>
        <v>11</v>
      </c>
      <c r="C294" s="44">
        <f t="shared" si="21"/>
        <v>0</v>
      </c>
      <c r="D294" s="42" t="e">
        <f t="shared" ca="1" si="24"/>
        <v>#NAME?</v>
      </c>
      <c r="E294" s="44" t="e">
        <f t="shared" ca="1" si="22"/>
        <v>#NAME?</v>
      </c>
      <c r="F294" s="5" t="e">
        <f t="shared" ca="1" si="23"/>
        <v>#NAME?</v>
      </c>
      <c r="G294" s="15" t="s">
        <v>604</v>
      </c>
      <c r="H294" s="15">
        <f>IF('Steel Angle Lintel Design'!$AM$16=1,0,IF('Steel Angle Lintel Design'!$AM$16=2,1,1))</f>
        <v>1</v>
      </c>
      <c r="I294" s="19">
        <v>17.399999999999999</v>
      </c>
      <c r="J294" s="15">
        <v>5</v>
      </c>
      <c r="K294" s="15">
        <v>3.5</v>
      </c>
      <c r="L294" s="15">
        <v>5.38</v>
      </c>
      <c r="M294" s="15">
        <v>3.55</v>
      </c>
      <c r="N294" s="15">
        <v>2.0099999999999998</v>
      </c>
      <c r="O294" s="13">
        <v>25.89</v>
      </c>
      <c r="P294" s="15">
        <v>0</v>
      </c>
      <c r="Q294" s="15">
        <v>0</v>
      </c>
      <c r="R294" s="13">
        <v>0.3125</v>
      </c>
      <c r="S294" s="13">
        <v>2</v>
      </c>
      <c r="T294" s="13" t="str">
        <f>IF(S294=2,"Y",IF(J294/R294&lt;0.54*(SQRT(29000/'Steel Angle Lintel Design'!$H$31)),"Y","N"))</f>
        <v>Y</v>
      </c>
      <c r="U294" s="13" t="str">
        <f>IF(J294/R294&gt;0.91*(SQRT(29000/'Steel Angle Lintel Design'!$H$31)),"Y","N")</f>
        <v>N</v>
      </c>
      <c r="V294" s="13" t="s">
        <v>605</v>
      </c>
      <c r="W294" s="13"/>
      <c r="X294" s="13">
        <v>2.2400000000000002</v>
      </c>
      <c r="Y294" s="13">
        <v>58.2</v>
      </c>
      <c r="Z294" s="13">
        <v>32.9</v>
      </c>
      <c r="AA294" s="13"/>
      <c r="AB294" s="13">
        <v>0</v>
      </c>
      <c r="AC294" s="13">
        <v>0</v>
      </c>
    </row>
    <row r="295" spans="1:29" s="8" customFormat="1" ht="15.75">
      <c r="A295" s="43" t="str">
        <f>IF(AND(H295=1,L295&gt;='Steel Angle Lintel Design'!$M$98,'AISC Angle Database'!N295&gt;='Steel Angle Lintel Design'!$M$96,'AISC Angle Database'!J295&gt;='Steel Angle Lintel Design'!$F$40,'AISC Angle Database'!J295&lt;='Steel Angle Lintel Design'!$F$41,'AISC Angle Database'!K295&gt;='Steel Angle Lintel Design'!$K$40,'AISC Angle Database'!K295&lt;='Steel Angle Lintel Design'!$K$41),1,"")</f>
        <v/>
      </c>
      <c r="B295" s="44">
        <f t="shared" si="20"/>
        <v>11</v>
      </c>
      <c r="C295" s="44">
        <f t="shared" si="21"/>
        <v>0</v>
      </c>
      <c r="D295" s="42" t="e">
        <f t="shared" ca="1" si="24"/>
        <v>#NAME?</v>
      </c>
      <c r="E295" s="44" t="e">
        <f t="shared" ca="1" si="22"/>
        <v>#NAME?</v>
      </c>
      <c r="F295" s="5" t="e">
        <f t="shared" ca="1" si="23"/>
        <v>#NAME?</v>
      </c>
      <c r="G295" s="15" t="s">
        <v>606</v>
      </c>
      <c r="H295" s="15">
        <f>IF('Steel Angle Lintel Design'!$AM$16=1,0,IF('Steel Angle Lintel Design'!$AM$16=2,1,1))</f>
        <v>1</v>
      </c>
      <c r="I295" s="19">
        <v>14.11</v>
      </c>
      <c r="J295" s="15">
        <v>5</v>
      </c>
      <c r="K295" s="15">
        <v>3.5</v>
      </c>
      <c r="L295" s="15">
        <v>4.4000000000000004</v>
      </c>
      <c r="M295" s="15">
        <v>2.85</v>
      </c>
      <c r="N295" s="15">
        <v>1.63</v>
      </c>
      <c r="O295" s="13">
        <v>20.61</v>
      </c>
      <c r="P295" s="15">
        <v>0</v>
      </c>
      <c r="Q295" s="15">
        <v>0</v>
      </c>
      <c r="R295" s="13">
        <v>0.25</v>
      </c>
      <c r="S295" s="13">
        <v>2</v>
      </c>
      <c r="T295" s="13" t="str">
        <f>IF(S295=2,"Y",IF(J295/R295&lt;0.54*(SQRT(29000/'Steel Angle Lintel Design'!$H$31)),"Y","N"))</f>
        <v>Y</v>
      </c>
      <c r="U295" s="13" t="str">
        <f>IF(J295/R295&gt;0.91*(SQRT(29000/'Steel Angle Lintel Design'!$H$31)),"Y","N")</f>
        <v>N</v>
      </c>
      <c r="V295" s="13" t="s">
        <v>607</v>
      </c>
      <c r="W295" s="13"/>
      <c r="X295" s="13">
        <v>1.83</v>
      </c>
      <c r="Y295" s="13">
        <v>46.7</v>
      </c>
      <c r="Z295" s="13">
        <v>26.7</v>
      </c>
      <c r="AA295" s="13"/>
      <c r="AB295" s="13">
        <v>0</v>
      </c>
      <c r="AC295" s="13">
        <v>0</v>
      </c>
    </row>
    <row r="296" spans="1:29" s="8" customFormat="1" ht="15.75">
      <c r="A296" s="43" t="str">
        <f>IF(AND(H296=1,L296&gt;='Steel Angle Lintel Design'!$M$98,'AISC Angle Database'!N296&gt;='Steel Angle Lintel Design'!$M$96,'AISC Angle Database'!J296&gt;='Steel Angle Lintel Design'!$F$40,'AISC Angle Database'!J296&lt;='Steel Angle Lintel Design'!$F$41,'AISC Angle Database'!K296&gt;='Steel Angle Lintel Design'!$K$40,'AISC Angle Database'!K296&lt;='Steel Angle Lintel Design'!$K$41),1,"")</f>
        <v/>
      </c>
      <c r="B296" s="44">
        <f t="shared" si="20"/>
        <v>11</v>
      </c>
      <c r="C296" s="44">
        <f t="shared" si="21"/>
        <v>0</v>
      </c>
      <c r="D296" s="42" t="e">
        <f t="shared" ca="1" si="24"/>
        <v>#NAME?</v>
      </c>
      <c r="E296" s="44" t="e">
        <f t="shared" ca="1" si="22"/>
        <v>#NAME?</v>
      </c>
      <c r="F296" s="5" t="e">
        <f t="shared" ca="1" si="23"/>
        <v>#NAME?</v>
      </c>
      <c r="G296" s="15" t="s">
        <v>608</v>
      </c>
      <c r="H296" s="15">
        <f>IF('Steel Angle Lintel Design'!$AM$16=1,0,IF('Steel Angle Lintel Design'!$AM$16=2,1,1))</f>
        <v>1</v>
      </c>
      <c r="I296" s="19">
        <v>25.51</v>
      </c>
      <c r="J296" s="15">
        <v>5</v>
      </c>
      <c r="K296" s="15">
        <v>3</v>
      </c>
      <c r="L296" s="15">
        <v>5.0999999999999996</v>
      </c>
      <c r="M296" s="15">
        <v>4.1500000000000004</v>
      </c>
      <c r="N296" s="15">
        <v>2.2599999999999998</v>
      </c>
      <c r="O296" s="13">
        <v>41.38</v>
      </c>
      <c r="P296" s="15">
        <v>0</v>
      </c>
      <c r="Q296" s="15">
        <v>0</v>
      </c>
      <c r="R296" s="13">
        <v>0.5</v>
      </c>
      <c r="S296" s="13">
        <v>2</v>
      </c>
      <c r="T296" s="13" t="str">
        <f>IF(S296=2,"Y",IF(J296/R296&lt;0.54*(SQRT(29000/'Steel Angle Lintel Design'!$H$31)),"Y","N"))</f>
        <v>Y</v>
      </c>
      <c r="U296" s="13" t="str">
        <f>IF(J296/R296&gt;0.91*(SQRT(29000/'Steel Angle Lintel Design'!$H$31)),"Y","N")</f>
        <v>N</v>
      </c>
      <c r="V296" s="13" t="s">
        <v>609</v>
      </c>
      <c r="W296" s="13"/>
      <c r="X296" s="13">
        <v>2.12</v>
      </c>
      <c r="Y296" s="13">
        <v>68</v>
      </c>
      <c r="Z296" s="13">
        <v>37</v>
      </c>
      <c r="AA296" s="13"/>
      <c r="AB296" s="13">
        <v>0</v>
      </c>
      <c r="AC296" s="13">
        <v>0</v>
      </c>
    </row>
    <row r="297" spans="1:29" s="8" customFormat="1" ht="15.75">
      <c r="A297" s="43" t="str">
        <f>IF(AND(H297=1,L297&gt;='Steel Angle Lintel Design'!$M$98,'AISC Angle Database'!N297&gt;='Steel Angle Lintel Design'!$M$96,'AISC Angle Database'!J297&gt;='Steel Angle Lintel Design'!$F$40,'AISC Angle Database'!J297&lt;='Steel Angle Lintel Design'!$F$41,'AISC Angle Database'!K297&gt;='Steel Angle Lintel Design'!$K$40,'AISC Angle Database'!K297&lt;='Steel Angle Lintel Design'!$K$41),1,"")</f>
        <v/>
      </c>
      <c r="B297" s="44">
        <f t="shared" si="20"/>
        <v>11</v>
      </c>
      <c r="C297" s="44">
        <f t="shared" si="21"/>
        <v>0</v>
      </c>
      <c r="D297" s="42" t="e">
        <f t="shared" ca="1" si="24"/>
        <v>#NAME?</v>
      </c>
      <c r="E297" s="44" t="e">
        <f t="shared" ca="1" si="22"/>
        <v>#NAME?</v>
      </c>
      <c r="F297" s="5" t="e">
        <f t="shared" ca="1" si="23"/>
        <v>#NAME?</v>
      </c>
      <c r="G297" s="15" t="s">
        <v>610</v>
      </c>
      <c r="H297" s="15">
        <f>IF('Steel Angle Lintel Design'!$AM$16=1,0,IF('Steel Angle Lintel Design'!$AM$16=2,1,1))</f>
        <v>1</v>
      </c>
      <c r="I297" s="19">
        <v>22.5</v>
      </c>
      <c r="J297" s="15">
        <v>5</v>
      </c>
      <c r="K297" s="15">
        <v>3</v>
      </c>
      <c r="L297" s="15">
        <v>4.58</v>
      </c>
      <c r="M297" s="15">
        <v>3.65</v>
      </c>
      <c r="N297" s="15">
        <v>2.0099999999999998</v>
      </c>
      <c r="O297" s="13">
        <v>36.21</v>
      </c>
      <c r="P297" s="15">
        <v>0</v>
      </c>
      <c r="Q297" s="15">
        <v>0</v>
      </c>
      <c r="R297" s="13">
        <v>0.4375</v>
      </c>
      <c r="S297" s="13">
        <v>2</v>
      </c>
      <c r="T297" s="13" t="str">
        <f>IF(S297=2,"Y",IF(J297/R297&lt;0.54*(SQRT(29000/'Steel Angle Lintel Design'!$H$31)),"Y","N"))</f>
        <v>Y</v>
      </c>
      <c r="U297" s="13" t="str">
        <f>IF(J297/R297&gt;0.91*(SQRT(29000/'Steel Angle Lintel Design'!$H$31)),"Y","N")</f>
        <v>N</v>
      </c>
      <c r="V297" s="13" t="s">
        <v>611</v>
      </c>
      <c r="W297" s="13"/>
      <c r="X297" s="13">
        <v>1.91</v>
      </c>
      <c r="Y297" s="13">
        <v>59.8</v>
      </c>
      <c r="Z297" s="13">
        <v>32.9</v>
      </c>
      <c r="AA297" s="13"/>
      <c r="AB297" s="13">
        <v>0</v>
      </c>
      <c r="AC297" s="13">
        <v>0</v>
      </c>
    </row>
    <row r="298" spans="1:29" s="8" customFormat="1" ht="15.75">
      <c r="A298" s="43" t="str">
        <f>IF(AND(H298=1,L298&gt;='Steel Angle Lintel Design'!$M$98,'AISC Angle Database'!N298&gt;='Steel Angle Lintel Design'!$M$96,'AISC Angle Database'!J298&gt;='Steel Angle Lintel Design'!$F$40,'AISC Angle Database'!J298&lt;='Steel Angle Lintel Design'!$F$41,'AISC Angle Database'!K298&gt;='Steel Angle Lintel Design'!$K$40,'AISC Angle Database'!K298&lt;='Steel Angle Lintel Design'!$K$41),1,"")</f>
        <v/>
      </c>
      <c r="B298" s="44">
        <f t="shared" si="20"/>
        <v>11</v>
      </c>
      <c r="C298" s="44">
        <f t="shared" si="21"/>
        <v>0</v>
      </c>
      <c r="D298" s="42" t="e">
        <f t="shared" ca="1" si="24"/>
        <v>#NAME?</v>
      </c>
      <c r="E298" s="44" t="e">
        <f t="shared" ca="1" si="22"/>
        <v>#NAME?</v>
      </c>
      <c r="F298" s="5" t="e">
        <f t="shared" ca="1" si="23"/>
        <v>#NAME?</v>
      </c>
      <c r="G298" s="15" t="s">
        <v>612</v>
      </c>
      <c r="H298" s="15">
        <f>IF('Steel Angle Lintel Design'!$AM$16=1,0,IF('Steel Angle Lintel Design'!$AM$16=2,1,1))</f>
        <v>1</v>
      </c>
      <c r="I298" s="19">
        <v>19.5</v>
      </c>
      <c r="J298" s="15">
        <v>5</v>
      </c>
      <c r="K298" s="15">
        <v>3</v>
      </c>
      <c r="L298" s="15">
        <v>4.0199999999999996</v>
      </c>
      <c r="M298" s="15">
        <v>3.14</v>
      </c>
      <c r="N298" s="15">
        <v>1.75</v>
      </c>
      <c r="O298" s="13">
        <v>31.11</v>
      </c>
      <c r="P298" s="15">
        <v>0</v>
      </c>
      <c r="Q298" s="15">
        <v>0</v>
      </c>
      <c r="R298" s="13">
        <v>0.375</v>
      </c>
      <c r="S298" s="13">
        <v>2</v>
      </c>
      <c r="T298" s="13" t="str">
        <f>IF(S298=2,"Y",IF(J298/R298&lt;0.54*(SQRT(29000/'Steel Angle Lintel Design'!$H$31)),"Y","N"))</f>
        <v>Y</v>
      </c>
      <c r="U298" s="13" t="str">
        <f>IF(J298/R298&gt;0.91*(SQRT(29000/'Steel Angle Lintel Design'!$H$31)),"Y","N")</f>
        <v>N</v>
      </c>
      <c r="V298" s="13" t="s">
        <v>613</v>
      </c>
      <c r="W298" s="13"/>
      <c r="X298" s="13">
        <v>1.67</v>
      </c>
      <c r="Y298" s="13">
        <v>51.5</v>
      </c>
      <c r="Z298" s="13">
        <v>28.7</v>
      </c>
      <c r="AA298" s="13"/>
      <c r="AB298" s="13">
        <v>0</v>
      </c>
      <c r="AC298" s="13">
        <v>0</v>
      </c>
    </row>
    <row r="299" spans="1:29" s="8" customFormat="1" ht="15.75">
      <c r="A299" s="43" t="str">
        <f>IF(AND(H299=1,L299&gt;='Steel Angle Lintel Design'!$M$98,'AISC Angle Database'!N299&gt;='Steel Angle Lintel Design'!$M$96,'AISC Angle Database'!J299&gt;='Steel Angle Lintel Design'!$F$40,'AISC Angle Database'!J299&lt;='Steel Angle Lintel Design'!$F$41,'AISC Angle Database'!K299&gt;='Steel Angle Lintel Design'!$K$40,'AISC Angle Database'!K299&lt;='Steel Angle Lintel Design'!$K$41),1,"")</f>
        <v/>
      </c>
      <c r="B299" s="44">
        <f t="shared" si="20"/>
        <v>11</v>
      </c>
      <c r="C299" s="44">
        <f t="shared" si="21"/>
        <v>0</v>
      </c>
      <c r="D299" s="42" t="e">
        <f t="shared" ca="1" si="24"/>
        <v>#NAME?</v>
      </c>
      <c r="E299" s="44" t="e">
        <f t="shared" ca="1" si="22"/>
        <v>#NAME?</v>
      </c>
      <c r="F299" s="5" t="e">
        <f t="shared" ca="1" si="23"/>
        <v>#NAME?</v>
      </c>
      <c r="G299" s="15" t="s">
        <v>614</v>
      </c>
      <c r="H299" s="15">
        <f>IF('Steel Angle Lintel Design'!$AM$16=1,0,IF('Steel Angle Lintel Design'!$AM$16=2,1,1))</f>
        <v>1</v>
      </c>
      <c r="I299" s="19">
        <v>16.399999999999999</v>
      </c>
      <c r="J299" s="15">
        <v>5</v>
      </c>
      <c r="K299" s="15">
        <v>3</v>
      </c>
      <c r="L299" s="15">
        <v>3.44</v>
      </c>
      <c r="M299" s="15">
        <v>2.62</v>
      </c>
      <c r="N299" s="15">
        <v>1.48</v>
      </c>
      <c r="O299" s="13">
        <v>25.94</v>
      </c>
      <c r="P299" s="15">
        <v>0</v>
      </c>
      <c r="Q299" s="15">
        <v>0</v>
      </c>
      <c r="R299" s="13">
        <v>0.3125</v>
      </c>
      <c r="S299" s="13">
        <v>2</v>
      </c>
      <c r="T299" s="13" t="str">
        <f>IF(S299=2,"Y",IF(J299/R299&lt;0.54*(SQRT(29000/'Steel Angle Lintel Design'!$H$31)),"Y","N"))</f>
        <v>Y</v>
      </c>
      <c r="U299" s="13" t="str">
        <f>IF(J299/R299&gt;0.91*(SQRT(29000/'Steel Angle Lintel Design'!$H$31)),"Y","N")</f>
        <v>N</v>
      </c>
      <c r="V299" s="13" t="s">
        <v>615</v>
      </c>
      <c r="W299" s="13"/>
      <c r="X299" s="13">
        <v>1.43</v>
      </c>
      <c r="Y299" s="13">
        <v>42.9</v>
      </c>
      <c r="Z299" s="13">
        <v>24.3</v>
      </c>
      <c r="AA299" s="13"/>
      <c r="AB299" s="13">
        <v>0</v>
      </c>
      <c r="AC299" s="13">
        <v>0</v>
      </c>
    </row>
    <row r="300" spans="1:29" s="8" customFormat="1" ht="15.75">
      <c r="A300" s="43" t="str">
        <f>IF(AND(H300=1,L300&gt;='Steel Angle Lintel Design'!$M$98,'AISC Angle Database'!N300&gt;='Steel Angle Lintel Design'!$M$96,'AISC Angle Database'!J300&gt;='Steel Angle Lintel Design'!$F$40,'AISC Angle Database'!J300&lt;='Steel Angle Lintel Design'!$F$41,'AISC Angle Database'!K300&gt;='Steel Angle Lintel Design'!$K$40,'AISC Angle Database'!K300&lt;='Steel Angle Lintel Design'!$K$41),1,"")</f>
        <v/>
      </c>
      <c r="B300" s="44">
        <f t="shared" si="20"/>
        <v>11</v>
      </c>
      <c r="C300" s="44">
        <f t="shared" si="21"/>
        <v>0</v>
      </c>
      <c r="D300" s="42" t="e">
        <f t="shared" ca="1" si="24"/>
        <v>#NAME?</v>
      </c>
      <c r="E300" s="44" t="e">
        <f t="shared" ca="1" si="22"/>
        <v>#NAME?</v>
      </c>
      <c r="F300" s="5" t="e">
        <f t="shared" ca="1" si="23"/>
        <v>#NAME?</v>
      </c>
      <c r="G300" s="15" t="s">
        <v>616</v>
      </c>
      <c r="H300" s="15">
        <f>IF('Steel Angle Lintel Design'!$AM$16=1,0,IF('Steel Angle Lintel Design'!$AM$16=2,1,1))</f>
        <v>1</v>
      </c>
      <c r="I300" s="19">
        <v>13.21</v>
      </c>
      <c r="J300" s="15">
        <v>5</v>
      </c>
      <c r="K300" s="15">
        <v>3</v>
      </c>
      <c r="L300" s="15">
        <v>2.82</v>
      </c>
      <c r="M300" s="15">
        <v>2.1</v>
      </c>
      <c r="N300" s="15">
        <v>1.2</v>
      </c>
      <c r="O300" s="13">
        <v>20.52</v>
      </c>
      <c r="P300" s="15">
        <v>0</v>
      </c>
      <c r="Q300" s="15">
        <v>0</v>
      </c>
      <c r="R300" s="13">
        <v>0.25</v>
      </c>
      <c r="S300" s="13">
        <v>2</v>
      </c>
      <c r="T300" s="13" t="str">
        <f>IF(S300=2,"Y",IF(J300/R300&lt;0.54*(SQRT(29000/'Steel Angle Lintel Design'!$H$31)),"Y","N"))</f>
        <v>Y</v>
      </c>
      <c r="U300" s="13" t="str">
        <f>IF(J300/R300&gt;0.91*(SQRT(29000/'Steel Angle Lintel Design'!$H$31)),"Y","N")</f>
        <v>N</v>
      </c>
      <c r="V300" s="13" t="s">
        <v>617</v>
      </c>
      <c r="W300" s="13"/>
      <c r="X300" s="13">
        <v>1.17</v>
      </c>
      <c r="Y300" s="13">
        <v>34.4</v>
      </c>
      <c r="Z300" s="13">
        <v>19.7</v>
      </c>
      <c r="AA300" s="13"/>
      <c r="AB300" s="13">
        <v>0</v>
      </c>
      <c r="AC300" s="13">
        <v>0</v>
      </c>
    </row>
    <row r="301" spans="1:29" s="8" customFormat="1" ht="15.75">
      <c r="A301" s="43" t="str">
        <f>IF(AND(H301=1,L301&gt;='Steel Angle Lintel Design'!$M$98,'AISC Angle Database'!N301&gt;='Steel Angle Lintel Design'!$M$96,'AISC Angle Database'!J301&gt;='Steel Angle Lintel Design'!$F$40,'AISC Angle Database'!J301&lt;='Steel Angle Lintel Design'!$F$41,'AISC Angle Database'!K301&gt;='Steel Angle Lintel Design'!$K$40,'AISC Angle Database'!K301&lt;='Steel Angle Lintel Design'!$K$41),1,"")</f>
        <v/>
      </c>
      <c r="B301" s="44">
        <f t="shared" si="20"/>
        <v>11</v>
      </c>
      <c r="C301" s="44">
        <f t="shared" si="21"/>
        <v>0</v>
      </c>
      <c r="D301" s="42" t="e">
        <f t="shared" ca="1" si="24"/>
        <v>#NAME?</v>
      </c>
      <c r="E301" s="44" t="e">
        <f t="shared" ca="1" si="22"/>
        <v>#NAME?</v>
      </c>
      <c r="F301" s="5" t="e">
        <f t="shared" ca="1" si="23"/>
        <v>#NAME?</v>
      </c>
      <c r="G301" s="15" t="s">
        <v>618</v>
      </c>
      <c r="H301" s="15">
        <f>IF('Steel Angle Lintel Design'!$AM$16=1,0,IF('Steel Angle Lintel Design'!$AM$16=2,1,1))</f>
        <v>1</v>
      </c>
      <c r="I301" s="19">
        <v>23.8</v>
      </c>
      <c r="J301" s="15">
        <v>4</v>
      </c>
      <c r="K301" s="15">
        <v>3.5</v>
      </c>
      <c r="L301" s="15">
        <v>7.53</v>
      </c>
      <c r="M301" s="15">
        <v>5.39</v>
      </c>
      <c r="N301" s="15">
        <v>3</v>
      </c>
      <c r="O301" s="13">
        <v>21.42</v>
      </c>
      <c r="P301" s="15">
        <v>0</v>
      </c>
      <c r="Q301" s="15">
        <v>0</v>
      </c>
      <c r="R301" s="13">
        <v>0.5</v>
      </c>
      <c r="S301" s="13">
        <v>2</v>
      </c>
      <c r="T301" s="13" t="str">
        <f>IF(S301=2,"Y",IF(J301/R301&lt;0.54*(SQRT(29000/'Steel Angle Lintel Design'!$H$31)),"Y","N"))</f>
        <v>Y</v>
      </c>
      <c r="U301" s="13" t="str">
        <f>IF(J301/R301&gt;0.91*(SQRT(29000/'Steel Angle Lintel Design'!$H$31)),"Y","N")</f>
        <v>N</v>
      </c>
      <c r="V301" s="13" t="s">
        <v>619</v>
      </c>
      <c r="W301" s="13"/>
      <c r="X301" s="13">
        <v>3.13</v>
      </c>
      <c r="Y301" s="13">
        <v>88.3</v>
      </c>
      <c r="Z301" s="13">
        <v>49.2</v>
      </c>
      <c r="AA301" s="13"/>
      <c r="AB301" s="13">
        <v>0</v>
      </c>
      <c r="AC301" s="13">
        <v>0</v>
      </c>
    </row>
    <row r="302" spans="1:29" s="8" customFormat="1" ht="15.75">
      <c r="A302" s="43" t="str">
        <f>IF(AND(H302=1,L302&gt;='Steel Angle Lintel Design'!$M$98,'AISC Angle Database'!N302&gt;='Steel Angle Lintel Design'!$M$96,'AISC Angle Database'!J302&gt;='Steel Angle Lintel Design'!$F$40,'AISC Angle Database'!J302&lt;='Steel Angle Lintel Design'!$F$41,'AISC Angle Database'!K302&gt;='Steel Angle Lintel Design'!$K$40,'AISC Angle Database'!K302&lt;='Steel Angle Lintel Design'!$K$41),1,"")</f>
        <v/>
      </c>
      <c r="B302" s="44">
        <f t="shared" si="20"/>
        <v>11</v>
      </c>
      <c r="C302" s="44">
        <f t="shared" si="21"/>
        <v>0</v>
      </c>
      <c r="D302" s="42" t="e">
        <f t="shared" ca="1" si="24"/>
        <v>#NAME?</v>
      </c>
      <c r="E302" s="44" t="e">
        <f t="shared" ca="1" si="22"/>
        <v>#NAME?</v>
      </c>
      <c r="F302" s="5" t="e">
        <f t="shared" ca="1" si="23"/>
        <v>#NAME?</v>
      </c>
      <c r="G302" s="15" t="s">
        <v>620</v>
      </c>
      <c r="H302" s="15">
        <f>IF('Steel Angle Lintel Design'!$AM$16=1,0,IF('Steel Angle Lintel Design'!$AM$16=2,1,1))</f>
        <v>1</v>
      </c>
      <c r="I302" s="19">
        <v>18.2</v>
      </c>
      <c r="J302" s="15">
        <v>4</v>
      </c>
      <c r="K302" s="15">
        <v>3.5</v>
      </c>
      <c r="L302" s="15">
        <v>5.92</v>
      </c>
      <c r="M302" s="15">
        <v>4.13</v>
      </c>
      <c r="N302" s="15">
        <v>2.3199999999999998</v>
      </c>
      <c r="O302" s="13">
        <v>16.010000000000002</v>
      </c>
      <c r="P302" s="15">
        <v>0</v>
      </c>
      <c r="Q302" s="15">
        <v>0</v>
      </c>
      <c r="R302" s="13">
        <v>0.375</v>
      </c>
      <c r="S302" s="13">
        <v>2</v>
      </c>
      <c r="T302" s="13" t="str">
        <f>IF(S302=2,"Y",IF(J302/R302&lt;0.54*(SQRT(29000/'Steel Angle Lintel Design'!$H$31)),"Y","N"))</f>
        <v>Y</v>
      </c>
      <c r="U302" s="13" t="str">
        <f>IF(J302/R302&gt;0.91*(SQRT(29000/'Steel Angle Lintel Design'!$H$31)),"Y","N")</f>
        <v>N</v>
      </c>
      <c r="V302" s="13" t="s">
        <v>621</v>
      </c>
      <c r="W302" s="13"/>
      <c r="X302" s="13">
        <v>2.46</v>
      </c>
      <c r="Y302" s="13">
        <v>67.7</v>
      </c>
      <c r="Z302" s="13">
        <v>38</v>
      </c>
      <c r="AA302" s="13"/>
      <c r="AB302" s="13">
        <v>0</v>
      </c>
      <c r="AC302" s="13">
        <v>0</v>
      </c>
    </row>
    <row r="303" spans="1:29" s="8" customFormat="1" ht="15.75" customHeight="1">
      <c r="A303" s="43" t="str">
        <f>IF(AND(H303=1,L303&gt;='Steel Angle Lintel Design'!$M$98,'AISC Angle Database'!N303&gt;='Steel Angle Lintel Design'!$M$96,'AISC Angle Database'!J303&gt;='Steel Angle Lintel Design'!$F$40,'AISC Angle Database'!J303&lt;='Steel Angle Lintel Design'!$F$41,'AISC Angle Database'!K303&gt;='Steel Angle Lintel Design'!$K$40,'AISC Angle Database'!K303&lt;='Steel Angle Lintel Design'!$K$41),1,"")</f>
        <v/>
      </c>
      <c r="B303" s="44">
        <f t="shared" si="20"/>
        <v>11</v>
      </c>
      <c r="C303" s="44">
        <f t="shared" si="21"/>
        <v>0</v>
      </c>
      <c r="D303" s="42" t="e">
        <f t="shared" ca="1" si="24"/>
        <v>#NAME?</v>
      </c>
      <c r="E303" s="44" t="e">
        <f t="shared" ca="1" si="22"/>
        <v>#NAME?</v>
      </c>
      <c r="F303" s="5" t="e">
        <f t="shared" ca="1" si="23"/>
        <v>#NAME?</v>
      </c>
      <c r="G303" s="15" t="s">
        <v>622</v>
      </c>
      <c r="H303" s="15">
        <f>IF('Steel Angle Lintel Design'!$AM$16=1,0,IF('Steel Angle Lintel Design'!$AM$16=2,1,1))</f>
        <v>1</v>
      </c>
      <c r="I303" s="19">
        <v>15.31</v>
      </c>
      <c r="J303" s="15">
        <v>4</v>
      </c>
      <c r="K303" s="15">
        <v>3.5</v>
      </c>
      <c r="L303" s="15">
        <v>5.05</v>
      </c>
      <c r="M303" s="15">
        <v>3.48</v>
      </c>
      <c r="N303" s="15">
        <v>1.96</v>
      </c>
      <c r="O303" s="13">
        <v>13.3</v>
      </c>
      <c r="P303" s="15">
        <v>0</v>
      </c>
      <c r="Q303" s="15">
        <v>0</v>
      </c>
      <c r="R303" s="13">
        <v>0.3125</v>
      </c>
      <c r="S303" s="13">
        <v>2</v>
      </c>
      <c r="T303" s="13" t="str">
        <f>IF(S303=2,"Y",IF(J303/R303&lt;0.54*(SQRT(29000/'Steel Angle Lintel Design'!$H$31)),"Y","N"))</f>
        <v>Y</v>
      </c>
      <c r="U303" s="13" t="str">
        <f>IF(J303/R303&gt;0.91*(SQRT(29000/'Steel Angle Lintel Design'!$H$31)),"Y","N")</f>
        <v>N</v>
      </c>
      <c r="V303" s="13" t="s">
        <v>623</v>
      </c>
      <c r="W303" s="13"/>
      <c r="X303" s="13">
        <v>2.1</v>
      </c>
      <c r="Y303" s="13">
        <v>57</v>
      </c>
      <c r="Z303" s="13">
        <v>32.1</v>
      </c>
      <c r="AA303" s="13"/>
      <c r="AB303" s="13">
        <v>0</v>
      </c>
      <c r="AC303" s="13">
        <v>0</v>
      </c>
    </row>
    <row r="304" spans="1:29" s="8" customFormat="1" ht="15.75">
      <c r="A304" s="43" t="str">
        <f>IF(AND(H304=1,L304&gt;='Steel Angle Lintel Design'!$M$98,'AISC Angle Database'!N304&gt;='Steel Angle Lintel Design'!$M$96,'AISC Angle Database'!J304&gt;='Steel Angle Lintel Design'!$F$40,'AISC Angle Database'!J304&lt;='Steel Angle Lintel Design'!$F$41,'AISC Angle Database'!K304&gt;='Steel Angle Lintel Design'!$K$40,'AISC Angle Database'!K304&lt;='Steel Angle Lintel Design'!$K$41),1,"")</f>
        <v/>
      </c>
      <c r="B304" s="44">
        <f t="shared" si="20"/>
        <v>11</v>
      </c>
      <c r="C304" s="44">
        <f t="shared" si="21"/>
        <v>0</v>
      </c>
      <c r="D304" s="42" t="e">
        <f t="shared" ca="1" si="24"/>
        <v>#NAME?</v>
      </c>
      <c r="E304" s="44" t="e">
        <f t="shared" ca="1" si="22"/>
        <v>#NAME?</v>
      </c>
      <c r="F304" s="5" t="e">
        <f t="shared" ca="1" si="23"/>
        <v>#NAME?</v>
      </c>
      <c r="G304" s="15" t="s">
        <v>624</v>
      </c>
      <c r="H304" s="15">
        <f>IF('Steel Angle Lintel Design'!$AM$16=1,0,IF('Steel Angle Lintel Design'!$AM$16=2,1,1))</f>
        <v>1</v>
      </c>
      <c r="I304" s="19">
        <v>12.41</v>
      </c>
      <c r="J304" s="15">
        <v>4</v>
      </c>
      <c r="K304" s="15">
        <v>3.5</v>
      </c>
      <c r="L304" s="15">
        <v>4.13</v>
      </c>
      <c r="M304" s="15">
        <v>2.8</v>
      </c>
      <c r="N304" s="15">
        <v>1.59</v>
      </c>
      <c r="O304" s="13">
        <v>10.53</v>
      </c>
      <c r="P304" s="15">
        <v>0</v>
      </c>
      <c r="Q304" s="15">
        <v>0</v>
      </c>
      <c r="R304" s="13">
        <v>0.25</v>
      </c>
      <c r="S304" s="13">
        <v>2</v>
      </c>
      <c r="T304" s="13" t="str">
        <f>IF(S304=2,"Y",IF(J304/R304&lt;0.54*(SQRT(29000/'Steel Angle Lintel Design'!$H$31)),"Y","N"))</f>
        <v>Y</v>
      </c>
      <c r="U304" s="13" t="str">
        <f>IF(J304/R304&gt;0.91*(SQRT(29000/'Steel Angle Lintel Design'!$H$31)),"Y","N")</f>
        <v>N</v>
      </c>
      <c r="V304" s="13" t="s">
        <v>625</v>
      </c>
      <c r="W304" s="13"/>
      <c r="X304" s="13">
        <v>1.72</v>
      </c>
      <c r="Y304" s="13">
        <v>45.9</v>
      </c>
      <c r="Z304" s="13">
        <v>26.1</v>
      </c>
      <c r="AA304" s="13"/>
      <c r="AB304" s="13">
        <v>0</v>
      </c>
      <c r="AC304" s="13">
        <v>0</v>
      </c>
    </row>
    <row r="305" spans="1:29" s="8" customFormat="1" ht="15.75">
      <c r="A305" s="43" t="str">
        <f>IF(AND(H305=1,L305&gt;='Steel Angle Lintel Design'!$M$98,'AISC Angle Database'!N305&gt;='Steel Angle Lintel Design'!$M$96,'AISC Angle Database'!J305&gt;='Steel Angle Lintel Design'!$F$40,'AISC Angle Database'!J305&lt;='Steel Angle Lintel Design'!$F$41,'AISC Angle Database'!K305&gt;='Steel Angle Lintel Design'!$K$40,'AISC Angle Database'!K305&lt;='Steel Angle Lintel Design'!$K$41),1,"")</f>
        <v/>
      </c>
      <c r="B305" s="44">
        <f t="shared" si="20"/>
        <v>11</v>
      </c>
      <c r="C305" s="44">
        <f t="shared" si="21"/>
        <v>0</v>
      </c>
      <c r="D305" s="42" t="e">
        <f t="shared" ca="1" si="24"/>
        <v>#NAME?</v>
      </c>
      <c r="E305" s="44" t="e">
        <f t="shared" ca="1" si="22"/>
        <v>#NAME?</v>
      </c>
      <c r="F305" s="5" t="e">
        <f t="shared" ca="1" si="23"/>
        <v>#NAME?</v>
      </c>
      <c r="G305" s="15" t="s">
        <v>626</v>
      </c>
      <c r="H305" s="15">
        <f>IF('Steel Angle Lintel Design'!$AM$16=1,0,IF('Steel Angle Lintel Design'!$AM$16=2,1,1))</f>
        <v>1</v>
      </c>
      <c r="I305" s="19">
        <v>27.11</v>
      </c>
      <c r="J305" s="15">
        <v>4</v>
      </c>
      <c r="K305" s="15">
        <v>3</v>
      </c>
      <c r="L305" s="15">
        <v>5.7</v>
      </c>
      <c r="M305" s="15">
        <v>4.9000000000000004</v>
      </c>
      <c r="N305" s="15">
        <v>2.67</v>
      </c>
      <c r="O305" s="13">
        <v>26.96</v>
      </c>
      <c r="P305" s="15">
        <v>0</v>
      </c>
      <c r="Q305" s="15">
        <v>0</v>
      </c>
      <c r="R305" s="13">
        <v>0.625</v>
      </c>
      <c r="S305" s="13">
        <v>2</v>
      </c>
      <c r="T305" s="13" t="str">
        <f>IF(S305=2,"Y",IF(J305/R305&lt;0.54*(SQRT(29000/'Steel Angle Lintel Design'!$H$31)),"Y","N"))</f>
        <v>Y</v>
      </c>
      <c r="U305" s="13" t="str">
        <f>IF(J305/R305&gt;0.91*(SQRT(29000/'Steel Angle Lintel Design'!$H$31)),"Y","N")</f>
        <v>N</v>
      </c>
      <c r="V305" s="13" t="s">
        <v>627</v>
      </c>
      <c r="W305" s="13"/>
      <c r="X305" s="13">
        <v>2.37</v>
      </c>
      <c r="Y305" s="13">
        <v>80.3</v>
      </c>
      <c r="Z305" s="13">
        <v>43.8</v>
      </c>
      <c r="AA305" s="13"/>
      <c r="AB305" s="13">
        <v>0</v>
      </c>
      <c r="AC305" s="13">
        <v>0</v>
      </c>
    </row>
    <row r="306" spans="1:29" s="8" customFormat="1" ht="15.75">
      <c r="A306" s="43" t="str">
        <f>IF(AND(H306=1,L306&gt;='Steel Angle Lintel Design'!$M$98,'AISC Angle Database'!N306&gt;='Steel Angle Lintel Design'!$M$96,'AISC Angle Database'!J306&gt;='Steel Angle Lintel Design'!$F$40,'AISC Angle Database'!J306&lt;='Steel Angle Lintel Design'!$F$41,'AISC Angle Database'!K306&gt;='Steel Angle Lintel Design'!$K$40,'AISC Angle Database'!K306&lt;='Steel Angle Lintel Design'!$K$41),1,"")</f>
        <v/>
      </c>
      <c r="B306" s="44">
        <f t="shared" si="20"/>
        <v>11</v>
      </c>
      <c r="C306" s="44">
        <f t="shared" si="21"/>
        <v>0</v>
      </c>
      <c r="D306" s="42" t="e">
        <f t="shared" ca="1" si="24"/>
        <v>#NAME?</v>
      </c>
      <c r="E306" s="44" t="e">
        <f t="shared" ca="1" si="22"/>
        <v>#NAME?</v>
      </c>
      <c r="F306" s="5" t="e">
        <f t="shared" ca="1" si="23"/>
        <v>#NAME?</v>
      </c>
      <c r="G306" s="15" t="s">
        <v>628</v>
      </c>
      <c r="H306" s="15">
        <f>IF('Steel Angle Lintel Design'!$AM$16=1,0,IF('Steel Angle Lintel Design'!$AM$16=2,1,1))</f>
        <v>1</v>
      </c>
      <c r="I306" s="19">
        <v>22.11</v>
      </c>
      <c r="J306" s="15">
        <v>4</v>
      </c>
      <c r="K306" s="15">
        <v>3</v>
      </c>
      <c r="L306" s="15">
        <v>4.79</v>
      </c>
      <c r="M306" s="15">
        <v>3.99</v>
      </c>
      <c r="N306" s="15">
        <v>2.2000000000000002</v>
      </c>
      <c r="O306" s="13">
        <v>21.28</v>
      </c>
      <c r="P306" s="15">
        <v>0</v>
      </c>
      <c r="Q306" s="15">
        <v>0</v>
      </c>
      <c r="R306" s="13">
        <v>0.5</v>
      </c>
      <c r="S306" s="13">
        <v>2</v>
      </c>
      <c r="T306" s="13" t="str">
        <f>IF(S306=2,"Y",IF(J306/R306&lt;0.54*(SQRT(29000/'Steel Angle Lintel Design'!$H$31)),"Y","N"))</f>
        <v>Y</v>
      </c>
      <c r="U306" s="13" t="str">
        <f>IF(J306/R306&gt;0.91*(SQRT(29000/'Steel Angle Lintel Design'!$H$31)),"Y","N")</f>
        <v>N</v>
      </c>
      <c r="V306" s="13" t="s">
        <v>629</v>
      </c>
      <c r="W306" s="13"/>
      <c r="X306" s="13">
        <v>1.99</v>
      </c>
      <c r="Y306" s="13">
        <v>65.400000000000006</v>
      </c>
      <c r="Z306" s="13">
        <v>36.1</v>
      </c>
      <c r="AA306" s="13"/>
      <c r="AB306" s="13">
        <v>0</v>
      </c>
      <c r="AC306" s="13">
        <v>0</v>
      </c>
    </row>
    <row r="307" spans="1:29" s="8" customFormat="1" ht="15.75">
      <c r="A307" s="43" t="str">
        <f>IF(AND(H307=1,L307&gt;='Steel Angle Lintel Design'!$M$98,'AISC Angle Database'!N307&gt;='Steel Angle Lintel Design'!$M$96,'AISC Angle Database'!J307&gt;='Steel Angle Lintel Design'!$F$40,'AISC Angle Database'!J307&lt;='Steel Angle Lintel Design'!$F$41,'AISC Angle Database'!K307&gt;='Steel Angle Lintel Design'!$K$40,'AISC Angle Database'!K307&lt;='Steel Angle Lintel Design'!$K$41),1,"")</f>
        <v/>
      </c>
      <c r="B307" s="44">
        <f t="shared" si="20"/>
        <v>11</v>
      </c>
      <c r="C307" s="44">
        <f t="shared" si="21"/>
        <v>0</v>
      </c>
      <c r="D307" s="42" t="e">
        <f t="shared" ca="1" si="24"/>
        <v>#NAME?</v>
      </c>
      <c r="E307" s="44" t="e">
        <f t="shared" ca="1" si="22"/>
        <v>#NAME?</v>
      </c>
      <c r="F307" s="5" t="e">
        <f t="shared" ca="1" si="23"/>
        <v>#NAME?</v>
      </c>
      <c r="G307" s="15" t="s">
        <v>630</v>
      </c>
      <c r="H307" s="15">
        <f>IF('Steel Angle Lintel Design'!$AM$16=1,0,IF('Steel Angle Lintel Design'!$AM$16=2,1,1))</f>
        <v>1</v>
      </c>
      <c r="I307" s="19">
        <v>16.91</v>
      </c>
      <c r="J307" s="15">
        <v>4</v>
      </c>
      <c r="K307" s="15">
        <v>3</v>
      </c>
      <c r="L307" s="15">
        <v>3.79</v>
      </c>
      <c r="M307" s="15">
        <v>3.04</v>
      </c>
      <c r="N307" s="15">
        <v>1.7</v>
      </c>
      <c r="O307" s="13">
        <v>15.91</v>
      </c>
      <c r="P307" s="15">
        <v>0</v>
      </c>
      <c r="Q307" s="15">
        <v>0</v>
      </c>
      <c r="R307" s="13">
        <v>0.375</v>
      </c>
      <c r="S307" s="13">
        <v>2</v>
      </c>
      <c r="T307" s="13" t="str">
        <f>IF(S307=2,"Y",IF(J307/R307&lt;0.54*(SQRT(29000/'Steel Angle Lintel Design'!$H$31)),"Y","N"))</f>
        <v>Y</v>
      </c>
      <c r="U307" s="13" t="str">
        <f>IF(J307/R307&gt;0.91*(SQRT(29000/'Steel Angle Lintel Design'!$H$31)),"Y","N")</f>
        <v>N</v>
      </c>
      <c r="V307" s="13" t="s">
        <v>631</v>
      </c>
      <c r="W307" s="13"/>
      <c r="X307" s="13">
        <v>1.58</v>
      </c>
      <c r="Y307" s="13">
        <v>49.8</v>
      </c>
      <c r="Z307" s="13">
        <v>27.9</v>
      </c>
      <c r="AA307" s="13"/>
      <c r="AB307" s="13">
        <v>0</v>
      </c>
      <c r="AC307" s="13">
        <v>0</v>
      </c>
    </row>
    <row r="308" spans="1:29" s="8" customFormat="1" ht="15.75">
      <c r="A308" s="43" t="str">
        <f>IF(AND(H308=1,L308&gt;='Steel Angle Lintel Design'!$M$98,'AISC Angle Database'!N308&gt;='Steel Angle Lintel Design'!$M$96,'AISC Angle Database'!J308&gt;='Steel Angle Lintel Design'!$F$40,'AISC Angle Database'!J308&lt;='Steel Angle Lintel Design'!$F$41,'AISC Angle Database'!K308&gt;='Steel Angle Lintel Design'!$K$40,'AISC Angle Database'!K308&lt;='Steel Angle Lintel Design'!$K$41),1,"")</f>
        <v/>
      </c>
      <c r="B308" s="44">
        <f t="shared" si="20"/>
        <v>11</v>
      </c>
      <c r="C308" s="44">
        <f t="shared" si="21"/>
        <v>0</v>
      </c>
      <c r="D308" s="42" t="e">
        <f t="shared" ca="1" si="24"/>
        <v>#NAME?</v>
      </c>
      <c r="E308" s="44" t="e">
        <f t="shared" ca="1" si="22"/>
        <v>#NAME?</v>
      </c>
      <c r="F308" s="5" t="e">
        <f t="shared" ca="1" si="23"/>
        <v>#NAME?</v>
      </c>
      <c r="G308" s="15" t="s">
        <v>632</v>
      </c>
      <c r="H308" s="15">
        <f>IF('Steel Angle Lintel Design'!$AM$16=1,0,IF('Steel Angle Lintel Design'!$AM$16=2,1,1))</f>
        <v>1</v>
      </c>
      <c r="I308" s="19">
        <v>14.21</v>
      </c>
      <c r="J308" s="15">
        <v>4</v>
      </c>
      <c r="K308" s="15">
        <v>3</v>
      </c>
      <c r="L308" s="15">
        <v>3.24</v>
      </c>
      <c r="M308" s="15">
        <v>2.56</v>
      </c>
      <c r="N308" s="15">
        <v>1.44</v>
      </c>
      <c r="O308" s="13">
        <v>13.22</v>
      </c>
      <c r="P308" s="15">
        <v>0</v>
      </c>
      <c r="Q308" s="15">
        <v>0</v>
      </c>
      <c r="R308" s="13">
        <v>0.3125</v>
      </c>
      <c r="S308" s="13">
        <v>2</v>
      </c>
      <c r="T308" s="13" t="str">
        <f>IF(S308=2,"Y",IF(J308/R308&lt;0.54*(SQRT(29000/'Steel Angle Lintel Design'!$H$31)),"Y","N"))</f>
        <v>Y</v>
      </c>
      <c r="U308" s="13" t="str">
        <f>IF(J308/R308&gt;0.91*(SQRT(29000/'Steel Angle Lintel Design'!$H$31)),"Y","N")</f>
        <v>N</v>
      </c>
      <c r="V308" s="13" t="s">
        <v>633</v>
      </c>
      <c r="W308" s="13"/>
      <c r="X308" s="13">
        <v>1.35</v>
      </c>
      <c r="Y308" s="13">
        <v>42</v>
      </c>
      <c r="Z308" s="13">
        <v>23.6</v>
      </c>
      <c r="AA308" s="13"/>
      <c r="AB308" s="13">
        <v>0</v>
      </c>
      <c r="AC308" s="13">
        <v>0</v>
      </c>
    </row>
    <row r="309" spans="1:29" s="8" customFormat="1" ht="15.75">
      <c r="A309" s="43" t="str">
        <f>IF(AND(H309=1,L309&gt;='Steel Angle Lintel Design'!$M$98,'AISC Angle Database'!N309&gt;='Steel Angle Lintel Design'!$M$96,'AISC Angle Database'!J309&gt;='Steel Angle Lintel Design'!$F$40,'AISC Angle Database'!J309&lt;='Steel Angle Lintel Design'!$F$41,'AISC Angle Database'!K309&gt;='Steel Angle Lintel Design'!$K$40,'AISC Angle Database'!K309&lt;='Steel Angle Lintel Design'!$K$41),1,"")</f>
        <v/>
      </c>
      <c r="B309" s="44">
        <f t="shared" si="20"/>
        <v>11</v>
      </c>
      <c r="C309" s="44">
        <f t="shared" si="21"/>
        <v>0</v>
      </c>
      <c r="D309" s="42" t="e">
        <f t="shared" ca="1" si="24"/>
        <v>#NAME?</v>
      </c>
      <c r="E309" s="44" t="e">
        <f t="shared" ca="1" si="22"/>
        <v>#NAME?</v>
      </c>
      <c r="F309" s="5" t="e">
        <f t="shared" ca="1" si="23"/>
        <v>#NAME?</v>
      </c>
      <c r="G309" s="15" t="s">
        <v>634</v>
      </c>
      <c r="H309" s="15">
        <f>IF('Steel Angle Lintel Design'!$AM$16=1,0,IF('Steel Angle Lintel Design'!$AM$16=2,1,1))</f>
        <v>1</v>
      </c>
      <c r="I309" s="19">
        <v>11.51</v>
      </c>
      <c r="J309" s="15">
        <v>4</v>
      </c>
      <c r="K309" s="15">
        <v>3</v>
      </c>
      <c r="L309" s="15">
        <v>2.66</v>
      </c>
      <c r="M309" s="15">
        <v>2.06</v>
      </c>
      <c r="N309" s="15">
        <v>1.17</v>
      </c>
      <c r="O309" s="13">
        <v>10.47</v>
      </c>
      <c r="P309" s="15">
        <v>0</v>
      </c>
      <c r="Q309" s="15">
        <v>0</v>
      </c>
      <c r="R309" s="13">
        <v>0.25</v>
      </c>
      <c r="S309" s="13">
        <v>2</v>
      </c>
      <c r="T309" s="13" t="str">
        <f>IF(S309=2,"Y",IF(J309/R309&lt;0.54*(SQRT(29000/'Steel Angle Lintel Design'!$H$31)),"Y","N"))</f>
        <v>Y</v>
      </c>
      <c r="U309" s="13" t="str">
        <f>IF(J309/R309&gt;0.91*(SQRT(29000/'Steel Angle Lintel Design'!$H$31)),"Y","N")</f>
        <v>N</v>
      </c>
      <c r="V309" s="13" t="s">
        <v>635</v>
      </c>
      <c r="W309" s="13"/>
      <c r="X309" s="13">
        <v>1.1100000000000001</v>
      </c>
      <c r="Y309" s="13">
        <v>33.799999999999997</v>
      </c>
      <c r="Z309" s="13">
        <v>19.2</v>
      </c>
      <c r="AA309" s="13"/>
      <c r="AB309" s="13">
        <v>0</v>
      </c>
      <c r="AC309" s="13">
        <v>0</v>
      </c>
    </row>
    <row r="310" spans="1:29" s="8" customFormat="1" ht="15.75">
      <c r="A310" s="43" t="str">
        <f>IF(AND(H310=1,L310&gt;='Steel Angle Lintel Design'!$M$98,'AISC Angle Database'!N310&gt;='Steel Angle Lintel Design'!$M$96,'AISC Angle Database'!J310&gt;='Steel Angle Lintel Design'!$F$40,'AISC Angle Database'!J310&lt;='Steel Angle Lintel Design'!$F$41,'AISC Angle Database'!K310&gt;='Steel Angle Lintel Design'!$K$40,'AISC Angle Database'!K310&lt;='Steel Angle Lintel Design'!$K$41),1,"")</f>
        <v/>
      </c>
      <c r="B310" s="44">
        <f t="shared" si="20"/>
        <v>11</v>
      </c>
      <c r="C310" s="44">
        <f t="shared" si="21"/>
        <v>0</v>
      </c>
      <c r="D310" s="42" t="e">
        <f t="shared" ca="1" si="24"/>
        <v>#NAME?</v>
      </c>
      <c r="E310" s="44" t="e">
        <f t="shared" ca="1" si="22"/>
        <v>#NAME?</v>
      </c>
      <c r="F310" s="5" t="e">
        <f t="shared" ca="1" si="23"/>
        <v>#NAME?</v>
      </c>
      <c r="G310" s="15" t="s">
        <v>636</v>
      </c>
      <c r="H310" s="15">
        <f>IF('Steel Angle Lintel Design'!$AM$16=1,0,IF('Steel Angle Lintel Design'!$AM$16=2,1,1))</f>
        <v>1</v>
      </c>
      <c r="I310" s="19">
        <v>20.58</v>
      </c>
      <c r="J310" s="15">
        <v>3.5</v>
      </c>
      <c r="K310" s="15">
        <v>3</v>
      </c>
      <c r="L310" s="15">
        <v>4.6500000000000004</v>
      </c>
      <c r="M310" s="15">
        <v>3.94</v>
      </c>
      <c r="N310" s="15">
        <v>2.1800000000000002</v>
      </c>
      <c r="O310" s="13">
        <v>14.54</v>
      </c>
      <c r="P310" s="15">
        <v>0</v>
      </c>
      <c r="Q310" s="15">
        <v>0</v>
      </c>
      <c r="R310" s="13">
        <v>0.5</v>
      </c>
      <c r="S310" s="13">
        <v>2</v>
      </c>
      <c r="T310" s="13" t="str">
        <f>IF(S310=2,"Y",IF(J310/R310&lt;0.54*(SQRT(29000/'Steel Angle Lintel Design'!$H$31)),"Y","N"))</f>
        <v>Y</v>
      </c>
      <c r="U310" s="13" t="str">
        <f>IF(J310/R310&gt;0.91*(SQRT(29000/'Steel Angle Lintel Design'!$H$31)),"Y","N")</f>
        <v>N</v>
      </c>
      <c r="V310" s="13" t="s">
        <v>637</v>
      </c>
      <c r="W310" s="13"/>
      <c r="X310" s="13">
        <v>1.94</v>
      </c>
      <c r="Y310" s="13">
        <v>64.599999999999994</v>
      </c>
      <c r="Z310" s="13">
        <v>35.700000000000003</v>
      </c>
      <c r="AA310" s="13"/>
      <c r="AB310" s="13">
        <v>0</v>
      </c>
      <c r="AC310" s="13">
        <v>0</v>
      </c>
    </row>
    <row r="311" spans="1:29" s="8" customFormat="1" ht="15.75">
      <c r="A311" s="43" t="str">
        <f>IF(AND(H311=1,L311&gt;='Steel Angle Lintel Design'!$M$98,'AISC Angle Database'!N311&gt;='Steel Angle Lintel Design'!$M$96,'AISC Angle Database'!J311&gt;='Steel Angle Lintel Design'!$F$40,'AISC Angle Database'!J311&lt;='Steel Angle Lintel Design'!$F$41,'AISC Angle Database'!K311&gt;='Steel Angle Lintel Design'!$K$40,'AISC Angle Database'!K311&lt;='Steel Angle Lintel Design'!$K$41),1,"")</f>
        <v/>
      </c>
      <c r="B311" s="44">
        <f t="shared" si="20"/>
        <v>11</v>
      </c>
      <c r="C311" s="44">
        <f t="shared" si="21"/>
        <v>0</v>
      </c>
      <c r="D311" s="42" t="e">
        <f t="shared" ca="1" si="24"/>
        <v>#NAME?</v>
      </c>
      <c r="E311" s="44" t="e">
        <f t="shared" ca="1" si="22"/>
        <v>#NAME?</v>
      </c>
      <c r="F311" s="5" t="e">
        <f t="shared" ca="1" si="23"/>
        <v>#NAME?</v>
      </c>
      <c r="G311" s="15" t="s">
        <v>638</v>
      </c>
      <c r="H311" s="15">
        <f>IF('Steel Angle Lintel Design'!$AM$16=1,0,IF('Steel Angle Lintel Design'!$AM$16=2,1,1))</f>
        <v>1</v>
      </c>
      <c r="I311" s="19">
        <v>18.2</v>
      </c>
      <c r="J311" s="15">
        <v>3.5</v>
      </c>
      <c r="K311" s="15">
        <v>3</v>
      </c>
      <c r="L311" s="15">
        <v>4.18</v>
      </c>
      <c r="M311" s="15">
        <v>3.49</v>
      </c>
      <c r="N311" s="15">
        <v>1.94</v>
      </c>
      <c r="O311" s="13">
        <v>12.68</v>
      </c>
      <c r="P311" s="15">
        <v>0</v>
      </c>
      <c r="Q311" s="15">
        <v>0</v>
      </c>
      <c r="R311" s="13">
        <v>0.4375</v>
      </c>
      <c r="S311" s="13">
        <v>2</v>
      </c>
      <c r="T311" s="13" t="str">
        <f>IF(S311=2,"Y",IF(J311/R311&lt;0.54*(SQRT(29000/'Steel Angle Lintel Design'!$H$31)),"Y","N"))</f>
        <v>Y</v>
      </c>
      <c r="U311" s="13" t="str">
        <f>IF(J311/R311&gt;0.91*(SQRT(29000/'Steel Angle Lintel Design'!$H$31)),"Y","N")</f>
        <v>N</v>
      </c>
      <c r="V311" s="13" t="s">
        <v>639</v>
      </c>
      <c r="W311" s="13"/>
      <c r="X311" s="13">
        <v>1.74</v>
      </c>
      <c r="Y311" s="13">
        <v>57.2</v>
      </c>
      <c r="Z311" s="13">
        <v>31.8</v>
      </c>
      <c r="AA311" s="13"/>
      <c r="AB311" s="13">
        <v>0</v>
      </c>
      <c r="AC311" s="13">
        <v>0</v>
      </c>
    </row>
    <row r="312" spans="1:29" s="8" customFormat="1" ht="15.75">
      <c r="A312" s="43" t="str">
        <f>IF(AND(H312=1,L312&gt;='Steel Angle Lintel Design'!$M$98,'AISC Angle Database'!N312&gt;='Steel Angle Lintel Design'!$M$96,'AISC Angle Database'!J312&gt;='Steel Angle Lintel Design'!$F$40,'AISC Angle Database'!J312&lt;='Steel Angle Lintel Design'!$F$41,'AISC Angle Database'!K312&gt;='Steel Angle Lintel Design'!$K$40,'AISC Angle Database'!K312&lt;='Steel Angle Lintel Design'!$K$41),1,"")</f>
        <v/>
      </c>
      <c r="B312" s="44">
        <f t="shared" si="20"/>
        <v>11</v>
      </c>
      <c r="C312" s="44">
        <f t="shared" si="21"/>
        <v>0</v>
      </c>
      <c r="D312" s="42" t="e">
        <f t="shared" ca="1" si="24"/>
        <v>#NAME?</v>
      </c>
      <c r="E312" s="44" t="e">
        <f t="shared" ca="1" si="22"/>
        <v>#NAME?</v>
      </c>
      <c r="F312" s="5" t="e">
        <f t="shared" ca="1" si="23"/>
        <v>#NAME?</v>
      </c>
      <c r="G312" s="15" t="s">
        <v>640</v>
      </c>
      <c r="H312" s="15">
        <f>IF('Steel Angle Lintel Design'!$AM$16=1,0,IF('Steel Angle Lintel Design'!$AM$16=2,1,1))</f>
        <v>1</v>
      </c>
      <c r="I312" s="19">
        <v>15.81</v>
      </c>
      <c r="J312" s="15">
        <v>3.5</v>
      </c>
      <c r="K312" s="15">
        <v>3</v>
      </c>
      <c r="L312" s="15">
        <v>3.69</v>
      </c>
      <c r="M312" s="15">
        <v>3.04</v>
      </c>
      <c r="N312" s="15">
        <v>1.69</v>
      </c>
      <c r="O312" s="13">
        <v>10.73</v>
      </c>
      <c r="P312" s="15">
        <v>0</v>
      </c>
      <c r="Q312" s="15">
        <v>0</v>
      </c>
      <c r="R312" s="13">
        <v>0.375</v>
      </c>
      <c r="S312" s="13">
        <v>2</v>
      </c>
      <c r="T312" s="13" t="str">
        <f>IF(S312=2,"Y",IF(J312/R312&lt;0.54*(SQRT(29000/'Steel Angle Lintel Design'!$H$31)),"Y","N"))</f>
        <v>Y</v>
      </c>
      <c r="U312" s="13" t="str">
        <f>IF(J312/R312&gt;0.91*(SQRT(29000/'Steel Angle Lintel Design'!$H$31)),"Y","N")</f>
        <v>N</v>
      </c>
      <c r="V312" s="13" t="s">
        <v>641</v>
      </c>
      <c r="W312" s="13"/>
      <c r="X312" s="13">
        <v>1.54</v>
      </c>
      <c r="Y312" s="13">
        <v>49.8</v>
      </c>
      <c r="Z312" s="13">
        <v>27.7</v>
      </c>
      <c r="AA312" s="13"/>
      <c r="AB312" s="13">
        <v>0</v>
      </c>
      <c r="AC312" s="13">
        <v>0</v>
      </c>
    </row>
    <row r="313" spans="1:29" s="8" customFormat="1" ht="15.75">
      <c r="A313" s="43" t="str">
        <f>IF(AND(H313=1,L313&gt;='Steel Angle Lintel Design'!$M$98,'AISC Angle Database'!N313&gt;='Steel Angle Lintel Design'!$M$96,'AISC Angle Database'!J313&gt;='Steel Angle Lintel Design'!$F$40,'AISC Angle Database'!J313&lt;='Steel Angle Lintel Design'!$F$41,'AISC Angle Database'!K313&gt;='Steel Angle Lintel Design'!$K$40,'AISC Angle Database'!K313&lt;='Steel Angle Lintel Design'!$K$41),1,"")</f>
        <v/>
      </c>
      <c r="B313" s="44">
        <f t="shared" si="20"/>
        <v>11</v>
      </c>
      <c r="C313" s="44">
        <f t="shared" si="21"/>
        <v>0</v>
      </c>
      <c r="D313" s="42" t="e">
        <f t="shared" ca="1" si="24"/>
        <v>#NAME?</v>
      </c>
      <c r="E313" s="44" t="e">
        <f t="shared" ca="1" si="22"/>
        <v>#NAME?</v>
      </c>
      <c r="F313" s="5" t="e">
        <f t="shared" ca="1" si="23"/>
        <v>#NAME?</v>
      </c>
      <c r="G313" s="15" t="s">
        <v>642</v>
      </c>
      <c r="H313" s="15">
        <f>IF('Steel Angle Lintel Design'!$AM$16=1,0,IF('Steel Angle Lintel Design'!$AM$16=2,1,1))</f>
        <v>1</v>
      </c>
      <c r="I313" s="19">
        <v>13.3</v>
      </c>
      <c r="J313" s="15">
        <v>3.5</v>
      </c>
      <c r="K313" s="15">
        <v>3</v>
      </c>
      <c r="L313" s="15">
        <v>3.16</v>
      </c>
      <c r="M313" s="15">
        <v>2.56</v>
      </c>
      <c r="N313" s="15">
        <v>1.44</v>
      </c>
      <c r="O313" s="13">
        <v>8.91</v>
      </c>
      <c r="P313" s="15">
        <v>0</v>
      </c>
      <c r="Q313" s="15">
        <v>0</v>
      </c>
      <c r="R313" s="13">
        <v>0.3125</v>
      </c>
      <c r="S313" s="13">
        <v>2</v>
      </c>
      <c r="T313" s="13" t="str">
        <f>IF(S313=2,"Y",IF(J313/R313&lt;0.54*(SQRT(29000/'Steel Angle Lintel Design'!$H$31)),"Y","N"))</f>
        <v>Y</v>
      </c>
      <c r="U313" s="13" t="str">
        <f>IF(J313/R313&gt;0.91*(SQRT(29000/'Steel Angle Lintel Design'!$H$31)),"Y","N")</f>
        <v>N</v>
      </c>
      <c r="V313" s="13" t="s">
        <v>643</v>
      </c>
      <c r="W313" s="13"/>
      <c r="X313" s="13">
        <v>1.32</v>
      </c>
      <c r="Y313" s="13">
        <v>42</v>
      </c>
      <c r="Z313" s="13">
        <v>23.6</v>
      </c>
      <c r="AA313" s="13"/>
      <c r="AB313" s="13">
        <v>0</v>
      </c>
      <c r="AC313" s="13">
        <v>0</v>
      </c>
    </row>
    <row r="314" spans="1:29" s="8" customFormat="1" ht="15.75">
      <c r="A314" s="43" t="str">
        <f>IF(AND(H314=1,L314&gt;='Steel Angle Lintel Design'!$M$98,'AISC Angle Database'!N314&gt;='Steel Angle Lintel Design'!$M$96,'AISC Angle Database'!J314&gt;='Steel Angle Lintel Design'!$F$40,'AISC Angle Database'!J314&lt;='Steel Angle Lintel Design'!$F$41,'AISC Angle Database'!K314&gt;='Steel Angle Lintel Design'!$K$40,'AISC Angle Database'!K314&lt;='Steel Angle Lintel Design'!$K$41),1,"")</f>
        <v/>
      </c>
      <c r="B314" s="44">
        <f t="shared" si="20"/>
        <v>11</v>
      </c>
      <c r="C314" s="44">
        <f t="shared" si="21"/>
        <v>0</v>
      </c>
      <c r="D314" s="42" t="e">
        <f t="shared" ca="1" si="24"/>
        <v>#NAME?</v>
      </c>
      <c r="E314" s="44" t="e">
        <f t="shared" ca="1" si="22"/>
        <v>#NAME?</v>
      </c>
      <c r="F314" s="5" t="e">
        <f t="shared" ca="1" si="23"/>
        <v>#NAME?</v>
      </c>
      <c r="G314" s="15" t="s">
        <v>644</v>
      </c>
      <c r="H314" s="15">
        <f>IF('Steel Angle Lintel Design'!$AM$16=1,0,IF('Steel Angle Lintel Design'!$AM$16=2,1,1))</f>
        <v>1</v>
      </c>
      <c r="I314" s="19">
        <v>10.8</v>
      </c>
      <c r="J314" s="15">
        <v>3.5</v>
      </c>
      <c r="K314" s="15">
        <v>3</v>
      </c>
      <c r="L314" s="15">
        <v>2.61</v>
      </c>
      <c r="M314" s="15">
        <v>2.08</v>
      </c>
      <c r="N314" s="15">
        <v>1.17</v>
      </c>
      <c r="O314" s="13">
        <v>7.14</v>
      </c>
      <c r="P314" s="15">
        <v>0</v>
      </c>
      <c r="Q314" s="15">
        <v>0</v>
      </c>
      <c r="R314" s="13">
        <v>0.25</v>
      </c>
      <c r="S314" s="13">
        <v>2</v>
      </c>
      <c r="T314" s="13" t="str">
        <f>IF(S314=2,"Y",IF(J314/R314&lt;0.54*(SQRT(29000/'Steel Angle Lintel Design'!$H$31)),"Y","N"))</f>
        <v>Y</v>
      </c>
      <c r="U314" s="13" t="str">
        <f>IF(J314/R314&gt;0.91*(SQRT(29000/'Steel Angle Lintel Design'!$H$31)),"Y","N")</f>
        <v>N</v>
      </c>
      <c r="V314" s="13" t="s">
        <v>645</v>
      </c>
      <c r="W314" s="13"/>
      <c r="X314" s="13">
        <v>1.0900000000000001</v>
      </c>
      <c r="Y314" s="13">
        <v>34.1</v>
      </c>
      <c r="Z314" s="13">
        <v>19.2</v>
      </c>
      <c r="AA314" s="13"/>
      <c r="AB314" s="13">
        <v>0</v>
      </c>
      <c r="AC314" s="13">
        <v>0</v>
      </c>
    </row>
    <row r="315" spans="1:29" s="8" customFormat="1" ht="15.75">
      <c r="A315" s="43" t="str">
        <f>IF(AND(H315=1,L315&gt;='Steel Angle Lintel Design'!$M$98,'AISC Angle Database'!N315&gt;='Steel Angle Lintel Design'!$M$96,'AISC Angle Database'!J315&gt;='Steel Angle Lintel Design'!$F$40,'AISC Angle Database'!J315&lt;='Steel Angle Lintel Design'!$F$41,'AISC Angle Database'!K315&gt;='Steel Angle Lintel Design'!$K$40,'AISC Angle Database'!K315&lt;='Steel Angle Lintel Design'!$K$41),1,"")</f>
        <v/>
      </c>
      <c r="B315" s="44">
        <f t="shared" si="20"/>
        <v>11</v>
      </c>
      <c r="C315" s="44">
        <f t="shared" si="21"/>
        <v>0</v>
      </c>
      <c r="D315" s="42" t="e">
        <f t="shared" ca="1" si="24"/>
        <v>#NAME?</v>
      </c>
      <c r="E315" s="44" t="e">
        <f t="shared" ca="1" si="22"/>
        <v>#NAME?</v>
      </c>
      <c r="F315" s="5" t="e">
        <f t="shared" ca="1" si="23"/>
        <v>#NAME?</v>
      </c>
      <c r="G315" s="15" t="s">
        <v>646</v>
      </c>
      <c r="H315" s="15">
        <f>IF('Steel Angle Lintel Design'!$AM$16=1,0,IF('Steel Angle Lintel Design'!$AM$16=2,1,1))</f>
        <v>1</v>
      </c>
      <c r="I315" s="19">
        <v>18.8</v>
      </c>
      <c r="J315" s="15">
        <v>3.5</v>
      </c>
      <c r="K315" s="15">
        <v>2.5</v>
      </c>
      <c r="L315" s="15">
        <v>2.72</v>
      </c>
      <c r="M315" s="15">
        <v>2.78</v>
      </c>
      <c r="N315" s="15">
        <v>1.51</v>
      </c>
      <c r="O315" s="13">
        <v>14.5</v>
      </c>
      <c r="P315" s="15">
        <v>0</v>
      </c>
      <c r="Q315" s="15">
        <v>0</v>
      </c>
      <c r="R315" s="13">
        <v>0.5</v>
      </c>
      <c r="S315" s="13">
        <v>2</v>
      </c>
      <c r="T315" s="13" t="str">
        <f>IF(S315=2,"Y",IF(J315/R315&lt;0.54*(SQRT(29000/'Steel Angle Lintel Design'!$H$31)),"Y","N"))</f>
        <v>Y</v>
      </c>
      <c r="U315" s="13" t="str">
        <f>IF(J315/R315&gt;0.91*(SQRT(29000/'Steel Angle Lintel Design'!$H$31)),"Y","N")</f>
        <v>N</v>
      </c>
      <c r="V315" s="13" t="s">
        <v>647</v>
      </c>
      <c r="W315" s="13"/>
      <c r="X315" s="13">
        <v>1.1299999999999999</v>
      </c>
      <c r="Y315" s="13">
        <v>45.6</v>
      </c>
      <c r="Z315" s="13">
        <v>24.7</v>
      </c>
      <c r="AA315" s="13"/>
      <c r="AB315" s="13">
        <v>0</v>
      </c>
      <c r="AC315" s="13">
        <v>0</v>
      </c>
    </row>
    <row r="316" spans="1:29" s="8" customFormat="1" ht="15.75">
      <c r="A316" s="43" t="str">
        <f>IF(AND(H316=1,L316&gt;='Steel Angle Lintel Design'!$M$98,'AISC Angle Database'!N316&gt;='Steel Angle Lintel Design'!$M$96,'AISC Angle Database'!J316&gt;='Steel Angle Lintel Design'!$F$40,'AISC Angle Database'!J316&lt;='Steel Angle Lintel Design'!$F$41,'AISC Angle Database'!K316&gt;='Steel Angle Lintel Design'!$K$40,'AISC Angle Database'!K316&lt;='Steel Angle Lintel Design'!$K$41),1,"")</f>
        <v/>
      </c>
      <c r="B316" s="44">
        <f t="shared" si="20"/>
        <v>11</v>
      </c>
      <c r="C316" s="44">
        <f t="shared" si="21"/>
        <v>0</v>
      </c>
      <c r="D316" s="42" t="e">
        <f t="shared" ca="1" si="24"/>
        <v>#NAME?</v>
      </c>
      <c r="E316" s="44" t="e">
        <f t="shared" ca="1" si="22"/>
        <v>#NAME?</v>
      </c>
      <c r="F316" s="5" t="e">
        <f t="shared" ca="1" si="23"/>
        <v>#NAME?</v>
      </c>
      <c r="G316" s="15" t="s">
        <v>648</v>
      </c>
      <c r="H316" s="15">
        <f>IF('Steel Angle Lintel Design'!$AM$16=1,0,IF('Steel Angle Lintel Design'!$AM$16=2,1,1))</f>
        <v>1</v>
      </c>
      <c r="I316" s="19">
        <v>14.5</v>
      </c>
      <c r="J316" s="15">
        <v>3.5</v>
      </c>
      <c r="K316" s="15">
        <v>2.5</v>
      </c>
      <c r="L316" s="15">
        <v>2.17</v>
      </c>
      <c r="M316" s="15">
        <v>2.13</v>
      </c>
      <c r="N316" s="15">
        <v>1.18</v>
      </c>
      <c r="O316" s="13">
        <v>10.77</v>
      </c>
      <c r="P316" s="15">
        <v>0</v>
      </c>
      <c r="Q316" s="15">
        <v>0</v>
      </c>
      <c r="R316" s="13">
        <v>0.375</v>
      </c>
      <c r="S316" s="13">
        <v>2</v>
      </c>
      <c r="T316" s="13" t="str">
        <f>IF(S316=2,"Y",IF(J316/R316&lt;0.54*(SQRT(29000/'Steel Angle Lintel Design'!$H$31)),"Y","N"))</f>
        <v>Y</v>
      </c>
      <c r="U316" s="13" t="str">
        <f>IF(J316/R316&gt;0.91*(SQRT(29000/'Steel Angle Lintel Design'!$H$31)),"Y","N")</f>
        <v>N</v>
      </c>
      <c r="V316" s="13" t="s">
        <v>649</v>
      </c>
      <c r="W316" s="13"/>
      <c r="X316" s="13">
        <v>0.90300000000000002</v>
      </c>
      <c r="Y316" s="13">
        <v>34.9</v>
      </c>
      <c r="Z316" s="13">
        <v>19.3</v>
      </c>
      <c r="AA316" s="13"/>
      <c r="AB316" s="13">
        <v>0</v>
      </c>
      <c r="AC316" s="13">
        <v>0</v>
      </c>
    </row>
    <row r="317" spans="1:29" s="8" customFormat="1" ht="15.75">
      <c r="A317" s="43" t="str">
        <f>IF(AND(H317=1,L317&gt;='Steel Angle Lintel Design'!$M$98,'AISC Angle Database'!N317&gt;='Steel Angle Lintel Design'!$M$96,'AISC Angle Database'!J317&gt;='Steel Angle Lintel Design'!$F$40,'AISC Angle Database'!J317&lt;='Steel Angle Lintel Design'!$F$41,'AISC Angle Database'!K317&gt;='Steel Angle Lintel Design'!$K$40,'AISC Angle Database'!K317&lt;='Steel Angle Lintel Design'!$K$41),1,"")</f>
        <v/>
      </c>
      <c r="B317" s="44">
        <f t="shared" si="20"/>
        <v>11</v>
      </c>
      <c r="C317" s="44">
        <f t="shared" si="21"/>
        <v>0</v>
      </c>
      <c r="D317" s="42" t="e">
        <f t="shared" ca="1" si="24"/>
        <v>#NAME?</v>
      </c>
      <c r="E317" s="44" t="e">
        <f t="shared" ca="1" si="22"/>
        <v>#NAME?</v>
      </c>
      <c r="F317" s="5" t="e">
        <f t="shared" ca="1" si="23"/>
        <v>#NAME?</v>
      </c>
      <c r="G317" s="15" t="s">
        <v>650</v>
      </c>
      <c r="H317" s="15">
        <f>IF('Steel Angle Lintel Design'!$AM$16=1,0,IF('Steel Angle Lintel Design'!$AM$16=2,1,1))</f>
        <v>1</v>
      </c>
      <c r="I317" s="19">
        <v>12.2</v>
      </c>
      <c r="J317" s="15">
        <v>3.5</v>
      </c>
      <c r="K317" s="15">
        <v>2.5</v>
      </c>
      <c r="L317" s="15">
        <v>1.87</v>
      </c>
      <c r="M317" s="15">
        <v>1.8</v>
      </c>
      <c r="N317" s="15">
        <v>1</v>
      </c>
      <c r="O317" s="13">
        <v>8.9499999999999993</v>
      </c>
      <c r="P317" s="15">
        <v>0</v>
      </c>
      <c r="Q317" s="15">
        <v>0</v>
      </c>
      <c r="R317" s="13">
        <v>0.3125</v>
      </c>
      <c r="S317" s="13">
        <v>2</v>
      </c>
      <c r="T317" s="13" t="str">
        <f>IF(S317=2,"Y",IF(J317/R317&lt;0.54*(SQRT(29000/'Steel Angle Lintel Design'!$H$31)),"Y","N"))</f>
        <v>Y</v>
      </c>
      <c r="U317" s="13" t="str">
        <f>IF(J317/R317&gt;0.91*(SQRT(29000/'Steel Angle Lintel Design'!$H$31)),"Y","N")</f>
        <v>N</v>
      </c>
      <c r="V317" s="13" t="s">
        <v>651</v>
      </c>
      <c r="W317" s="13"/>
      <c r="X317" s="13">
        <v>0.77800000000000002</v>
      </c>
      <c r="Y317" s="13">
        <v>29.5</v>
      </c>
      <c r="Z317" s="13">
        <v>16.399999999999999</v>
      </c>
      <c r="AA317" s="13"/>
      <c r="AB317" s="13">
        <v>0</v>
      </c>
      <c r="AC317" s="13">
        <v>0</v>
      </c>
    </row>
    <row r="318" spans="1:29" s="8" customFormat="1" ht="15.75">
      <c r="A318" s="43" t="str">
        <f>IF(AND(H318=1,L318&gt;='Steel Angle Lintel Design'!$M$98,'AISC Angle Database'!N318&gt;='Steel Angle Lintel Design'!$M$96,'AISC Angle Database'!J318&gt;='Steel Angle Lintel Design'!$F$40,'AISC Angle Database'!J318&lt;='Steel Angle Lintel Design'!$F$41,'AISC Angle Database'!K318&gt;='Steel Angle Lintel Design'!$K$40,'AISC Angle Database'!K318&lt;='Steel Angle Lintel Design'!$K$41),1,"")</f>
        <v/>
      </c>
      <c r="B318" s="44">
        <f t="shared" si="20"/>
        <v>11</v>
      </c>
      <c r="C318" s="44">
        <f t="shared" si="21"/>
        <v>0</v>
      </c>
      <c r="D318" s="42" t="e">
        <f t="shared" ca="1" si="24"/>
        <v>#NAME?</v>
      </c>
      <c r="E318" s="44" t="e">
        <f t="shared" ca="1" si="22"/>
        <v>#NAME?</v>
      </c>
      <c r="F318" s="5" t="e">
        <f t="shared" ca="1" si="23"/>
        <v>#NAME?</v>
      </c>
      <c r="G318" s="15" t="s">
        <v>652</v>
      </c>
      <c r="H318" s="15">
        <f>IF('Steel Angle Lintel Design'!$AM$16=1,0,IF('Steel Angle Lintel Design'!$AM$16=2,1,1))</f>
        <v>1</v>
      </c>
      <c r="I318" s="19">
        <v>9.8699999999999992</v>
      </c>
      <c r="J318" s="15">
        <v>3.5</v>
      </c>
      <c r="K318" s="15">
        <v>2.5</v>
      </c>
      <c r="L318" s="15">
        <v>1.55</v>
      </c>
      <c r="M318" s="15">
        <v>1.46</v>
      </c>
      <c r="N318" s="15">
        <v>0.81899999999999995</v>
      </c>
      <c r="O318" s="13">
        <v>7.16</v>
      </c>
      <c r="P318" s="15">
        <v>0</v>
      </c>
      <c r="Q318" s="15">
        <v>0</v>
      </c>
      <c r="R318" s="13">
        <v>0.25</v>
      </c>
      <c r="S318" s="13">
        <v>2</v>
      </c>
      <c r="T318" s="13" t="str">
        <f>IF(S318=2,"Y",IF(J318/R318&lt;0.54*(SQRT(29000/'Steel Angle Lintel Design'!$H$31)),"Y","N"))</f>
        <v>Y</v>
      </c>
      <c r="U318" s="13" t="str">
        <f>IF(J318/R318&gt;0.91*(SQRT(29000/'Steel Angle Lintel Design'!$H$31)),"Y","N")</f>
        <v>N</v>
      </c>
      <c r="V318" s="13" t="s">
        <v>653</v>
      </c>
      <c r="W318" s="13"/>
      <c r="X318" s="13">
        <v>0.64500000000000002</v>
      </c>
      <c r="Y318" s="13">
        <v>23.9</v>
      </c>
      <c r="Z318" s="13">
        <v>13.4</v>
      </c>
      <c r="AA318" s="13"/>
      <c r="AB318" s="13">
        <v>0</v>
      </c>
      <c r="AC318" s="13">
        <v>0</v>
      </c>
    </row>
    <row r="319" spans="1:29" s="8" customFormat="1" ht="15.75">
      <c r="A319" s="43" t="str">
        <f>IF(AND(H319=1,L319&gt;='Steel Angle Lintel Design'!$M$98,'AISC Angle Database'!N319&gt;='Steel Angle Lintel Design'!$M$96,'AISC Angle Database'!J319&gt;='Steel Angle Lintel Design'!$F$40,'AISC Angle Database'!J319&lt;='Steel Angle Lintel Design'!$F$41,'AISC Angle Database'!K319&gt;='Steel Angle Lintel Design'!$K$40,'AISC Angle Database'!K319&lt;='Steel Angle Lintel Design'!$K$41),1,"")</f>
        <v/>
      </c>
      <c r="B319" s="44">
        <f t="shared" si="20"/>
        <v>11</v>
      </c>
      <c r="C319" s="44">
        <f t="shared" si="21"/>
        <v>0</v>
      </c>
      <c r="D319" s="42" t="e">
        <f t="shared" ca="1" si="24"/>
        <v>#NAME?</v>
      </c>
      <c r="E319" s="44" t="e">
        <f t="shared" ca="1" si="22"/>
        <v>#NAME?</v>
      </c>
      <c r="F319" s="5" t="e">
        <f t="shared" ca="1" si="23"/>
        <v>#NAME?</v>
      </c>
      <c r="G319" s="15" t="s">
        <v>654</v>
      </c>
      <c r="H319" s="15">
        <f>IF('Steel Angle Lintel Design'!$AM$16=1,0,IF('Steel Angle Lintel Design'!$AM$16=2,1,1))</f>
        <v>1</v>
      </c>
      <c r="I319" s="19">
        <v>17.100000000000001</v>
      </c>
      <c r="J319" s="15">
        <v>3</v>
      </c>
      <c r="K319" s="15">
        <v>2.5</v>
      </c>
      <c r="L319" s="15">
        <v>2.58</v>
      </c>
      <c r="M319" s="15">
        <v>2.68</v>
      </c>
      <c r="N319" s="15">
        <v>1.47</v>
      </c>
      <c r="O319" s="13">
        <v>9.16</v>
      </c>
      <c r="P319" s="15">
        <v>0</v>
      </c>
      <c r="Q319" s="15">
        <v>0</v>
      </c>
      <c r="R319" s="13">
        <v>0.5</v>
      </c>
      <c r="S319" s="13">
        <v>2</v>
      </c>
      <c r="T319" s="13" t="str">
        <f>IF(S319=2,"Y",IF(J319/R319&lt;0.54*(SQRT(29000/'Steel Angle Lintel Design'!$H$31)),"Y","N"))</f>
        <v>Y</v>
      </c>
      <c r="U319" s="13" t="str">
        <f>IF(J319/R319&gt;0.91*(SQRT(29000/'Steel Angle Lintel Design'!$H$31)),"Y","N")</f>
        <v>N</v>
      </c>
      <c r="V319" s="13" t="s">
        <v>655</v>
      </c>
      <c r="W319" s="13"/>
      <c r="X319" s="13">
        <v>1.07</v>
      </c>
      <c r="Y319" s="13">
        <v>43.9</v>
      </c>
      <c r="Z319" s="13">
        <v>24.1</v>
      </c>
      <c r="AA319" s="13"/>
      <c r="AB319" s="13">
        <v>0</v>
      </c>
      <c r="AC319" s="13">
        <v>0</v>
      </c>
    </row>
    <row r="320" spans="1:29" s="8" customFormat="1" ht="15.75">
      <c r="A320" s="43" t="str">
        <f>IF(AND(H320=1,L320&gt;='Steel Angle Lintel Design'!$M$98,'AISC Angle Database'!N320&gt;='Steel Angle Lintel Design'!$M$96,'AISC Angle Database'!J320&gt;='Steel Angle Lintel Design'!$F$40,'AISC Angle Database'!J320&lt;='Steel Angle Lintel Design'!$F$41,'AISC Angle Database'!K320&gt;='Steel Angle Lintel Design'!$K$40,'AISC Angle Database'!K320&lt;='Steel Angle Lintel Design'!$K$41),1,"")</f>
        <v/>
      </c>
      <c r="B320" s="44">
        <f t="shared" si="20"/>
        <v>11</v>
      </c>
      <c r="C320" s="44">
        <f t="shared" si="21"/>
        <v>0</v>
      </c>
      <c r="D320" s="42" t="e">
        <f t="shared" ca="1" si="24"/>
        <v>#NAME?</v>
      </c>
      <c r="E320" s="44" t="e">
        <f t="shared" ca="1" si="22"/>
        <v>#NAME?</v>
      </c>
      <c r="F320" s="5" t="e">
        <f t="shared" ca="1" si="23"/>
        <v>#NAME?</v>
      </c>
      <c r="G320" s="15" t="s">
        <v>656</v>
      </c>
      <c r="H320" s="15">
        <f>IF('Steel Angle Lintel Design'!$AM$16=1,0,IF('Steel Angle Lintel Design'!$AM$16=2,1,1))</f>
        <v>1</v>
      </c>
      <c r="I320" s="19">
        <v>15.1</v>
      </c>
      <c r="J320" s="15">
        <v>3</v>
      </c>
      <c r="K320" s="15">
        <v>2.5</v>
      </c>
      <c r="L320" s="15">
        <v>2.33</v>
      </c>
      <c r="M320" s="15">
        <v>2.38</v>
      </c>
      <c r="N320" s="15">
        <v>1.31</v>
      </c>
      <c r="O320" s="13">
        <v>7.97</v>
      </c>
      <c r="P320" s="15">
        <v>0</v>
      </c>
      <c r="Q320" s="15">
        <v>0</v>
      </c>
      <c r="R320" s="13">
        <v>0.4375</v>
      </c>
      <c r="S320" s="13">
        <v>2</v>
      </c>
      <c r="T320" s="13" t="str">
        <f>IF(S320=2,"Y",IF(J320/R320&lt;0.54*(SQRT(29000/'Steel Angle Lintel Design'!$H$31)),"Y","N"))</f>
        <v>Y</v>
      </c>
      <c r="U320" s="13" t="str">
        <f>IF(J320/R320&gt;0.91*(SQRT(29000/'Steel Angle Lintel Design'!$H$31)),"Y","N")</f>
        <v>N</v>
      </c>
      <c r="V320" s="13" t="s">
        <v>657</v>
      </c>
      <c r="W320" s="13"/>
      <c r="X320" s="13">
        <v>0.97</v>
      </c>
      <c r="Y320" s="13">
        <v>39</v>
      </c>
      <c r="Z320" s="13">
        <v>21.5</v>
      </c>
      <c r="AA320" s="13"/>
      <c r="AB320" s="13">
        <v>0</v>
      </c>
      <c r="AC320" s="13">
        <v>0</v>
      </c>
    </row>
    <row r="321" spans="1:29" s="8" customFormat="1" ht="15.75">
      <c r="A321" s="43" t="str">
        <f>IF(AND(H321=1,L321&gt;='Steel Angle Lintel Design'!$M$98,'AISC Angle Database'!N321&gt;='Steel Angle Lintel Design'!$M$96,'AISC Angle Database'!J321&gt;='Steel Angle Lintel Design'!$F$40,'AISC Angle Database'!J321&lt;='Steel Angle Lintel Design'!$F$41,'AISC Angle Database'!K321&gt;='Steel Angle Lintel Design'!$K$40,'AISC Angle Database'!K321&lt;='Steel Angle Lintel Design'!$K$41),1,"")</f>
        <v/>
      </c>
      <c r="B321" s="44">
        <f t="shared" si="20"/>
        <v>11</v>
      </c>
      <c r="C321" s="44">
        <f t="shared" si="21"/>
        <v>0</v>
      </c>
      <c r="D321" s="42" t="e">
        <f t="shared" ca="1" si="24"/>
        <v>#NAME?</v>
      </c>
      <c r="E321" s="44" t="e">
        <f t="shared" ca="1" si="22"/>
        <v>#NAME?</v>
      </c>
      <c r="F321" s="5" t="e">
        <f t="shared" ca="1" si="23"/>
        <v>#NAME?</v>
      </c>
      <c r="G321" s="15" t="s">
        <v>658</v>
      </c>
      <c r="H321" s="15">
        <f>IF('Steel Angle Lintel Design'!$AM$16=1,0,IF('Steel Angle Lintel Design'!$AM$16=2,1,1))</f>
        <v>1</v>
      </c>
      <c r="I321" s="19">
        <v>13.11</v>
      </c>
      <c r="J321" s="15">
        <v>3</v>
      </c>
      <c r="K321" s="15">
        <v>2.5</v>
      </c>
      <c r="L321" s="15">
        <v>2.06</v>
      </c>
      <c r="M321" s="15">
        <v>2.0699999999999998</v>
      </c>
      <c r="N321" s="15">
        <v>1.1499999999999999</v>
      </c>
      <c r="O321" s="13">
        <v>6.71</v>
      </c>
      <c r="P321" s="15">
        <v>0</v>
      </c>
      <c r="Q321" s="15">
        <v>0</v>
      </c>
      <c r="R321" s="13">
        <v>0.375</v>
      </c>
      <c r="S321" s="13">
        <v>2</v>
      </c>
      <c r="T321" s="13" t="str">
        <f>IF(S321=2,"Y",IF(J321/R321&lt;0.54*(SQRT(29000/'Steel Angle Lintel Design'!$H$31)),"Y","N"))</f>
        <v>Y</v>
      </c>
      <c r="U321" s="13" t="str">
        <f>IF(J321/R321&gt;0.91*(SQRT(29000/'Steel Angle Lintel Design'!$H$31)),"Y","N")</f>
        <v>N</v>
      </c>
      <c r="V321" s="13" t="s">
        <v>659</v>
      </c>
      <c r="W321" s="13"/>
      <c r="X321" s="13">
        <v>0.85699999999999998</v>
      </c>
      <c r="Y321" s="13">
        <v>33.9</v>
      </c>
      <c r="Z321" s="13">
        <v>18.8</v>
      </c>
      <c r="AA321" s="13"/>
      <c r="AB321" s="13">
        <v>0</v>
      </c>
      <c r="AC321" s="13">
        <v>0</v>
      </c>
    </row>
    <row r="322" spans="1:29" s="8" customFormat="1" ht="15.75">
      <c r="A322" s="43" t="str">
        <f>IF(AND(H322=1,L322&gt;='Steel Angle Lintel Design'!$M$98,'AISC Angle Database'!N322&gt;='Steel Angle Lintel Design'!$M$96,'AISC Angle Database'!J322&gt;='Steel Angle Lintel Design'!$F$40,'AISC Angle Database'!J322&lt;='Steel Angle Lintel Design'!$F$41,'AISC Angle Database'!K322&gt;='Steel Angle Lintel Design'!$K$40,'AISC Angle Database'!K322&lt;='Steel Angle Lintel Design'!$K$41),1,"")</f>
        <v/>
      </c>
      <c r="B322" s="44">
        <f t="shared" si="20"/>
        <v>11</v>
      </c>
      <c r="C322" s="44">
        <f t="shared" si="21"/>
        <v>0</v>
      </c>
      <c r="D322" s="42" t="e">
        <f t="shared" ca="1" si="24"/>
        <v>#NAME?</v>
      </c>
      <c r="E322" s="44" t="e">
        <f t="shared" ca="1" si="22"/>
        <v>#NAME?</v>
      </c>
      <c r="F322" s="5" t="e">
        <f t="shared" ca="1" si="23"/>
        <v>#NAME?</v>
      </c>
      <c r="G322" s="15" t="s">
        <v>660</v>
      </c>
      <c r="H322" s="15">
        <f>IF('Steel Angle Lintel Design'!$AM$16=1,0,IF('Steel Angle Lintel Design'!$AM$16=2,1,1))</f>
        <v>1</v>
      </c>
      <c r="I322" s="19">
        <v>11.1</v>
      </c>
      <c r="J322" s="15">
        <v>3</v>
      </c>
      <c r="K322" s="15">
        <v>2.5</v>
      </c>
      <c r="L322" s="15">
        <v>1.78</v>
      </c>
      <c r="M322" s="15">
        <v>1.75</v>
      </c>
      <c r="N322" s="15">
        <v>0.97399999999999998</v>
      </c>
      <c r="O322" s="13">
        <v>5.6</v>
      </c>
      <c r="P322" s="15">
        <v>0</v>
      </c>
      <c r="Q322" s="15">
        <v>0</v>
      </c>
      <c r="R322" s="13">
        <v>0.3125</v>
      </c>
      <c r="S322" s="13">
        <v>2</v>
      </c>
      <c r="T322" s="13" t="str">
        <f>IF(S322=2,"Y",IF(J322/R322&lt;0.54*(SQRT(29000/'Steel Angle Lintel Design'!$H$31)),"Y","N"))</f>
        <v>Y</v>
      </c>
      <c r="U322" s="13" t="str">
        <f>IF(J322/R322&gt;0.91*(SQRT(29000/'Steel Angle Lintel Design'!$H$31)),"Y","N")</f>
        <v>N</v>
      </c>
      <c r="V322" s="13" t="s">
        <v>661</v>
      </c>
      <c r="W322" s="13"/>
      <c r="X322" s="13">
        <v>0.74099999999999999</v>
      </c>
      <c r="Y322" s="13">
        <v>28.7</v>
      </c>
      <c r="Z322" s="13">
        <v>16</v>
      </c>
      <c r="AA322" s="13"/>
      <c r="AB322" s="13">
        <v>0</v>
      </c>
      <c r="AC322" s="13">
        <v>0</v>
      </c>
    </row>
    <row r="323" spans="1:29" s="8" customFormat="1" ht="15.75">
      <c r="A323" s="43" t="str">
        <f>IF(AND(H323=1,L323&gt;='Steel Angle Lintel Design'!$M$98,'AISC Angle Database'!N323&gt;='Steel Angle Lintel Design'!$M$96,'AISC Angle Database'!J323&gt;='Steel Angle Lintel Design'!$F$40,'AISC Angle Database'!J323&lt;='Steel Angle Lintel Design'!$F$41,'AISC Angle Database'!K323&gt;='Steel Angle Lintel Design'!$K$40,'AISC Angle Database'!K323&lt;='Steel Angle Lintel Design'!$K$41),1,"")</f>
        <v/>
      </c>
      <c r="B323" s="44">
        <f t="shared" si="20"/>
        <v>11</v>
      </c>
      <c r="C323" s="44">
        <f t="shared" si="21"/>
        <v>0</v>
      </c>
      <c r="D323" s="42" t="e">
        <f t="shared" ca="1" si="24"/>
        <v>#NAME?</v>
      </c>
      <c r="E323" s="44" t="e">
        <f t="shared" ca="1" si="22"/>
        <v>#NAME?</v>
      </c>
      <c r="F323" s="5" t="e">
        <f t="shared" ca="1" si="23"/>
        <v>#NAME?</v>
      </c>
      <c r="G323" s="15" t="s">
        <v>662</v>
      </c>
      <c r="H323" s="15">
        <f>IF('Steel Angle Lintel Design'!$AM$16=1,0,IF('Steel Angle Lintel Design'!$AM$16=2,1,1))</f>
        <v>1</v>
      </c>
      <c r="I323" s="19">
        <v>8.98</v>
      </c>
      <c r="J323" s="15">
        <v>3</v>
      </c>
      <c r="K323" s="15">
        <v>2.5</v>
      </c>
      <c r="L323" s="15">
        <v>1.47</v>
      </c>
      <c r="M323" s="15">
        <v>1.41</v>
      </c>
      <c r="N323" s="15">
        <v>0.79400000000000004</v>
      </c>
      <c r="O323" s="13">
        <v>4.45</v>
      </c>
      <c r="P323" s="15">
        <v>0</v>
      </c>
      <c r="Q323" s="15">
        <v>0</v>
      </c>
      <c r="R323" s="13">
        <v>0.25</v>
      </c>
      <c r="S323" s="13">
        <v>2</v>
      </c>
      <c r="T323" s="13" t="str">
        <f>IF(S323=2,"Y",IF(J323/R323&lt;0.54*(SQRT(29000/'Steel Angle Lintel Design'!$H$31)),"Y","N"))</f>
        <v>Y</v>
      </c>
      <c r="U323" s="13" t="str">
        <f>IF(J323/R323&gt;0.91*(SQRT(29000/'Steel Angle Lintel Design'!$H$31)),"Y","N")</f>
        <v>N</v>
      </c>
      <c r="V323" s="13" t="s">
        <v>663</v>
      </c>
      <c r="W323" s="13"/>
      <c r="X323" s="13">
        <v>0.61199999999999999</v>
      </c>
      <c r="Y323" s="13">
        <v>23.1</v>
      </c>
      <c r="Z323" s="13">
        <v>13</v>
      </c>
      <c r="AA323" s="13"/>
      <c r="AB323" s="13">
        <v>0</v>
      </c>
      <c r="AC323" s="13">
        <v>0</v>
      </c>
    </row>
    <row r="324" spans="1:29" s="8" customFormat="1" ht="15.75">
      <c r="A324" s="43" t="str">
        <f>IF(AND(H324=1,L324&gt;='Steel Angle Lintel Design'!$M$98,'AISC Angle Database'!N324&gt;='Steel Angle Lintel Design'!$M$96,'AISC Angle Database'!J324&gt;='Steel Angle Lintel Design'!$F$40,'AISC Angle Database'!J324&lt;='Steel Angle Lintel Design'!$F$41,'AISC Angle Database'!K324&gt;='Steel Angle Lintel Design'!$K$40,'AISC Angle Database'!K324&lt;='Steel Angle Lintel Design'!$K$41),1,"")</f>
        <v/>
      </c>
      <c r="B324" s="44">
        <f t="shared" si="20"/>
        <v>11</v>
      </c>
      <c r="C324" s="44">
        <f t="shared" si="21"/>
        <v>0</v>
      </c>
      <c r="D324" s="42" t="e">
        <f t="shared" ca="1" si="24"/>
        <v>#NAME?</v>
      </c>
      <c r="E324" s="44" t="e">
        <f t="shared" ca="1" si="22"/>
        <v>#NAME?</v>
      </c>
      <c r="F324" s="5" t="e">
        <f t="shared" ca="1" si="23"/>
        <v>#NAME?</v>
      </c>
      <c r="G324" s="15" t="s">
        <v>664</v>
      </c>
      <c r="H324" s="15">
        <f>IF('Steel Angle Lintel Design'!$AM$16=1,0,IF('Steel Angle Lintel Design'!$AM$16=2,1,1))</f>
        <v>1</v>
      </c>
      <c r="I324" s="19">
        <v>6.83</v>
      </c>
      <c r="J324" s="15">
        <v>3</v>
      </c>
      <c r="K324" s="15">
        <v>2.5</v>
      </c>
      <c r="L324" s="15">
        <v>1.1399999999999999</v>
      </c>
      <c r="M324" s="15">
        <v>1.07</v>
      </c>
      <c r="N324" s="15">
        <v>0.60599999999999998</v>
      </c>
      <c r="O324" s="13">
        <v>3.34</v>
      </c>
      <c r="P324" s="15">
        <v>0</v>
      </c>
      <c r="Q324" s="15">
        <v>0</v>
      </c>
      <c r="R324" s="13">
        <v>0.1875</v>
      </c>
      <c r="S324" s="13">
        <v>2</v>
      </c>
      <c r="T324" s="13" t="str">
        <f>IF(S324=2,"Y",IF(J324/R324&lt;0.54*(SQRT(29000/'Steel Angle Lintel Design'!$H$31)),"Y","N"))</f>
        <v>Y</v>
      </c>
      <c r="U324" s="13" t="str">
        <f>IF(J324/R324&gt;0.91*(SQRT(29000/'Steel Angle Lintel Design'!$H$31)),"Y","N")</f>
        <v>N</v>
      </c>
      <c r="V324" s="13" t="s">
        <v>665</v>
      </c>
      <c r="W324" s="13"/>
      <c r="X324" s="13">
        <v>0.47499999999999998</v>
      </c>
      <c r="Y324" s="13">
        <v>17.5</v>
      </c>
      <c r="Z324" s="13">
        <v>9.93</v>
      </c>
      <c r="AA324" s="13"/>
      <c r="AB324" s="13">
        <v>0</v>
      </c>
      <c r="AC324" s="13">
        <v>0</v>
      </c>
    </row>
    <row r="325" spans="1:29" s="8" customFormat="1" ht="15.75">
      <c r="A325" s="43" t="str">
        <f>IF(AND(H325=1,L325&gt;='Steel Angle Lintel Design'!$M$98,'AISC Angle Database'!N325&gt;='Steel Angle Lintel Design'!$M$96,'AISC Angle Database'!J325&gt;='Steel Angle Lintel Design'!$F$40,'AISC Angle Database'!J325&lt;='Steel Angle Lintel Design'!$F$41,'AISC Angle Database'!K325&gt;='Steel Angle Lintel Design'!$K$40,'AISC Angle Database'!K325&lt;='Steel Angle Lintel Design'!$K$41),1,"")</f>
        <v/>
      </c>
      <c r="B325" s="44">
        <f t="shared" si="20"/>
        <v>11</v>
      </c>
      <c r="C325" s="44">
        <f t="shared" si="21"/>
        <v>0</v>
      </c>
      <c r="D325" s="42" t="e">
        <f t="shared" ca="1" si="24"/>
        <v>#NAME?</v>
      </c>
      <c r="E325" s="44" t="e">
        <f t="shared" ca="1" si="22"/>
        <v>#NAME?</v>
      </c>
      <c r="F325" s="5" t="e">
        <f t="shared" ca="1" si="23"/>
        <v>#NAME?</v>
      </c>
      <c r="G325" s="15" t="s">
        <v>666</v>
      </c>
      <c r="H325" s="15">
        <f>IF('Steel Angle Lintel Design'!$AM$16=1,0,IF('Steel Angle Lintel Design'!$AM$16=2,1,1))</f>
        <v>1</v>
      </c>
      <c r="I325" s="19">
        <v>15.39</v>
      </c>
      <c r="J325" s="15">
        <v>3</v>
      </c>
      <c r="K325" s="15">
        <v>2</v>
      </c>
      <c r="L325" s="15">
        <v>1.33</v>
      </c>
      <c r="M325" s="15">
        <v>1.77</v>
      </c>
      <c r="N325" s="15">
        <v>0.94</v>
      </c>
      <c r="O325" s="13">
        <v>9.1300000000000008</v>
      </c>
      <c r="P325" s="15">
        <v>0</v>
      </c>
      <c r="Q325" s="15">
        <v>0</v>
      </c>
      <c r="R325" s="13">
        <v>0.5</v>
      </c>
      <c r="S325" s="13">
        <v>2</v>
      </c>
      <c r="T325" s="13" t="str">
        <f>IF(S325=2,"Y",IF(J325/R325&lt;0.54*(SQRT(29000/'Steel Angle Lintel Design'!$H$31)),"Y","N"))</f>
        <v>Y</v>
      </c>
      <c r="U325" s="13" t="str">
        <f>IF(J325/R325&gt;0.91*(SQRT(29000/'Steel Angle Lintel Design'!$H$31)),"Y","N")</f>
        <v>N</v>
      </c>
      <c r="V325" s="13" t="s">
        <v>667</v>
      </c>
      <c r="W325" s="13"/>
      <c r="X325" s="13">
        <v>0.55400000000000005</v>
      </c>
      <c r="Y325" s="13">
        <v>29</v>
      </c>
      <c r="Z325" s="13">
        <v>15.4</v>
      </c>
      <c r="AA325" s="13"/>
      <c r="AB325" s="13">
        <v>0</v>
      </c>
      <c r="AC325" s="13">
        <v>0</v>
      </c>
    </row>
    <row r="326" spans="1:29" s="8" customFormat="1" ht="15.75">
      <c r="A326" s="43" t="str">
        <f>IF(AND(H326=1,L326&gt;='Steel Angle Lintel Design'!$M$98,'AISC Angle Database'!N326&gt;='Steel Angle Lintel Design'!$M$96,'AISC Angle Database'!J326&gt;='Steel Angle Lintel Design'!$F$40,'AISC Angle Database'!J326&lt;='Steel Angle Lintel Design'!$F$41,'AISC Angle Database'!K326&gt;='Steel Angle Lintel Design'!$K$40,'AISC Angle Database'!K326&lt;='Steel Angle Lintel Design'!$K$41),1,"")</f>
        <v/>
      </c>
      <c r="B326" s="44">
        <f t="shared" ref="B326:B333" si="25">IF(A326=1,B325+1,B325)</f>
        <v>11</v>
      </c>
      <c r="C326" s="44">
        <f t="shared" ref="C326:C333" si="26">IF(A326=1,I326,0)</f>
        <v>0</v>
      </c>
      <c r="D326" s="42" t="e">
        <f t="shared" ca="1" si="24"/>
        <v>#NAME?</v>
      </c>
      <c r="E326" s="44" t="e">
        <f t="shared" ref="E326:E333" ca="1" si="27">D326-D$335</f>
        <v>#NAME?</v>
      </c>
      <c r="F326" s="5" t="e">
        <f t="shared" ref="F326:F333" ca="1" si="28">E326*-1</f>
        <v>#NAME?</v>
      </c>
      <c r="G326" s="15" t="s">
        <v>668</v>
      </c>
      <c r="H326" s="15">
        <f>IF('Steel Angle Lintel Design'!$AM$16=1,0,IF('Steel Angle Lintel Design'!$AM$16=2,1,1))</f>
        <v>1</v>
      </c>
      <c r="I326" s="19">
        <v>11.91</v>
      </c>
      <c r="J326" s="15">
        <v>3</v>
      </c>
      <c r="K326" s="15">
        <v>2</v>
      </c>
      <c r="L326" s="15">
        <v>1.08</v>
      </c>
      <c r="M326" s="15">
        <v>1.36</v>
      </c>
      <c r="N326" s="15">
        <v>0.73599999999999999</v>
      </c>
      <c r="O326" s="13">
        <v>6.76</v>
      </c>
      <c r="P326" s="15">
        <v>0</v>
      </c>
      <c r="Q326" s="15">
        <v>0</v>
      </c>
      <c r="R326" s="13">
        <v>0.375</v>
      </c>
      <c r="S326" s="13">
        <v>2</v>
      </c>
      <c r="T326" s="13" t="str">
        <f>IF(S326=2,"Y",IF(J326/R326&lt;0.54*(SQRT(29000/'Steel Angle Lintel Design'!$H$31)),"Y","N"))</f>
        <v>Y</v>
      </c>
      <c r="U326" s="13" t="str">
        <f>IF(J326/R326&gt;0.91*(SQRT(29000/'Steel Angle Lintel Design'!$H$31)),"Y","N")</f>
        <v>N</v>
      </c>
      <c r="V326" s="13" t="s">
        <v>669</v>
      </c>
      <c r="W326" s="13"/>
      <c r="X326" s="13">
        <v>0.45</v>
      </c>
      <c r="Y326" s="13">
        <v>22.3</v>
      </c>
      <c r="Z326" s="13">
        <v>12.1</v>
      </c>
      <c r="AA326" s="13"/>
      <c r="AB326" s="13">
        <v>0</v>
      </c>
      <c r="AC326" s="13">
        <v>0</v>
      </c>
    </row>
    <row r="327" spans="1:29" s="8" customFormat="1" ht="15.75">
      <c r="A327" s="43" t="str">
        <f>IF(AND(H327=1,L327&gt;='Steel Angle Lintel Design'!$M$98,'AISC Angle Database'!N327&gt;='Steel Angle Lintel Design'!$M$96,'AISC Angle Database'!J327&gt;='Steel Angle Lintel Design'!$F$40,'AISC Angle Database'!J327&lt;='Steel Angle Lintel Design'!$F$41,'AISC Angle Database'!K327&gt;='Steel Angle Lintel Design'!$K$40,'AISC Angle Database'!K327&lt;='Steel Angle Lintel Design'!$K$41),1,"")</f>
        <v/>
      </c>
      <c r="B327" s="44">
        <f t="shared" si="25"/>
        <v>11</v>
      </c>
      <c r="C327" s="44">
        <f t="shared" si="26"/>
        <v>0</v>
      </c>
      <c r="D327" s="42" t="e">
        <f t="shared" ref="D327:D333" ca="1" si="29">_xlfn.RANK.EQ(C327,$C$6:$C$333)</f>
        <v>#NAME?</v>
      </c>
      <c r="E327" s="44" t="e">
        <f t="shared" ca="1" si="27"/>
        <v>#NAME?</v>
      </c>
      <c r="F327" s="5" t="e">
        <f t="shared" ca="1" si="28"/>
        <v>#NAME?</v>
      </c>
      <c r="G327" s="15" t="s">
        <v>670</v>
      </c>
      <c r="H327" s="15">
        <f>IF('Steel Angle Lintel Design'!$AM$16=1,0,IF('Steel Angle Lintel Design'!$AM$16=2,1,1))</f>
        <v>1</v>
      </c>
      <c r="I327" s="19">
        <v>10.09</v>
      </c>
      <c r="J327" s="15">
        <v>3</v>
      </c>
      <c r="K327" s="15">
        <v>2</v>
      </c>
      <c r="L327" s="15">
        <v>0.93500000000000005</v>
      </c>
      <c r="M327" s="15">
        <v>1.1399999999999999</v>
      </c>
      <c r="N327" s="15">
        <v>0.628</v>
      </c>
      <c r="O327" s="13">
        <v>5.65</v>
      </c>
      <c r="P327" s="15">
        <v>0</v>
      </c>
      <c r="Q327" s="15">
        <v>0</v>
      </c>
      <c r="R327" s="13">
        <v>0.3125</v>
      </c>
      <c r="S327" s="13">
        <v>2</v>
      </c>
      <c r="T327" s="13" t="str">
        <f>IF(S327=2,"Y",IF(J327/R327&lt;0.54*(SQRT(29000/'Steel Angle Lintel Design'!$H$31)),"Y","N"))</f>
        <v>Y</v>
      </c>
      <c r="U327" s="13" t="str">
        <f>IF(J327/R327&gt;0.91*(SQRT(29000/'Steel Angle Lintel Design'!$H$31)),"Y","N")</f>
        <v>N</v>
      </c>
      <c r="V327" s="13" t="s">
        <v>671</v>
      </c>
      <c r="W327" s="13"/>
      <c r="X327" s="13">
        <v>0.38900000000000001</v>
      </c>
      <c r="Y327" s="13">
        <v>18.7</v>
      </c>
      <c r="Z327" s="13">
        <v>10.3</v>
      </c>
      <c r="AA327" s="13"/>
      <c r="AB327" s="13">
        <v>0</v>
      </c>
      <c r="AC327" s="13">
        <v>0</v>
      </c>
    </row>
    <row r="328" spans="1:29" s="8" customFormat="1" ht="15.75">
      <c r="A328" s="43" t="str">
        <f>IF(AND(H328=1,L328&gt;='Steel Angle Lintel Design'!$M$98,'AISC Angle Database'!N328&gt;='Steel Angle Lintel Design'!$M$96,'AISC Angle Database'!J328&gt;='Steel Angle Lintel Design'!$F$40,'AISC Angle Database'!J328&lt;='Steel Angle Lintel Design'!$F$41,'AISC Angle Database'!K328&gt;='Steel Angle Lintel Design'!$K$40,'AISC Angle Database'!K328&lt;='Steel Angle Lintel Design'!$K$41),1,"")</f>
        <v/>
      </c>
      <c r="B328" s="44">
        <f t="shared" si="25"/>
        <v>11</v>
      </c>
      <c r="C328" s="44">
        <f t="shared" si="26"/>
        <v>0</v>
      </c>
      <c r="D328" s="42" t="e">
        <f t="shared" ca="1" si="29"/>
        <v>#NAME?</v>
      </c>
      <c r="E328" s="44" t="e">
        <f t="shared" ca="1" si="27"/>
        <v>#NAME?</v>
      </c>
      <c r="F328" s="5" t="e">
        <f t="shared" ca="1" si="28"/>
        <v>#NAME?</v>
      </c>
      <c r="G328" s="15" t="s">
        <v>672</v>
      </c>
      <c r="H328" s="15">
        <f>IF('Steel Angle Lintel Design'!$AM$16=1,0,IF('Steel Angle Lintel Design'!$AM$16=2,1,1))</f>
        <v>1</v>
      </c>
      <c r="I328" s="19">
        <v>8.19</v>
      </c>
      <c r="J328" s="15">
        <v>3</v>
      </c>
      <c r="K328" s="15">
        <v>2</v>
      </c>
      <c r="L328" s="15">
        <v>0.77900000000000003</v>
      </c>
      <c r="M328" s="15">
        <v>0.92600000000000005</v>
      </c>
      <c r="N328" s="15">
        <v>0.51500000000000001</v>
      </c>
      <c r="O328" s="13">
        <v>4.51</v>
      </c>
      <c r="P328" s="15">
        <v>0</v>
      </c>
      <c r="Q328" s="15">
        <v>0</v>
      </c>
      <c r="R328" s="13">
        <v>0.25</v>
      </c>
      <c r="S328" s="13">
        <v>2</v>
      </c>
      <c r="T328" s="13" t="str">
        <f>IF(S328=2,"Y",IF(J328/R328&lt;0.54*(SQRT(29000/'Steel Angle Lintel Design'!$H$31)),"Y","N"))</f>
        <v>Y</v>
      </c>
      <c r="U328" s="13" t="str">
        <f>IF(J328/R328&gt;0.91*(SQRT(29000/'Steel Angle Lintel Design'!$H$31)),"Y","N")</f>
        <v>N</v>
      </c>
      <c r="V328" s="13" t="s">
        <v>673</v>
      </c>
      <c r="W328" s="13"/>
      <c r="X328" s="13">
        <v>0.32400000000000001</v>
      </c>
      <c r="Y328" s="13">
        <v>15.2</v>
      </c>
      <c r="Z328" s="13">
        <v>8.44</v>
      </c>
      <c r="AA328" s="13"/>
      <c r="AB328" s="13">
        <v>0</v>
      </c>
      <c r="AC328" s="13">
        <v>0</v>
      </c>
    </row>
    <row r="329" spans="1:29" s="8" customFormat="1" ht="15.75">
      <c r="A329" s="43" t="str">
        <f>IF(AND(H329=1,L329&gt;='Steel Angle Lintel Design'!$M$98,'AISC Angle Database'!N329&gt;='Steel Angle Lintel Design'!$M$96,'AISC Angle Database'!J329&gt;='Steel Angle Lintel Design'!$F$40,'AISC Angle Database'!J329&lt;='Steel Angle Lintel Design'!$F$41,'AISC Angle Database'!K329&gt;='Steel Angle Lintel Design'!$K$40,'AISC Angle Database'!K329&lt;='Steel Angle Lintel Design'!$K$41),1,"")</f>
        <v/>
      </c>
      <c r="B329" s="44">
        <f t="shared" si="25"/>
        <v>11</v>
      </c>
      <c r="C329" s="44">
        <f t="shared" si="26"/>
        <v>0</v>
      </c>
      <c r="D329" s="42" t="e">
        <f t="shared" ca="1" si="29"/>
        <v>#NAME?</v>
      </c>
      <c r="E329" s="44" t="e">
        <f t="shared" ca="1" si="27"/>
        <v>#NAME?</v>
      </c>
      <c r="F329" s="5" t="e">
        <f t="shared" ca="1" si="28"/>
        <v>#NAME?</v>
      </c>
      <c r="G329" s="15" t="s">
        <v>674</v>
      </c>
      <c r="H329" s="15">
        <f>IF('Steel Angle Lintel Design'!$AM$16=1,0,IF('Steel Angle Lintel Design'!$AM$16=2,1,1))</f>
        <v>1</v>
      </c>
      <c r="I329" s="19">
        <v>6.24</v>
      </c>
      <c r="J329" s="15">
        <v>3</v>
      </c>
      <c r="K329" s="15">
        <v>2</v>
      </c>
      <c r="L329" s="15">
        <v>0.61</v>
      </c>
      <c r="M329" s="15">
        <v>0.70299999999999996</v>
      </c>
      <c r="N329" s="15">
        <v>0.39600000000000002</v>
      </c>
      <c r="O329" s="13">
        <v>3.34</v>
      </c>
      <c r="P329" s="15">
        <v>0</v>
      </c>
      <c r="Q329" s="15">
        <v>0</v>
      </c>
      <c r="R329" s="13">
        <v>0.1875</v>
      </c>
      <c r="S329" s="13">
        <v>2</v>
      </c>
      <c r="T329" s="13" t="str">
        <f>IF(S329=2,"Y",IF(J329/R329&lt;0.54*(SQRT(29000/'Steel Angle Lintel Design'!$H$31)),"Y","N"))</f>
        <v>Y</v>
      </c>
      <c r="U329" s="13" t="str">
        <f>IF(J329/R329&gt;0.91*(SQRT(29000/'Steel Angle Lintel Design'!$H$31)),"Y","N")</f>
        <v>N</v>
      </c>
      <c r="V329" s="13" t="s">
        <v>675</v>
      </c>
      <c r="W329" s="13"/>
      <c r="X329" s="13">
        <v>0.254</v>
      </c>
      <c r="Y329" s="13">
        <v>11.5</v>
      </c>
      <c r="Z329" s="13">
        <v>6.49</v>
      </c>
      <c r="AA329" s="13"/>
      <c r="AB329" s="13">
        <v>0</v>
      </c>
      <c r="AC329" s="13">
        <v>0</v>
      </c>
    </row>
    <row r="330" spans="1:29" s="8" customFormat="1" ht="15.75">
      <c r="A330" s="43" t="str">
        <f>IF(AND(H330=1,L330&gt;='Steel Angle Lintel Design'!$M$98,'AISC Angle Database'!N330&gt;='Steel Angle Lintel Design'!$M$96,'AISC Angle Database'!J330&gt;='Steel Angle Lintel Design'!$F$40,'AISC Angle Database'!J330&lt;='Steel Angle Lintel Design'!$F$41,'AISC Angle Database'!K330&gt;='Steel Angle Lintel Design'!$K$40,'AISC Angle Database'!K330&lt;='Steel Angle Lintel Design'!$K$41),1,"")</f>
        <v/>
      </c>
      <c r="B330" s="44">
        <f t="shared" si="25"/>
        <v>11</v>
      </c>
      <c r="C330" s="44">
        <f t="shared" si="26"/>
        <v>0</v>
      </c>
      <c r="D330" s="42" t="e">
        <f t="shared" ca="1" si="29"/>
        <v>#NAME?</v>
      </c>
      <c r="E330" s="44" t="e">
        <f t="shared" ca="1" si="27"/>
        <v>#NAME?</v>
      </c>
      <c r="F330" s="5" t="e">
        <f t="shared" ca="1" si="28"/>
        <v>#NAME?</v>
      </c>
      <c r="G330" s="15" t="s">
        <v>676</v>
      </c>
      <c r="H330" s="15">
        <f>IF('Steel Angle Lintel Design'!$AM$16=1,0,IF('Steel Angle Lintel Design'!$AM$16=2,1,1))</f>
        <v>1</v>
      </c>
      <c r="I330" s="19">
        <v>10.59</v>
      </c>
      <c r="J330" s="15">
        <v>2.5</v>
      </c>
      <c r="K330" s="15">
        <v>2</v>
      </c>
      <c r="L330" s="15">
        <v>1.03</v>
      </c>
      <c r="M330" s="15">
        <v>1.31</v>
      </c>
      <c r="N330" s="15">
        <v>0.72199999999999998</v>
      </c>
      <c r="O330" s="13">
        <v>3.98</v>
      </c>
      <c r="P330" s="15">
        <v>0</v>
      </c>
      <c r="Q330" s="15">
        <v>0</v>
      </c>
      <c r="R330" s="13">
        <v>0.375</v>
      </c>
      <c r="S330" s="13">
        <v>2</v>
      </c>
      <c r="T330" s="13" t="str">
        <f>IF(S330=2,"Y",IF(J330/R330&lt;0.54*(SQRT(29000/'Steel Angle Lintel Design'!$H$31)),"Y","N"))</f>
        <v>Y</v>
      </c>
      <c r="U330" s="13" t="str">
        <f>IF(J330/R330&gt;0.91*(SQRT(29000/'Steel Angle Lintel Design'!$H$31)),"Y","N")</f>
        <v>N</v>
      </c>
      <c r="V330" s="13" t="s">
        <v>677</v>
      </c>
      <c r="W330" s="13"/>
      <c r="X330" s="13">
        <v>0.42899999999999999</v>
      </c>
      <c r="Y330" s="13">
        <v>21.5</v>
      </c>
      <c r="Z330" s="13">
        <v>11.8</v>
      </c>
      <c r="AA330" s="13"/>
      <c r="AB330" s="13">
        <v>0</v>
      </c>
      <c r="AC330" s="13">
        <v>0</v>
      </c>
    </row>
    <row r="331" spans="1:29" s="8" customFormat="1" ht="15.75">
      <c r="A331" s="43" t="str">
        <f>IF(AND(H331=1,L331&gt;='Steel Angle Lintel Design'!$M$98,'AISC Angle Database'!N331&gt;='Steel Angle Lintel Design'!$M$96,'AISC Angle Database'!J331&gt;='Steel Angle Lintel Design'!$F$40,'AISC Angle Database'!J331&lt;='Steel Angle Lintel Design'!$F$41,'AISC Angle Database'!K331&gt;='Steel Angle Lintel Design'!$K$40,'AISC Angle Database'!K331&lt;='Steel Angle Lintel Design'!$K$41),1,"")</f>
        <v/>
      </c>
      <c r="B331" s="44">
        <f t="shared" si="25"/>
        <v>11</v>
      </c>
      <c r="C331" s="44">
        <f t="shared" si="26"/>
        <v>0</v>
      </c>
      <c r="D331" s="42" t="e">
        <f t="shared" ca="1" si="29"/>
        <v>#NAME?</v>
      </c>
      <c r="E331" s="44" t="e">
        <f t="shared" ca="1" si="27"/>
        <v>#NAME?</v>
      </c>
      <c r="F331" s="5" t="e">
        <f t="shared" ca="1" si="28"/>
        <v>#NAME?</v>
      </c>
      <c r="G331" s="15" t="s">
        <v>678</v>
      </c>
      <c r="H331" s="15">
        <f>IF('Steel Angle Lintel Design'!$AM$16=1,0,IF('Steel Angle Lintel Design'!$AM$16=2,1,1))</f>
        <v>1</v>
      </c>
      <c r="I331" s="19">
        <v>8.9499999999999993</v>
      </c>
      <c r="J331" s="15">
        <v>2.5</v>
      </c>
      <c r="K331" s="15">
        <v>2</v>
      </c>
      <c r="L331" s="15">
        <v>0.89100000000000001</v>
      </c>
      <c r="M331" s="15">
        <v>1.1100000000000001</v>
      </c>
      <c r="N331" s="15">
        <v>0.61699999999999999</v>
      </c>
      <c r="O331" s="13">
        <v>3.31</v>
      </c>
      <c r="P331" s="15">
        <v>0</v>
      </c>
      <c r="Q331" s="15">
        <v>0</v>
      </c>
      <c r="R331" s="13">
        <v>0.3125</v>
      </c>
      <c r="S331" s="13">
        <v>2</v>
      </c>
      <c r="T331" s="13" t="str">
        <f>IF(S331=2,"Y",IF(J331/R331&lt;0.54*(SQRT(29000/'Steel Angle Lintel Design'!$H$31)),"Y","N"))</f>
        <v>Y</v>
      </c>
      <c r="U331" s="13" t="str">
        <f>IF(J331/R331&gt;0.91*(SQRT(29000/'Steel Angle Lintel Design'!$H$31)),"Y","N")</f>
        <v>N</v>
      </c>
      <c r="V331" s="13" t="s">
        <v>679</v>
      </c>
      <c r="W331" s="13"/>
      <c r="X331" s="13">
        <v>0.371</v>
      </c>
      <c r="Y331" s="13">
        <v>18.2</v>
      </c>
      <c r="Z331" s="13">
        <v>10.1</v>
      </c>
      <c r="AA331" s="13"/>
      <c r="AB331" s="13">
        <v>0</v>
      </c>
      <c r="AC331" s="13">
        <v>0</v>
      </c>
    </row>
    <row r="332" spans="1:29" s="8" customFormat="1" ht="15.75">
      <c r="A332" s="43" t="str">
        <f>IF(AND(H332=1,L332&gt;='Steel Angle Lintel Design'!$M$98,'AISC Angle Database'!N332&gt;='Steel Angle Lintel Design'!$M$96,'AISC Angle Database'!J332&gt;='Steel Angle Lintel Design'!$F$40,'AISC Angle Database'!J332&lt;='Steel Angle Lintel Design'!$F$41,'AISC Angle Database'!K332&gt;='Steel Angle Lintel Design'!$K$40,'AISC Angle Database'!K332&lt;='Steel Angle Lintel Design'!$K$41),1,"")</f>
        <v/>
      </c>
      <c r="B332" s="44">
        <f t="shared" si="25"/>
        <v>11</v>
      </c>
      <c r="C332" s="44">
        <f t="shared" si="26"/>
        <v>0</v>
      </c>
      <c r="D332" s="42" t="e">
        <f t="shared" ca="1" si="29"/>
        <v>#NAME?</v>
      </c>
      <c r="E332" s="44" t="e">
        <f t="shared" ca="1" si="27"/>
        <v>#NAME?</v>
      </c>
      <c r="F332" s="5" t="e">
        <f t="shared" ca="1" si="28"/>
        <v>#NAME?</v>
      </c>
      <c r="G332" s="15" t="s">
        <v>680</v>
      </c>
      <c r="H332" s="15">
        <f>IF('Steel Angle Lintel Design'!$AM$16=1,0,IF('Steel Angle Lintel Design'!$AM$16=2,1,1))</f>
        <v>1</v>
      </c>
      <c r="I332" s="19">
        <v>7.31</v>
      </c>
      <c r="J332" s="15">
        <v>2.5</v>
      </c>
      <c r="K332" s="15">
        <v>2</v>
      </c>
      <c r="L332" s="15">
        <v>0.74399999999999999</v>
      </c>
      <c r="M332" s="15">
        <v>0.90900000000000003</v>
      </c>
      <c r="N332" s="15">
        <v>0.50700000000000001</v>
      </c>
      <c r="O332" s="13">
        <v>2.6</v>
      </c>
      <c r="P332" s="15">
        <v>0</v>
      </c>
      <c r="Q332" s="15">
        <v>0</v>
      </c>
      <c r="R332" s="13">
        <v>0.25</v>
      </c>
      <c r="S332" s="13">
        <v>2</v>
      </c>
      <c r="T332" s="13" t="str">
        <f>IF(S332=2,"Y",IF(J332/R332&lt;0.54*(SQRT(29000/'Steel Angle Lintel Design'!$H$31)),"Y","N"))</f>
        <v>Y</v>
      </c>
      <c r="U332" s="13" t="str">
        <f>IF(J332/R332&gt;0.91*(SQRT(29000/'Steel Angle Lintel Design'!$H$31)),"Y","N")</f>
        <v>N</v>
      </c>
      <c r="V332" s="13" t="s">
        <v>681</v>
      </c>
      <c r="W332" s="13"/>
      <c r="X332" s="13">
        <v>0.31</v>
      </c>
      <c r="Y332" s="13">
        <v>14.9</v>
      </c>
      <c r="Z332" s="13">
        <v>8.31</v>
      </c>
      <c r="AA332" s="13"/>
      <c r="AB332" s="13">
        <v>0</v>
      </c>
      <c r="AC332" s="13">
        <v>0</v>
      </c>
    </row>
    <row r="333" spans="1:29" s="8" customFormat="1" ht="15.75">
      <c r="A333" s="43" t="str">
        <f>IF(AND(H333=1,L333&gt;='Steel Angle Lintel Design'!$M$98,'AISC Angle Database'!N333&gt;='Steel Angle Lintel Design'!$M$96,'AISC Angle Database'!J333&gt;='Steel Angle Lintel Design'!$F$40,'AISC Angle Database'!J333&lt;='Steel Angle Lintel Design'!$F$41,'AISC Angle Database'!K333&gt;='Steel Angle Lintel Design'!$K$40,'AISC Angle Database'!K333&lt;='Steel Angle Lintel Design'!$K$41),1,"")</f>
        <v/>
      </c>
      <c r="B333" s="45">
        <f t="shared" si="25"/>
        <v>11</v>
      </c>
      <c r="C333" s="45">
        <f t="shared" si="26"/>
        <v>0</v>
      </c>
      <c r="D333" s="23" t="e">
        <f t="shared" ca="1" si="29"/>
        <v>#NAME?</v>
      </c>
      <c r="E333" s="45" t="e">
        <f t="shared" ca="1" si="27"/>
        <v>#NAME?</v>
      </c>
      <c r="F333" s="23" t="e">
        <f t="shared" ca="1" si="28"/>
        <v>#NAME?</v>
      </c>
      <c r="G333" s="20" t="s">
        <v>682</v>
      </c>
      <c r="H333" s="20">
        <f>IF('Steel Angle Lintel Design'!$AM$16=1,0,IF('Steel Angle Lintel Design'!$AM$16=2,1,1))</f>
        <v>1</v>
      </c>
      <c r="I333" s="21">
        <v>5.57</v>
      </c>
      <c r="J333" s="20">
        <v>2.5</v>
      </c>
      <c r="K333" s="20">
        <v>2</v>
      </c>
      <c r="L333" s="20">
        <v>0.58299999999999996</v>
      </c>
      <c r="M333" s="20">
        <v>0.69499999999999995</v>
      </c>
      <c r="N333" s="20">
        <v>0.39100000000000001</v>
      </c>
      <c r="O333" s="22">
        <v>1.94</v>
      </c>
      <c r="P333" s="20">
        <v>0</v>
      </c>
      <c r="Q333" s="20">
        <v>0</v>
      </c>
      <c r="R333" s="22">
        <v>0.1875</v>
      </c>
      <c r="S333" s="20">
        <v>2</v>
      </c>
      <c r="T333" s="13" t="str">
        <f>IF(S333=2,"Y",IF(J333/R333&lt;0.54*(SQRT(29000/'Steel Angle Lintel Design'!$H$31)),"Y","N"))</f>
        <v>Y</v>
      </c>
      <c r="U333" s="20" t="str">
        <f>IF(J333/R333&gt;0.91*(SQRT(29000/'Steel Angle Lintel Design'!$H$31)),"Y","N")</f>
        <v>N</v>
      </c>
      <c r="V333" s="22" t="s">
        <v>683</v>
      </c>
      <c r="W333" s="22"/>
      <c r="X333" s="22">
        <v>0.24299999999999999</v>
      </c>
      <c r="Y333" s="22">
        <v>11.4</v>
      </c>
      <c r="Z333" s="22">
        <v>6.41</v>
      </c>
      <c r="AA333" s="22"/>
      <c r="AB333" s="22">
        <v>0</v>
      </c>
      <c r="AC333" s="22">
        <v>0</v>
      </c>
    </row>
    <row r="334" spans="1:29">
      <c r="I334" s="17"/>
    </row>
    <row r="335" spans="1:29">
      <c r="B335" s="7">
        <f>MAX(B6:B333)</f>
        <v>11</v>
      </c>
      <c r="D335" s="7" t="e">
        <f ca="1">MAX(D5:D333)</f>
        <v>#NAME?</v>
      </c>
      <c r="I335" s="17"/>
    </row>
    <row r="336" spans="1:29">
      <c r="I336" s="17"/>
    </row>
    <row r="337" spans="2:9">
      <c r="B337" s="1"/>
      <c r="C337" s="18"/>
      <c r="I337" s="17"/>
    </row>
    <row r="338" spans="2:9">
      <c r="B338" s="1"/>
    </row>
    <row r="339" spans="2:9">
      <c r="B339" s="1"/>
    </row>
    <row r="664" spans="9:9">
      <c r="I664" s="19"/>
    </row>
    <row r="665" spans="9:9">
      <c r="I665" s="19"/>
    </row>
    <row r="666" spans="9:9">
      <c r="I666" s="19"/>
    </row>
    <row r="667" spans="9:9">
      <c r="I667" s="17"/>
    </row>
    <row r="668" spans="9:9">
      <c r="I668" s="17"/>
    </row>
    <row r="669" spans="9:9">
      <c r="I669" s="17"/>
    </row>
    <row r="670" spans="9:9">
      <c r="I670" s="17"/>
    </row>
    <row r="671" spans="9:9">
      <c r="I671" s="17"/>
    </row>
    <row r="672" spans="9:9">
      <c r="I672" s="17"/>
    </row>
    <row r="673" spans="9:9">
      <c r="I673" s="17"/>
    </row>
    <row r="674" spans="9:9">
      <c r="I674" s="17"/>
    </row>
    <row r="675" spans="9:9">
      <c r="I675" s="17"/>
    </row>
    <row r="676" spans="9:9">
      <c r="I676" s="17"/>
    </row>
    <row r="677" spans="9:9">
      <c r="I677" s="17"/>
    </row>
    <row r="678" spans="9:9">
      <c r="I678" s="17"/>
    </row>
    <row r="679" spans="9:9">
      <c r="I679" s="19"/>
    </row>
    <row r="680" spans="9:9">
      <c r="I680" s="19"/>
    </row>
    <row r="681" spans="9:9">
      <c r="I681" s="19"/>
    </row>
    <row r="682" spans="9:9">
      <c r="I682" s="19"/>
    </row>
    <row r="683" spans="9:9">
      <c r="I683" s="19"/>
    </row>
    <row r="684" spans="9:9">
      <c r="I684" s="19"/>
    </row>
    <row r="685" spans="9:9">
      <c r="I685" s="17"/>
    </row>
    <row r="686" spans="9:9">
      <c r="I686" s="17"/>
    </row>
    <row r="687" spans="9:9">
      <c r="I687" s="17"/>
    </row>
    <row r="688" spans="9:9">
      <c r="I688" s="17"/>
    </row>
    <row r="689" spans="9:9">
      <c r="I689" s="17"/>
    </row>
    <row r="690" spans="9:9">
      <c r="I690" s="17"/>
    </row>
    <row r="691" spans="9:9">
      <c r="I691" s="17"/>
    </row>
    <row r="692" spans="9:9">
      <c r="I692" s="17"/>
    </row>
    <row r="693" spans="9:9">
      <c r="I693" s="17"/>
    </row>
    <row r="694" spans="9:9">
      <c r="I694" s="19"/>
    </row>
    <row r="695" spans="9:9">
      <c r="I695" s="19"/>
    </row>
    <row r="696" spans="9:9">
      <c r="I696" s="19"/>
    </row>
    <row r="697" spans="9:9">
      <c r="I697" s="19"/>
    </row>
    <row r="698" spans="9:9">
      <c r="I698" s="19"/>
    </row>
    <row r="699" spans="9:9">
      <c r="I699" s="19"/>
    </row>
    <row r="700" spans="9:9">
      <c r="I700" s="17"/>
    </row>
    <row r="701" spans="9:9">
      <c r="I701" s="17"/>
    </row>
    <row r="702" spans="9:9">
      <c r="I702" s="17"/>
    </row>
    <row r="703" spans="9:9">
      <c r="I703" s="19"/>
    </row>
    <row r="704" spans="9:9">
      <c r="I704" s="19"/>
    </row>
    <row r="705" spans="9:9">
      <c r="I705" s="19"/>
    </row>
    <row r="706" spans="9:9">
      <c r="I706" s="19"/>
    </row>
    <row r="707" spans="9:9">
      <c r="I707" s="19"/>
    </row>
    <row r="708" spans="9:9">
      <c r="I708" s="19"/>
    </row>
    <row r="709" spans="9:9">
      <c r="I709" s="19"/>
    </row>
    <row r="710" spans="9:9">
      <c r="I710" s="19"/>
    </row>
    <row r="711" spans="9:9">
      <c r="I711" s="19"/>
    </row>
  </sheetData>
  <sortState ref="I338:I663">
    <sortCondition ref="I338:I663"/>
  </sortState>
  <mergeCells count="30">
    <mergeCell ref="D3:D4"/>
    <mergeCell ref="V1:AC2"/>
    <mergeCell ref="L3:L4"/>
    <mergeCell ref="AB3:AB4"/>
    <mergeCell ref="AC3:AC4"/>
    <mergeCell ref="A1:F1"/>
    <mergeCell ref="G3:G4"/>
    <mergeCell ref="I3:I4"/>
    <mergeCell ref="J3:J4"/>
    <mergeCell ref="K3:K4"/>
    <mergeCell ref="F3:F4"/>
    <mergeCell ref="C3:C4"/>
    <mergeCell ref="B3:B4"/>
    <mergeCell ref="H3:H4"/>
    <mergeCell ref="G1:R2"/>
    <mergeCell ref="S3:S4"/>
    <mergeCell ref="AA3:AA4"/>
    <mergeCell ref="M3:M4"/>
    <mergeCell ref="N3:N4"/>
    <mergeCell ref="O3:O4"/>
    <mergeCell ref="P3:P4"/>
    <mergeCell ref="Q3:Q4"/>
    <mergeCell ref="Y3:Y4"/>
    <mergeCell ref="Z3:Z4"/>
    <mergeCell ref="R3:R4"/>
    <mergeCell ref="W3:W4"/>
    <mergeCell ref="V3:V4"/>
    <mergeCell ref="T3:T4"/>
    <mergeCell ref="X3:X4"/>
    <mergeCell ref="U3:U4"/>
  </mergeCells>
  <pageMargins left="0.7" right="0.7" top="0.75" bottom="0.75" header="0.3" footer="0.3"/>
  <pageSetup orientation="portrait" horizontalDpi="1200" verticalDpi="1200" r:id="rId1"/>
  <legacyDrawing r:id="rId2"/>
</worksheet>
</file>

<file path=xl/worksheets/sheet3.xml><?xml version="1.0" encoding="utf-8"?>
<worksheet xmlns="http://schemas.openxmlformats.org/spreadsheetml/2006/main" xmlns:r="http://schemas.openxmlformats.org/officeDocument/2006/relationships">
  <dimension ref="A1:AX289"/>
  <sheetViews>
    <sheetView showGridLines="0" tabSelected="1" topLeftCell="B1" zoomScaleNormal="100" zoomScalePageLayoutView="90" workbookViewId="0">
      <selection activeCell="J32" sqref="J32"/>
    </sheetView>
  </sheetViews>
  <sheetFormatPr defaultRowHeight="15"/>
  <cols>
    <col min="1" max="1" width="4.28515625" style="58" hidden="1" customWidth="1"/>
    <col min="2" max="2" width="3.5703125" style="58" customWidth="1"/>
    <col min="3" max="3" width="4.5703125" style="58" customWidth="1"/>
    <col min="4" max="4" width="5.140625" style="58" customWidth="1"/>
    <col min="5" max="5" width="8.85546875" style="58" customWidth="1"/>
    <col min="6" max="6" width="6.7109375" style="58" customWidth="1"/>
    <col min="7" max="8" width="7.28515625" style="58" customWidth="1"/>
    <col min="9" max="9" width="6.85546875" style="58" customWidth="1"/>
    <col min="10" max="10" width="6.28515625" style="58" customWidth="1"/>
    <col min="11" max="11" width="6.85546875" style="58" customWidth="1"/>
    <col min="12" max="12" width="6.7109375" style="58" customWidth="1"/>
    <col min="13" max="13" width="6.42578125" style="58" customWidth="1"/>
    <col min="14" max="14" width="6.28515625" style="58" customWidth="1"/>
    <col min="15" max="15" width="5.7109375" style="58" customWidth="1"/>
    <col min="16" max="16" width="5.42578125" style="58" customWidth="1"/>
    <col min="17" max="17" width="5.28515625" style="58" customWidth="1"/>
    <col min="18" max="18" width="5.28515625" style="58" hidden="1" customWidth="1"/>
    <col min="19" max="19" width="5.85546875" style="58" hidden="1" customWidth="1"/>
    <col min="20" max="20" width="6" style="58" hidden="1" customWidth="1"/>
    <col min="21" max="21" width="6.85546875" style="58" hidden="1" customWidth="1"/>
    <col min="22" max="22" width="5.140625" style="58" hidden="1" customWidth="1"/>
    <col min="23" max="23" width="6.5703125" style="58" hidden="1" customWidth="1"/>
    <col min="24" max="24" width="6.85546875" style="58" hidden="1" customWidth="1"/>
    <col min="25" max="25" width="7.140625" style="58" hidden="1" customWidth="1"/>
    <col min="26" max="26" width="6.7109375" style="58" hidden="1" customWidth="1"/>
    <col min="27" max="27" width="6.42578125" style="58" hidden="1" customWidth="1"/>
    <col min="28" max="28" width="9" style="58" hidden="1" customWidth="1"/>
    <col min="29" max="31" width="6.85546875" style="58" hidden="1" customWidth="1"/>
    <col min="32" max="32" width="7.28515625" style="58" hidden="1" customWidth="1"/>
    <col min="33" max="33" width="3.140625" style="58" hidden="1" customWidth="1"/>
    <col min="34" max="34" width="6" style="58" hidden="1" customWidth="1"/>
    <col min="35" max="35" width="7.140625" style="58" hidden="1" customWidth="1"/>
    <col min="36" max="36" width="7.42578125" style="58" hidden="1" customWidth="1"/>
    <col min="37" max="37" width="5.85546875" style="58" hidden="1" customWidth="1"/>
    <col min="38" max="38" width="5.7109375" style="58" hidden="1" customWidth="1"/>
    <col min="39" max="39" width="7.140625" style="58" hidden="1" customWidth="1"/>
    <col min="40" max="40" width="7.5703125" style="58" hidden="1" customWidth="1"/>
    <col min="41" max="41" width="6.85546875" style="58" hidden="1" customWidth="1"/>
    <col min="42" max="42" width="7.42578125" style="58" hidden="1" customWidth="1"/>
    <col min="43" max="43" width="7.28515625" style="58" hidden="1" customWidth="1"/>
    <col min="44" max="44" width="7.42578125" style="58" hidden="1" customWidth="1"/>
    <col min="45" max="45" width="7.28515625" style="58" customWidth="1"/>
    <col min="46" max="46" width="7.7109375" style="58" customWidth="1"/>
    <col min="47" max="47" width="7" style="58" customWidth="1"/>
    <col min="48" max="48" width="8.140625" style="58" customWidth="1"/>
    <col min="49" max="49" width="9.140625" style="58"/>
    <col min="50" max="50" width="13.140625" style="58" customWidth="1"/>
    <col min="51" max="51" width="12.5703125" style="58" customWidth="1"/>
    <col min="52" max="16384" width="9.140625" style="58"/>
  </cols>
  <sheetData>
    <row r="1" spans="2:50" ht="16.5" customHeight="1">
      <c r="B1" s="377"/>
      <c r="C1" s="377"/>
      <c r="D1" s="378"/>
      <c r="E1" s="379"/>
      <c r="F1" s="379"/>
      <c r="G1" s="380"/>
      <c r="H1" s="387" t="s">
        <v>3</v>
      </c>
      <c r="I1" s="387"/>
      <c r="J1" s="387"/>
      <c r="K1" s="387"/>
      <c r="L1" s="387"/>
      <c r="M1" s="387"/>
      <c r="N1" s="387"/>
      <c r="O1" s="282" t="s">
        <v>893</v>
      </c>
      <c r="P1" s="282"/>
      <c r="Q1" s="282"/>
      <c r="R1" s="377"/>
      <c r="S1" s="377"/>
      <c r="T1" s="440" t="s">
        <v>2</v>
      </c>
      <c r="U1" s="440"/>
      <c r="V1" s="440"/>
      <c r="W1" s="440"/>
      <c r="X1" s="428" t="s">
        <v>3</v>
      </c>
      <c r="Y1" s="428"/>
      <c r="Z1" s="428"/>
      <c r="AA1" s="428"/>
      <c r="AB1" s="428"/>
      <c r="AC1" s="428"/>
      <c r="AD1" s="428"/>
      <c r="AE1" s="441" t="s">
        <v>893</v>
      </c>
      <c r="AF1" s="442"/>
      <c r="AG1" s="57"/>
    </row>
    <row r="2" spans="2:50" ht="15.75" customHeight="1">
      <c r="B2" s="377"/>
      <c r="C2" s="377"/>
      <c r="D2" s="381"/>
      <c r="E2" s="382"/>
      <c r="F2" s="382"/>
      <c r="G2" s="383"/>
      <c r="H2" s="388" t="s">
        <v>979</v>
      </c>
      <c r="I2" s="388"/>
      <c r="J2" s="388"/>
      <c r="K2" s="388"/>
      <c r="L2" s="388"/>
      <c r="M2" s="388"/>
      <c r="N2" s="388"/>
      <c r="O2" s="283">
        <v>40904</v>
      </c>
      <c r="P2" s="284"/>
      <c r="Q2" s="285"/>
      <c r="R2" s="377"/>
      <c r="S2" s="377"/>
      <c r="T2" s="440"/>
      <c r="U2" s="440"/>
      <c r="V2" s="440"/>
      <c r="W2" s="440"/>
      <c r="X2" s="429"/>
      <c r="Y2" s="429"/>
      <c r="Z2" s="429"/>
      <c r="AA2" s="429"/>
      <c r="AB2" s="429"/>
      <c r="AC2" s="429"/>
      <c r="AD2" s="429"/>
      <c r="AE2" s="443">
        <v>40890</v>
      </c>
      <c r="AF2" s="444"/>
      <c r="AG2" s="59"/>
    </row>
    <row r="3" spans="2:50">
      <c r="B3" s="377"/>
      <c r="C3" s="377"/>
      <c r="D3" s="381"/>
      <c r="E3" s="382"/>
      <c r="F3" s="382"/>
      <c r="G3" s="383"/>
      <c r="H3" s="387" t="s">
        <v>12</v>
      </c>
      <c r="I3" s="387"/>
      <c r="J3" s="387"/>
      <c r="K3" s="387"/>
      <c r="L3" s="387"/>
      <c r="M3" s="387"/>
      <c r="N3" s="387"/>
      <c r="O3" s="60" t="s">
        <v>10</v>
      </c>
      <c r="P3" s="286">
        <v>1</v>
      </c>
      <c r="Q3" s="286"/>
      <c r="R3" s="377"/>
      <c r="S3" s="377"/>
      <c r="T3" s="440"/>
      <c r="U3" s="440"/>
      <c r="V3" s="440"/>
      <c r="W3" s="440"/>
      <c r="X3" s="428" t="s">
        <v>12</v>
      </c>
      <c r="Y3" s="428"/>
      <c r="Z3" s="428"/>
      <c r="AA3" s="428"/>
      <c r="AB3" s="428"/>
      <c r="AC3" s="428"/>
      <c r="AD3" s="428"/>
      <c r="AE3" s="445" t="s">
        <v>10</v>
      </c>
      <c r="AF3" s="446"/>
      <c r="AG3" s="61"/>
      <c r="AH3" s="62"/>
    </row>
    <row r="4" spans="2:50">
      <c r="B4" s="377"/>
      <c r="C4" s="377"/>
      <c r="D4" s="384"/>
      <c r="E4" s="385"/>
      <c r="F4" s="385"/>
      <c r="G4" s="386"/>
      <c r="H4" s="388" t="s">
        <v>981</v>
      </c>
      <c r="I4" s="388"/>
      <c r="J4" s="388"/>
      <c r="K4" s="388"/>
      <c r="L4" s="388"/>
      <c r="M4" s="388"/>
      <c r="N4" s="388"/>
      <c r="O4" s="60" t="s">
        <v>8</v>
      </c>
      <c r="P4" s="452">
        <v>41861</v>
      </c>
      <c r="Q4" s="286"/>
      <c r="R4" s="377"/>
      <c r="S4" s="377"/>
      <c r="T4" s="440"/>
      <c r="U4" s="440"/>
      <c r="V4" s="440"/>
      <c r="W4" s="440"/>
      <c r="X4" s="429"/>
      <c r="Y4" s="429"/>
      <c r="Z4" s="429"/>
      <c r="AA4" s="429"/>
      <c r="AB4" s="429"/>
      <c r="AC4" s="429"/>
      <c r="AD4" s="429"/>
      <c r="AE4" s="445" t="s">
        <v>8</v>
      </c>
      <c r="AF4" s="446"/>
      <c r="AG4" s="61"/>
    </row>
    <row r="5" spans="2:50" ht="12.75" customHeight="1">
      <c r="B5" s="63"/>
      <c r="C5" s="64"/>
      <c r="D5" s="247"/>
      <c r="E5" s="247"/>
      <c r="F5" s="247"/>
      <c r="G5" s="247"/>
      <c r="H5" s="65"/>
      <c r="I5" s="65"/>
      <c r="J5" s="65"/>
      <c r="K5" s="65"/>
      <c r="L5" s="65"/>
      <c r="M5" s="65"/>
      <c r="N5" s="65"/>
      <c r="O5" s="66"/>
      <c r="P5" s="66"/>
      <c r="Q5" s="67"/>
      <c r="R5" s="68"/>
      <c r="S5" s="69"/>
      <c r="T5" s="69"/>
      <c r="U5" s="69"/>
      <c r="V5" s="69"/>
      <c r="W5" s="69"/>
      <c r="X5" s="69"/>
      <c r="Y5" s="69"/>
      <c r="Z5" s="69"/>
      <c r="AA5" s="69"/>
      <c r="AB5" s="69"/>
      <c r="AC5" s="69"/>
      <c r="AD5" s="69"/>
      <c r="AE5" s="69"/>
      <c r="AF5" s="70"/>
      <c r="AG5" s="62"/>
    </row>
    <row r="6" spans="2:50" ht="18.75" customHeight="1" thickBot="1">
      <c r="B6" s="71"/>
      <c r="C6" s="72"/>
      <c r="D6" s="72"/>
      <c r="E6" s="72"/>
      <c r="F6" s="72"/>
      <c r="G6" s="72"/>
      <c r="H6" s="72"/>
      <c r="I6" s="72"/>
      <c r="J6" s="72"/>
      <c r="K6" s="72"/>
      <c r="L6" s="72"/>
      <c r="M6" s="72"/>
      <c r="N6" s="72"/>
      <c r="O6" s="72"/>
      <c r="P6" s="72"/>
      <c r="Q6" s="73"/>
      <c r="R6" s="74"/>
      <c r="S6" s="75"/>
      <c r="T6" s="75"/>
      <c r="U6" s="75"/>
      <c r="V6" s="75"/>
      <c r="W6" s="62"/>
      <c r="X6" s="76"/>
      <c r="Y6" s="76"/>
      <c r="Z6" s="62"/>
      <c r="AA6" s="62"/>
      <c r="AB6" s="62"/>
      <c r="AC6" s="62"/>
      <c r="AD6" s="62"/>
      <c r="AE6" s="62"/>
      <c r="AF6" s="73"/>
      <c r="AW6" s="77"/>
      <c r="AX6" s="78"/>
    </row>
    <row r="7" spans="2:50" ht="26.25" customHeight="1" thickBot="1">
      <c r="B7" s="71"/>
      <c r="C7" s="389" t="s">
        <v>761</v>
      </c>
      <c r="D7" s="389"/>
      <c r="E7" s="389"/>
      <c r="F7" s="389"/>
      <c r="G7" s="389"/>
      <c r="H7" s="389"/>
      <c r="I7" s="389"/>
      <c r="J7" s="389"/>
      <c r="K7" s="389"/>
      <c r="L7" s="389"/>
      <c r="M7" s="389"/>
      <c r="N7" s="389"/>
      <c r="O7" s="389"/>
      <c r="P7" s="389"/>
      <c r="Q7" s="73"/>
      <c r="R7" s="375" t="s">
        <v>909</v>
      </c>
      <c r="S7" s="375"/>
      <c r="T7" s="375"/>
      <c r="U7" s="375"/>
      <c r="V7" s="375"/>
      <c r="W7" s="375"/>
      <c r="X7" s="375"/>
      <c r="Y7" s="375"/>
      <c r="Z7" s="375"/>
      <c r="AA7" s="375"/>
      <c r="AB7" s="375"/>
      <c r="AC7" s="375"/>
      <c r="AD7" s="375"/>
      <c r="AE7" s="375"/>
      <c r="AF7" s="375"/>
      <c r="AW7" s="79"/>
      <c r="AX7" s="80"/>
    </row>
    <row r="8" spans="2:50" ht="20.25" customHeight="1">
      <c r="B8" s="71"/>
      <c r="C8" s="62"/>
      <c r="D8" s="81"/>
      <c r="E8" s="81"/>
      <c r="F8" s="81"/>
      <c r="G8" s="81"/>
      <c r="H8" s="81"/>
      <c r="I8" s="81"/>
      <c r="J8" s="81"/>
      <c r="K8" s="81"/>
      <c r="L8" s="81"/>
      <c r="M8" s="81"/>
      <c r="N8" s="81"/>
      <c r="O8" s="81"/>
      <c r="P8" s="81"/>
      <c r="Q8" s="82"/>
      <c r="R8" s="375"/>
      <c r="S8" s="375"/>
      <c r="T8" s="375"/>
      <c r="U8" s="375"/>
      <c r="V8" s="375"/>
      <c r="W8" s="375"/>
      <c r="X8" s="375"/>
      <c r="Y8" s="375"/>
      <c r="Z8" s="375"/>
      <c r="AA8" s="375"/>
      <c r="AB8" s="375"/>
      <c r="AC8" s="375"/>
      <c r="AD8" s="375"/>
      <c r="AE8" s="375"/>
      <c r="AF8" s="375"/>
      <c r="AW8" s="77"/>
      <c r="AX8" s="79"/>
    </row>
    <row r="9" spans="2:50" ht="16.5" customHeight="1">
      <c r="B9" s="71"/>
      <c r="C9" s="288" t="s">
        <v>904</v>
      </c>
      <c r="D9" s="288"/>
      <c r="E9" s="288"/>
      <c r="F9" s="288"/>
      <c r="G9" s="288"/>
      <c r="H9" s="288"/>
      <c r="I9" s="288"/>
      <c r="J9" s="288"/>
      <c r="K9" s="288"/>
      <c r="L9" s="288"/>
      <c r="M9" s="288"/>
      <c r="N9" s="288"/>
      <c r="O9" s="288"/>
      <c r="P9" s="288"/>
      <c r="Q9" s="83"/>
      <c r="R9" s="363" t="s">
        <v>738</v>
      </c>
      <c r="S9" s="363"/>
      <c r="T9" s="363"/>
      <c r="U9" s="363"/>
      <c r="V9" s="363"/>
      <c r="W9" s="363"/>
      <c r="X9" s="316" t="s">
        <v>788</v>
      </c>
      <c r="Y9" s="316"/>
      <c r="Z9" s="316" t="s">
        <v>790</v>
      </c>
      <c r="AA9" s="316"/>
      <c r="AB9" s="316"/>
      <c r="AC9" s="316"/>
      <c r="AD9" s="295" t="s">
        <v>723</v>
      </c>
      <c r="AE9" s="325" t="s">
        <v>741</v>
      </c>
      <c r="AF9" s="325"/>
      <c r="AW9" s="77"/>
      <c r="AX9" s="79"/>
    </row>
    <row r="10" spans="2:50" ht="15" customHeight="1">
      <c r="B10" s="71"/>
      <c r="C10" s="288"/>
      <c r="D10" s="288"/>
      <c r="E10" s="288"/>
      <c r="F10" s="288"/>
      <c r="G10" s="288"/>
      <c r="H10" s="288"/>
      <c r="I10" s="288"/>
      <c r="J10" s="288"/>
      <c r="K10" s="288"/>
      <c r="L10" s="288"/>
      <c r="M10" s="288"/>
      <c r="N10" s="288"/>
      <c r="O10" s="288"/>
      <c r="P10" s="288"/>
      <c r="Q10" s="83"/>
      <c r="R10" s="363"/>
      <c r="S10" s="363"/>
      <c r="T10" s="363"/>
      <c r="U10" s="363"/>
      <c r="V10" s="363"/>
      <c r="W10" s="363"/>
      <c r="X10" s="316"/>
      <c r="Y10" s="316"/>
      <c r="Z10" s="316"/>
      <c r="AA10" s="316"/>
      <c r="AB10" s="316"/>
      <c r="AC10" s="316"/>
      <c r="AD10" s="295"/>
      <c r="AE10" s="325"/>
      <c r="AF10" s="325"/>
      <c r="AI10" s="84" t="s">
        <v>697</v>
      </c>
      <c r="AJ10" s="85">
        <f>IF(K27="L/180",180,IF(K27="L/240",240,IF(K27="L/360",360,IF(K27="L/480",480,IF(K27="L/600",600,IF(K27="L/720",720,"Check Input"))))))</f>
        <v>480</v>
      </c>
      <c r="AK10" s="75" t="s">
        <v>694</v>
      </c>
      <c r="AL10" s="85" t="e">
        <f>IF(OR(#REF!=0,#REF!=""),"NI",(H28*12)/#REF!)</f>
        <v>#REF!</v>
      </c>
      <c r="AM10" s="76"/>
      <c r="AN10" s="58" t="s">
        <v>684</v>
      </c>
      <c r="AO10" s="76"/>
      <c r="AP10" s="79" t="s">
        <v>952</v>
      </c>
      <c r="AR10" s="58" t="s">
        <v>16</v>
      </c>
      <c r="AX10" s="79"/>
    </row>
    <row r="11" spans="2:50" ht="15" customHeight="1">
      <c r="B11" s="71"/>
      <c r="C11" s="288"/>
      <c r="D11" s="288"/>
      <c r="E11" s="288"/>
      <c r="F11" s="288"/>
      <c r="G11" s="288"/>
      <c r="H11" s="288"/>
      <c r="I11" s="288"/>
      <c r="J11" s="288"/>
      <c r="K11" s="288"/>
      <c r="L11" s="288"/>
      <c r="M11" s="288"/>
      <c r="N11" s="288"/>
      <c r="O11" s="288"/>
      <c r="P11" s="288"/>
      <c r="Q11" s="83"/>
      <c r="R11" s="363"/>
      <c r="S11" s="363"/>
      <c r="T11" s="363"/>
      <c r="U11" s="363"/>
      <c r="V11" s="363"/>
      <c r="W11" s="363"/>
      <c r="X11" s="316"/>
      <c r="Y11" s="316"/>
      <c r="Z11" s="316"/>
      <c r="AA11" s="316"/>
      <c r="AB11" s="316"/>
      <c r="AC11" s="316"/>
      <c r="AD11" s="295"/>
      <c r="AE11" s="325"/>
      <c r="AF11" s="325"/>
      <c r="AI11" s="84" t="s">
        <v>698</v>
      </c>
      <c r="AJ11" s="85">
        <f>IF(K28="L/180",180,IF(K28="L/240",240,IF(K28="L/360",360,IF(K28="L/480",480,IF(K28="L/600",600,IF(K28="L/720",720,"Check Input"))))))</f>
        <v>240</v>
      </c>
      <c r="AK11" s="75" t="s">
        <v>695</v>
      </c>
      <c r="AL11" s="85" t="e">
        <f>IF(OR(#REF!=0,#REF!=""),"NI",(H28*12)/#REF!)</f>
        <v>#REF!</v>
      </c>
      <c r="AM11" s="76"/>
      <c r="AN11" s="58" t="s">
        <v>685</v>
      </c>
      <c r="AO11" s="76"/>
      <c r="AP11" s="79" t="s">
        <v>951</v>
      </c>
      <c r="AR11" s="58" t="s">
        <v>17</v>
      </c>
      <c r="AX11" s="79"/>
    </row>
    <row r="12" spans="2:50" ht="17.25" customHeight="1">
      <c r="B12" s="71"/>
      <c r="C12" s="288"/>
      <c r="D12" s="288"/>
      <c r="E12" s="288"/>
      <c r="F12" s="288"/>
      <c r="G12" s="288"/>
      <c r="H12" s="288"/>
      <c r="I12" s="288"/>
      <c r="J12" s="288"/>
      <c r="K12" s="288"/>
      <c r="L12" s="288"/>
      <c r="M12" s="288"/>
      <c r="N12" s="288"/>
      <c r="O12" s="288"/>
      <c r="P12" s="288"/>
      <c r="Q12" s="83"/>
      <c r="R12" s="447" t="s">
        <v>946</v>
      </c>
      <c r="S12" s="415" t="s">
        <v>739</v>
      </c>
      <c r="T12" s="415" t="s">
        <v>744</v>
      </c>
      <c r="U12" s="415" t="s">
        <v>912</v>
      </c>
      <c r="V12" s="419" t="s">
        <v>726</v>
      </c>
      <c r="W12" s="421" t="s">
        <v>755</v>
      </c>
      <c r="X12" s="415" t="s">
        <v>756</v>
      </c>
      <c r="Y12" s="415" t="s">
        <v>757</v>
      </c>
      <c r="Z12" s="415" t="s">
        <v>717</v>
      </c>
      <c r="AA12" s="415" t="s">
        <v>740</v>
      </c>
      <c r="AB12" s="420" t="s">
        <v>791</v>
      </c>
      <c r="AC12" s="421" t="s">
        <v>758</v>
      </c>
      <c r="AD12" s="421" t="s">
        <v>736</v>
      </c>
      <c r="AE12" s="415" t="s">
        <v>759</v>
      </c>
      <c r="AF12" s="415" t="s">
        <v>954</v>
      </c>
      <c r="AI12" s="84" t="s">
        <v>707</v>
      </c>
      <c r="AJ12" s="85">
        <f>IF(K29="L/180",180,IF(K29="L/240",240,IF(K29="L/360",360,IF(K29="L/480",480,IF(K29="L/600",600,IF(K29="L/720",720,"Check Input"))))))</f>
        <v>480</v>
      </c>
      <c r="AK12" s="75" t="s">
        <v>696</v>
      </c>
      <c r="AL12" s="85" t="e">
        <f>IF(OR(#REF!=0,#REF!=""),"NI",(H28*12)/#REF!)</f>
        <v>#REF!</v>
      </c>
      <c r="AM12" s="84"/>
      <c r="AN12" s="58" t="s">
        <v>686</v>
      </c>
      <c r="AO12" s="76"/>
      <c r="AP12" s="77"/>
      <c r="AR12" s="58" t="s">
        <v>18</v>
      </c>
      <c r="AW12" s="77"/>
      <c r="AX12" s="64"/>
    </row>
    <row r="13" spans="2:50" ht="18" customHeight="1">
      <c r="B13" s="71"/>
      <c r="C13" s="288"/>
      <c r="D13" s="288"/>
      <c r="E13" s="288"/>
      <c r="F13" s="288"/>
      <c r="G13" s="288"/>
      <c r="H13" s="288"/>
      <c r="I13" s="288"/>
      <c r="J13" s="288"/>
      <c r="K13" s="288"/>
      <c r="L13" s="288"/>
      <c r="M13" s="288"/>
      <c r="N13" s="288"/>
      <c r="O13" s="288"/>
      <c r="P13" s="288"/>
      <c r="Q13" s="83"/>
      <c r="R13" s="448"/>
      <c r="S13" s="415"/>
      <c r="T13" s="415"/>
      <c r="U13" s="415"/>
      <c r="V13" s="419"/>
      <c r="W13" s="421"/>
      <c r="X13" s="415"/>
      <c r="Y13" s="415"/>
      <c r="Z13" s="415"/>
      <c r="AA13" s="415"/>
      <c r="AB13" s="420"/>
      <c r="AC13" s="421"/>
      <c r="AD13" s="421"/>
      <c r="AE13" s="415"/>
      <c r="AF13" s="415"/>
      <c r="AI13" s="84"/>
      <c r="AK13" s="75"/>
      <c r="AL13" s="86"/>
      <c r="AM13" s="84"/>
      <c r="AO13" s="76"/>
      <c r="AP13" s="77"/>
      <c r="AR13" s="58" t="s">
        <v>19</v>
      </c>
      <c r="AW13" s="77"/>
      <c r="AX13" s="64"/>
    </row>
    <row r="14" spans="2:50" ht="17.25" customHeight="1">
      <c r="B14" s="71"/>
      <c r="C14" s="288"/>
      <c r="D14" s="288"/>
      <c r="E14" s="288"/>
      <c r="F14" s="288"/>
      <c r="G14" s="288"/>
      <c r="H14" s="288"/>
      <c r="I14" s="288"/>
      <c r="J14" s="288"/>
      <c r="K14" s="288"/>
      <c r="L14" s="288"/>
      <c r="M14" s="288"/>
      <c r="N14" s="288"/>
      <c r="O14" s="288"/>
      <c r="P14" s="288"/>
      <c r="Q14" s="83"/>
      <c r="R14" s="449"/>
      <c r="S14" s="415"/>
      <c r="T14" s="415"/>
      <c r="U14" s="415"/>
      <c r="V14" s="419"/>
      <c r="W14" s="421"/>
      <c r="X14" s="415"/>
      <c r="Y14" s="415"/>
      <c r="Z14" s="415"/>
      <c r="AA14" s="415"/>
      <c r="AB14" s="420"/>
      <c r="AC14" s="421"/>
      <c r="AD14" s="421"/>
      <c r="AE14" s="415"/>
      <c r="AF14" s="415"/>
      <c r="AI14" s="84"/>
      <c r="AK14" s="75"/>
      <c r="AL14" s="86"/>
      <c r="AM14" s="84"/>
      <c r="AO14" s="76"/>
      <c r="AP14" s="77"/>
      <c r="AR14" s="87" t="s">
        <v>20</v>
      </c>
      <c r="AW14" s="77"/>
      <c r="AX14" s="64"/>
    </row>
    <row r="15" spans="2:50" ht="15" customHeight="1">
      <c r="B15" s="71"/>
      <c r="C15" s="288"/>
      <c r="D15" s="288"/>
      <c r="E15" s="288"/>
      <c r="F15" s="288"/>
      <c r="G15" s="288"/>
      <c r="H15" s="288"/>
      <c r="I15" s="288"/>
      <c r="J15" s="288"/>
      <c r="K15" s="288"/>
      <c r="L15" s="288"/>
      <c r="M15" s="288"/>
      <c r="N15" s="288"/>
      <c r="O15" s="288"/>
      <c r="P15" s="288"/>
      <c r="Q15" s="83"/>
      <c r="R15" s="88" t="e">
        <f ca="1">IF(E107="","",VLOOKUP(1,'AISC Angle Database'!$F$6:$T$333,14,FALSE))</f>
        <v>#N/A</v>
      </c>
      <c r="S15" s="88" t="e">
        <f ca="1">IF(E107="","",VLOOKUP(1,'AISC Angle Database'!$F$6:$Q$333,5,FALSE))</f>
        <v>#N/A</v>
      </c>
      <c r="T15" s="88" t="e">
        <f ca="1">IF(E107="","",VLOOKUP(1,'AISC Angle Database'!$F$6:$Q$333,6,FALSE))</f>
        <v>#N/A</v>
      </c>
      <c r="U15" s="89" t="e">
        <f ca="1">IF(E107="","",VLOOKUP(1,'AISC Angle Database'!$F$6:$T$333,13,FALSE))</f>
        <v>#N/A</v>
      </c>
      <c r="V15" s="88" t="e">
        <f ca="1">IF(E107="","",VLOOKUP(1,'AISC Angle Database'!$F$6:$T$333,15,FALSE))</f>
        <v>#N/A</v>
      </c>
      <c r="W15" s="88" t="e">
        <f t="shared" ref="W15:W21" ca="1" si="0">IF(E107="","",J107)</f>
        <v>#N/A</v>
      </c>
      <c r="X15" s="90" t="e">
        <f t="shared" ref="X15:X21" ca="1" si="1">IF(E107="","",IF(Z15="NA","NA",IF(AND(R15=1,S15=T15),$H$31*W15,"NA")))</f>
        <v>#N/A</v>
      </c>
      <c r="Y15" s="90" t="e">
        <f t="shared" ref="Y15:Y21" ca="1" si="2">IF(E107="","",IF(X15="NA","NA",1.5*X15))</f>
        <v>#N/A</v>
      </c>
      <c r="Z15" s="88" t="e">
        <f t="shared" ref="Z15:Z21" ca="1" si="3">IF(E107="","",IF(R15=2,"NA",IF(AND(R15=1,S15=T15),$H$29*12/S15,"NA")))</f>
        <v>#N/A</v>
      </c>
      <c r="AA15" s="91" t="e">
        <f t="shared" ref="AA15:AA21" ca="1" si="4">IF(E107="","",IF(Z15="NA","NA",IF(AND(R15=1,S15=T15),(1.64*29000/$H$31)*SQRT((U15/S15)^2-1.4*($H$31/29000)),"NA")))</f>
        <v>#N/A</v>
      </c>
      <c r="AB15" s="91" t="e">
        <f t="shared" ref="AB15:AB21" ca="1" si="5">IF(E107="","",IF(Z15="NA","NA",IF(AND(R15=1,S15=T15),(0.66*29000*S15^4*U15*1/($H$29*12)^2)*(SQRT(1+0.78*(($H$29*12)*U15)/S15^2)-1),"NA")))</f>
        <v>#N/A</v>
      </c>
      <c r="AC15" s="91" t="e">
        <f t="shared" ref="AC15:AC21" ca="1" si="6">IF(E107="","",IF(Z15="NA","NA",IF(Z15&lt;AA15,0.8*X15,IF(AB15&lt;=0.8*X15,(0.92-0.17*AB15/X15)*AB15,MAX((1.92-1.17*SQRT(X15/AB15))*0.8*X15,1.5*0.8*X15)))))</f>
        <v>#N/A</v>
      </c>
      <c r="AD15" s="91" t="e">
        <f t="shared" ref="AD15:AD21" ca="1" si="7">IF(E107="","",IF(Z15="NA","NA",IF(V15="Y","NA",IF(AND(R15=1,V15="N"),$H$31*W15*(2.43-1.72*(S15/U15)*(SQRT($H$31/29000))),"NA"))))</f>
        <v>#N/A</v>
      </c>
      <c r="AE15" s="91" t="e">
        <f t="shared" ref="AE15:AE21" ca="1" si="8">IF(E107="","",IF(Z15="NA","NA",MIN(Y15,AC15,AD15)))</f>
        <v>#N/A</v>
      </c>
      <c r="AF15" s="91" t="e">
        <f t="shared" ref="AF15:AF21" ca="1" si="9">IF(E107="","",IF(Z15="NA","NA",IF($H$23="LRFD",AE15*0.9,AE15/1.67)))</f>
        <v>#N/A</v>
      </c>
      <c r="AW15" s="79"/>
      <c r="AX15" s="80"/>
    </row>
    <row r="16" spans="2:50" ht="15" customHeight="1">
      <c r="B16" s="71"/>
      <c r="C16" s="246"/>
      <c r="D16" s="246"/>
      <c r="E16" s="246"/>
      <c r="F16" s="246"/>
      <c r="G16" s="246"/>
      <c r="H16" s="246"/>
      <c r="I16" s="246"/>
      <c r="J16" s="246"/>
      <c r="K16" s="246"/>
      <c r="L16" s="246"/>
      <c r="M16" s="246"/>
      <c r="N16" s="246"/>
      <c r="O16" s="246"/>
      <c r="P16" s="246"/>
      <c r="Q16" s="92"/>
      <c r="R16" s="88" t="e">
        <f ca="1">IF(E108="","",VLOOKUP(2,'AISC Angle Database'!$F$6:$T$333,14,FALSE))</f>
        <v>#N/A</v>
      </c>
      <c r="S16" s="88" t="e">
        <f ca="1">IF(E108="","",VLOOKUP(2,'AISC Angle Database'!$F$6:$Q$333,5,FALSE))</f>
        <v>#N/A</v>
      </c>
      <c r="T16" s="88" t="e">
        <f ca="1">IF(E108="","",VLOOKUP(2,'AISC Angle Database'!$F$6:$Q$333,6,FALSE))</f>
        <v>#N/A</v>
      </c>
      <c r="U16" s="89" t="e">
        <f ca="1">IF(E108="","",VLOOKUP(2,'AISC Angle Database'!$F$6:$T$333,13,FALSE))</f>
        <v>#N/A</v>
      </c>
      <c r="V16" s="88" t="e">
        <f ca="1">IF(E108="","",VLOOKUP(2,'AISC Angle Database'!$F$6:$T$333,15,FALSE))</f>
        <v>#N/A</v>
      </c>
      <c r="W16" s="88" t="e">
        <f t="shared" ca="1" si="0"/>
        <v>#N/A</v>
      </c>
      <c r="X16" s="90" t="e">
        <f t="shared" ca="1" si="1"/>
        <v>#N/A</v>
      </c>
      <c r="Y16" s="90" t="e">
        <f t="shared" ca="1" si="2"/>
        <v>#N/A</v>
      </c>
      <c r="Z16" s="88" t="e">
        <f t="shared" ca="1" si="3"/>
        <v>#N/A</v>
      </c>
      <c r="AA16" s="91" t="e">
        <f t="shared" ca="1" si="4"/>
        <v>#N/A</v>
      </c>
      <c r="AB16" s="91" t="e">
        <f t="shared" ca="1" si="5"/>
        <v>#N/A</v>
      </c>
      <c r="AC16" s="91" t="e">
        <f t="shared" ca="1" si="6"/>
        <v>#N/A</v>
      </c>
      <c r="AD16" s="91" t="e">
        <f t="shared" ca="1" si="7"/>
        <v>#N/A</v>
      </c>
      <c r="AE16" s="91" t="e">
        <f t="shared" ca="1" si="8"/>
        <v>#N/A</v>
      </c>
      <c r="AF16" s="91" t="e">
        <f t="shared" ca="1" si="9"/>
        <v>#N/A</v>
      </c>
      <c r="AJ16" s="75" t="s">
        <v>687</v>
      </c>
      <c r="AM16" s="249">
        <f>IF(M37="single",1,IF(M37="double",2,3))</f>
        <v>2</v>
      </c>
      <c r="AW16" s="77"/>
      <c r="AX16" s="79"/>
    </row>
    <row r="17" spans="2:50" ht="15" customHeight="1">
      <c r="B17" s="71"/>
      <c r="C17" s="288" t="s">
        <v>964</v>
      </c>
      <c r="D17" s="288"/>
      <c r="E17" s="288"/>
      <c r="F17" s="288"/>
      <c r="G17" s="288"/>
      <c r="H17" s="288"/>
      <c r="I17" s="288"/>
      <c r="J17" s="288"/>
      <c r="K17" s="288"/>
      <c r="L17" s="288"/>
      <c r="M17" s="288"/>
      <c r="N17" s="288"/>
      <c r="O17" s="288"/>
      <c r="P17" s="288"/>
      <c r="Q17" s="83"/>
      <c r="R17" s="88" t="e">
        <f ca="1">IF(E109="","",VLOOKUP(3,'AISC Angle Database'!$F$6:$T$333,14,FALSE))</f>
        <v>#N/A</v>
      </c>
      <c r="S17" s="88" t="e">
        <f ca="1">IF(E109="","",VLOOKUP(3,'AISC Angle Database'!$F$6:$Q$333,5,FALSE))</f>
        <v>#N/A</v>
      </c>
      <c r="T17" s="88" t="e">
        <f ca="1">IF(E109="","",VLOOKUP(3,'AISC Angle Database'!$F$6:$Q$333,6,FALSE))</f>
        <v>#N/A</v>
      </c>
      <c r="U17" s="89" t="e">
        <f ca="1">IF(E109="","",VLOOKUP(3,'AISC Angle Database'!$F$6:$T$333,13,FALSE))</f>
        <v>#N/A</v>
      </c>
      <c r="V17" s="88" t="e">
        <f ca="1">IF(E109="","",VLOOKUP(3,'AISC Angle Database'!$F$6:$T$333,15,FALSE))</f>
        <v>#N/A</v>
      </c>
      <c r="W17" s="88" t="e">
        <f t="shared" ca="1" si="0"/>
        <v>#N/A</v>
      </c>
      <c r="X17" s="90" t="e">
        <f t="shared" ca="1" si="1"/>
        <v>#N/A</v>
      </c>
      <c r="Y17" s="90" t="e">
        <f t="shared" ca="1" si="2"/>
        <v>#N/A</v>
      </c>
      <c r="Z17" s="88" t="e">
        <f t="shared" ca="1" si="3"/>
        <v>#N/A</v>
      </c>
      <c r="AA17" s="91" t="e">
        <f t="shared" ca="1" si="4"/>
        <v>#N/A</v>
      </c>
      <c r="AB17" s="91" t="e">
        <f t="shared" ca="1" si="5"/>
        <v>#N/A</v>
      </c>
      <c r="AC17" s="91" t="e">
        <f t="shared" ca="1" si="6"/>
        <v>#N/A</v>
      </c>
      <c r="AD17" s="91" t="e">
        <f t="shared" ca="1" si="7"/>
        <v>#N/A</v>
      </c>
      <c r="AE17" s="91" t="e">
        <f t="shared" ca="1" si="8"/>
        <v>#N/A</v>
      </c>
      <c r="AF17" s="91" t="e">
        <f t="shared" ca="1" si="9"/>
        <v>#N/A</v>
      </c>
      <c r="AW17" s="79"/>
      <c r="AX17" s="79"/>
    </row>
    <row r="18" spans="2:50" ht="15" customHeight="1">
      <c r="B18" s="71"/>
      <c r="C18" s="288"/>
      <c r="D18" s="288"/>
      <c r="E18" s="288"/>
      <c r="F18" s="288"/>
      <c r="G18" s="288"/>
      <c r="H18" s="288"/>
      <c r="I18" s="288"/>
      <c r="J18" s="288"/>
      <c r="K18" s="288"/>
      <c r="L18" s="288"/>
      <c r="M18" s="288"/>
      <c r="N18" s="288"/>
      <c r="O18" s="288"/>
      <c r="P18" s="288"/>
      <c r="Q18" s="83"/>
      <c r="R18" s="88" t="e">
        <f ca="1">IF(E110="","",VLOOKUP(4,'AISC Angle Database'!$F$6:$T$333,14,FALSE))</f>
        <v>#N/A</v>
      </c>
      <c r="S18" s="88" t="e">
        <f ca="1">IF(E110="","",VLOOKUP(4,'AISC Angle Database'!$F$6:$Q$333,5,FALSE))</f>
        <v>#N/A</v>
      </c>
      <c r="T18" s="88" t="e">
        <f ca="1">IF(E110="","",VLOOKUP(4,'AISC Angle Database'!$F$6:$Q$333,6,FALSE))</f>
        <v>#N/A</v>
      </c>
      <c r="U18" s="89" t="e">
        <f ca="1">IF(E110="","",VLOOKUP(4,'AISC Angle Database'!$F$6:$T$333,13,FALSE))</f>
        <v>#N/A</v>
      </c>
      <c r="V18" s="88" t="e">
        <f ca="1">IF(E110="","",VLOOKUP(4,'AISC Angle Database'!$F$6:$T$333,15,FALSE))</f>
        <v>#N/A</v>
      </c>
      <c r="W18" s="88" t="e">
        <f t="shared" ca="1" si="0"/>
        <v>#N/A</v>
      </c>
      <c r="X18" s="90" t="e">
        <f t="shared" ca="1" si="1"/>
        <v>#N/A</v>
      </c>
      <c r="Y18" s="90" t="e">
        <f t="shared" ca="1" si="2"/>
        <v>#N/A</v>
      </c>
      <c r="Z18" s="88" t="e">
        <f t="shared" ca="1" si="3"/>
        <v>#N/A</v>
      </c>
      <c r="AA18" s="91" t="e">
        <f t="shared" ca="1" si="4"/>
        <v>#N/A</v>
      </c>
      <c r="AB18" s="91" t="e">
        <f t="shared" ca="1" si="5"/>
        <v>#N/A</v>
      </c>
      <c r="AC18" s="91" t="e">
        <f t="shared" ca="1" si="6"/>
        <v>#N/A</v>
      </c>
      <c r="AD18" s="91" t="e">
        <f t="shared" ca="1" si="7"/>
        <v>#N/A</v>
      </c>
      <c r="AE18" s="91" t="e">
        <f t="shared" ca="1" si="8"/>
        <v>#N/A</v>
      </c>
      <c r="AF18" s="91" t="e">
        <f t="shared" ca="1" si="9"/>
        <v>#N/A</v>
      </c>
      <c r="AW18" s="79"/>
      <c r="AX18" s="79"/>
    </row>
    <row r="19" spans="2:50" ht="15" customHeight="1">
      <c r="B19" s="71"/>
      <c r="C19" s="93"/>
      <c r="D19" s="62"/>
      <c r="E19" s="62"/>
      <c r="F19" s="62"/>
      <c r="G19" s="62"/>
      <c r="H19" s="62"/>
      <c r="I19" s="62"/>
      <c r="J19" s="62"/>
      <c r="K19" s="62"/>
      <c r="L19" s="62"/>
      <c r="M19" s="62"/>
      <c r="N19" s="62"/>
      <c r="O19" s="62"/>
      <c r="P19" s="62"/>
      <c r="Q19" s="73"/>
      <c r="R19" s="88" t="e">
        <f ca="1">IF(E111="","",VLOOKUP(5,'AISC Angle Database'!$F$6:$T$333,14,FALSE))</f>
        <v>#N/A</v>
      </c>
      <c r="S19" s="88" t="e">
        <f ca="1">IF(E111="","",VLOOKUP(5,'AISC Angle Database'!$F$6:$Q$333,5,FALSE))</f>
        <v>#N/A</v>
      </c>
      <c r="T19" s="88" t="e">
        <f ca="1">IF(E111="","",VLOOKUP(5,'AISC Angle Database'!$F$6:$Q$333,6,FALSE))</f>
        <v>#N/A</v>
      </c>
      <c r="U19" s="89" t="e">
        <f ca="1">IF(E111="","",VLOOKUP(5,'AISC Angle Database'!$F$6:$T$333,13,FALSE))</f>
        <v>#N/A</v>
      </c>
      <c r="V19" s="88" t="e">
        <f ca="1">IF(E111="","",VLOOKUP(5,'AISC Angle Database'!$F$6:$T$333,15,FALSE))</f>
        <v>#N/A</v>
      </c>
      <c r="W19" s="88" t="e">
        <f t="shared" ca="1" si="0"/>
        <v>#N/A</v>
      </c>
      <c r="X19" s="90" t="e">
        <f t="shared" ca="1" si="1"/>
        <v>#N/A</v>
      </c>
      <c r="Y19" s="90" t="e">
        <f t="shared" ca="1" si="2"/>
        <v>#N/A</v>
      </c>
      <c r="Z19" s="88" t="e">
        <f t="shared" ca="1" si="3"/>
        <v>#N/A</v>
      </c>
      <c r="AA19" s="91" t="e">
        <f t="shared" ca="1" si="4"/>
        <v>#N/A</v>
      </c>
      <c r="AB19" s="91" t="e">
        <f t="shared" ca="1" si="5"/>
        <v>#N/A</v>
      </c>
      <c r="AC19" s="91" t="e">
        <f t="shared" ca="1" si="6"/>
        <v>#N/A</v>
      </c>
      <c r="AD19" s="91" t="e">
        <f t="shared" ca="1" si="7"/>
        <v>#N/A</v>
      </c>
      <c r="AE19" s="91" t="e">
        <f t="shared" ca="1" si="8"/>
        <v>#N/A</v>
      </c>
      <c r="AF19" s="91" t="e">
        <f t="shared" ca="1" si="9"/>
        <v>#N/A</v>
      </c>
      <c r="AW19" s="79"/>
      <c r="AX19" s="79"/>
    </row>
    <row r="20" spans="2:50" ht="15" customHeight="1">
      <c r="B20" s="71"/>
      <c r="C20" s="93"/>
      <c r="D20" s="94" t="s">
        <v>908</v>
      </c>
      <c r="E20" s="62"/>
      <c r="F20" s="62"/>
      <c r="G20" s="62"/>
      <c r="H20" s="62"/>
      <c r="I20" s="62"/>
      <c r="J20" s="62"/>
      <c r="K20" s="62"/>
      <c r="L20" s="62"/>
      <c r="M20" s="62"/>
      <c r="N20" s="62"/>
      <c r="O20" s="62"/>
      <c r="P20" s="62"/>
      <c r="Q20" s="73"/>
      <c r="R20" s="88" t="e">
        <f ca="1">IF(E112="","",VLOOKUP(6,'AISC Angle Database'!$F$6:$T$333,14,FALSE))</f>
        <v>#N/A</v>
      </c>
      <c r="S20" s="88" t="e">
        <f ca="1">IF(E112="","",VLOOKUP(6,'AISC Angle Database'!$F$6:$Q$333,5,FALSE))</f>
        <v>#N/A</v>
      </c>
      <c r="T20" s="88" t="e">
        <f ca="1">IF(E112="","",VLOOKUP(6,'AISC Angle Database'!$F$6:$Q$333,6,FALSE))</f>
        <v>#N/A</v>
      </c>
      <c r="U20" s="89" t="e">
        <f ca="1">IF(E112="","",VLOOKUP(6,'AISC Angle Database'!$F$6:$T$333,13,FALSE))</f>
        <v>#N/A</v>
      </c>
      <c r="V20" s="88" t="e">
        <f ca="1">IF(E112="","",VLOOKUP(6,'AISC Angle Database'!$F$6:$T$333,15,FALSE))</f>
        <v>#N/A</v>
      </c>
      <c r="W20" s="88" t="e">
        <f t="shared" ca="1" si="0"/>
        <v>#N/A</v>
      </c>
      <c r="X20" s="90" t="e">
        <f t="shared" ca="1" si="1"/>
        <v>#N/A</v>
      </c>
      <c r="Y20" s="90" t="e">
        <f t="shared" ca="1" si="2"/>
        <v>#N/A</v>
      </c>
      <c r="Z20" s="88" t="e">
        <f t="shared" ca="1" si="3"/>
        <v>#N/A</v>
      </c>
      <c r="AA20" s="91" t="e">
        <f t="shared" ca="1" si="4"/>
        <v>#N/A</v>
      </c>
      <c r="AB20" s="91" t="e">
        <f t="shared" ca="1" si="5"/>
        <v>#N/A</v>
      </c>
      <c r="AC20" s="91" t="e">
        <f t="shared" ca="1" si="6"/>
        <v>#N/A</v>
      </c>
      <c r="AD20" s="91" t="e">
        <f t="shared" ca="1" si="7"/>
        <v>#N/A</v>
      </c>
      <c r="AE20" s="91" t="e">
        <f t="shared" ca="1" si="8"/>
        <v>#N/A</v>
      </c>
      <c r="AF20" s="91" t="e">
        <f t="shared" ca="1" si="9"/>
        <v>#N/A</v>
      </c>
      <c r="AW20" s="79"/>
      <c r="AX20" s="79"/>
    </row>
    <row r="21" spans="2:50" ht="15" customHeight="1">
      <c r="B21" s="71"/>
      <c r="C21" s="93"/>
      <c r="D21" s="62"/>
      <c r="E21" s="62" t="s">
        <v>943</v>
      </c>
      <c r="F21" s="62"/>
      <c r="G21" s="62"/>
      <c r="H21" s="62"/>
      <c r="I21" s="62"/>
      <c r="J21" s="62"/>
      <c r="K21" s="62"/>
      <c r="L21" s="62"/>
      <c r="M21" s="62"/>
      <c r="N21" s="62"/>
      <c r="O21" s="62"/>
      <c r="P21" s="62"/>
      <c r="Q21" s="73"/>
      <c r="R21" s="88" t="e">
        <f ca="1">IF(E113="","",VLOOKUP(7,'AISC Angle Database'!$F$6:$T$333,14,FALSE))</f>
        <v>#N/A</v>
      </c>
      <c r="S21" s="88" t="e">
        <f ca="1">IF(E113="","",VLOOKUP(7,'AISC Angle Database'!$F$6:$Q$333,5,FALSE))</f>
        <v>#N/A</v>
      </c>
      <c r="T21" s="88" t="e">
        <f ca="1">IF(E113="","",VLOOKUP(7,'AISC Angle Database'!$F$6:$Q$333,6,FALSE))</f>
        <v>#N/A</v>
      </c>
      <c r="U21" s="89" t="e">
        <f ca="1">IF(E113="","",VLOOKUP(7,'AISC Angle Database'!$F$6:$T$333,13,FALSE))</f>
        <v>#N/A</v>
      </c>
      <c r="V21" s="88" t="e">
        <f ca="1">IF(E113="","",VLOOKUP(7,'AISC Angle Database'!$F$6:$T$333,15,FALSE))</f>
        <v>#N/A</v>
      </c>
      <c r="W21" s="88" t="e">
        <f t="shared" ca="1" si="0"/>
        <v>#N/A</v>
      </c>
      <c r="X21" s="90" t="e">
        <f t="shared" ca="1" si="1"/>
        <v>#N/A</v>
      </c>
      <c r="Y21" s="90" t="e">
        <f t="shared" ca="1" si="2"/>
        <v>#N/A</v>
      </c>
      <c r="Z21" s="88" t="e">
        <f t="shared" ca="1" si="3"/>
        <v>#N/A</v>
      </c>
      <c r="AA21" s="91" t="e">
        <f t="shared" ca="1" si="4"/>
        <v>#N/A</v>
      </c>
      <c r="AB21" s="91" t="e">
        <f t="shared" ca="1" si="5"/>
        <v>#N/A</v>
      </c>
      <c r="AC21" s="91" t="e">
        <f t="shared" ca="1" si="6"/>
        <v>#N/A</v>
      </c>
      <c r="AD21" s="91" t="e">
        <f t="shared" ca="1" si="7"/>
        <v>#N/A</v>
      </c>
      <c r="AE21" s="91" t="e">
        <f t="shared" ca="1" si="8"/>
        <v>#N/A</v>
      </c>
      <c r="AF21" s="91" t="e">
        <f t="shared" ca="1" si="9"/>
        <v>#N/A</v>
      </c>
      <c r="AW21" s="79"/>
      <c r="AX21" s="79"/>
    </row>
    <row r="22" spans="2:50" ht="15" customHeight="1">
      <c r="B22" s="71"/>
      <c r="C22" s="93"/>
      <c r="D22" s="62"/>
      <c r="E22" s="62"/>
      <c r="F22" s="62"/>
      <c r="G22" s="62"/>
      <c r="H22" s="62"/>
      <c r="I22" s="62"/>
      <c r="J22" s="62"/>
      <c r="K22" s="62"/>
      <c r="L22" s="62"/>
      <c r="M22" s="62"/>
      <c r="N22" s="62"/>
      <c r="O22" s="62"/>
      <c r="P22" s="62"/>
      <c r="Q22" s="73"/>
      <c r="R22" s="88"/>
      <c r="S22" s="88"/>
      <c r="T22" s="88"/>
      <c r="U22" s="89"/>
      <c r="V22" s="88"/>
      <c r="W22" s="88"/>
      <c r="X22" s="90"/>
      <c r="Y22" s="90"/>
      <c r="Z22" s="88"/>
      <c r="AA22" s="91"/>
      <c r="AB22" s="91"/>
      <c r="AC22" s="91"/>
      <c r="AD22" s="91"/>
      <c r="AE22" s="91"/>
      <c r="AF22" s="91"/>
      <c r="AW22" s="79"/>
      <c r="AX22" s="79"/>
    </row>
    <row r="23" spans="2:50" ht="15" customHeight="1">
      <c r="B23" s="71"/>
      <c r="C23" s="93"/>
      <c r="D23" s="95" t="s">
        <v>959</v>
      </c>
      <c r="E23" s="62"/>
      <c r="F23" s="62"/>
      <c r="G23" s="62"/>
      <c r="H23" s="47" t="s">
        <v>952</v>
      </c>
      <c r="I23" s="62"/>
      <c r="J23" s="62"/>
      <c r="K23" s="62"/>
      <c r="L23" s="62"/>
      <c r="M23" s="62"/>
      <c r="N23" s="62"/>
      <c r="O23" s="62"/>
      <c r="P23" s="62"/>
      <c r="Q23" s="73"/>
      <c r="R23" s="88"/>
      <c r="S23" s="88"/>
      <c r="T23" s="88"/>
      <c r="U23" s="89"/>
      <c r="V23" s="88"/>
      <c r="W23" s="88"/>
      <c r="X23" s="90"/>
      <c r="Y23" s="90"/>
      <c r="Z23" s="88"/>
      <c r="AA23" s="91"/>
      <c r="AB23" s="91"/>
      <c r="AC23" s="91"/>
      <c r="AD23" s="91"/>
      <c r="AE23" s="91"/>
      <c r="AF23" s="91"/>
      <c r="AW23" s="79"/>
      <c r="AX23" s="79"/>
    </row>
    <row r="24" spans="2:50" ht="15" customHeight="1">
      <c r="B24" s="71"/>
      <c r="C24" s="93"/>
      <c r="D24" s="62"/>
      <c r="E24" s="62"/>
      <c r="F24" s="62"/>
      <c r="G24" s="62"/>
      <c r="H24" s="62"/>
      <c r="I24" s="62"/>
      <c r="J24" s="62"/>
      <c r="K24" s="62"/>
      <c r="L24" s="62"/>
      <c r="M24" s="62"/>
      <c r="N24" s="62"/>
      <c r="O24" s="62"/>
      <c r="P24" s="62"/>
      <c r="Q24" s="73"/>
      <c r="R24" s="88"/>
      <c r="S24" s="88"/>
      <c r="T24" s="88"/>
      <c r="U24" s="89"/>
      <c r="V24" s="88"/>
      <c r="W24" s="88"/>
      <c r="X24" s="90"/>
      <c r="Y24" s="90"/>
      <c r="Z24" s="88"/>
      <c r="AA24" s="91"/>
      <c r="AB24" s="91"/>
      <c r="AC24" s="91"/>
      <c r="AD24" s="91"/>
      <c r="AE24" s="91"/>
      <c r="AF24" s="91"/>
      <c r="AW24" s="79"/>
      <c r="AX24" s="79"/>
    </row>
    <row r="25" spans="2:50" ht="15" customHeight="1">
      <c r="B25" s="71"/>
      <c r="C25" s="62"/>
      <c r="D25" s="95" t="s">
        <v>22</v>
      </c>
      <c r="E25" s="94"/>
      <c r="F25" s="62"/>
      <c r="G25" s="62"/>
      <c r="H25" s="62"/>
      <c r="I25" s="62"/>
      <c r="J25" s="95" t="s">
        <v>960</v>
      </c>
      <c r="K25" s="62"/>
      <c r="L25" s="62"/>
      <c r="M25" s="62"/>
      <c r="N25" s="62"/>
      <c r="O25" s="62"/>
      <c r="P25" s="62"/>
      <c r="Q25" s="73"/>
      <c r="R25" s="88" t="e">
        <f ca="1">IF(E114="","",VLOOKUP(8,'AISC Angle Database'!$F$6:$T$333,14,FALSE))</f>
        <v>#N/A</v>
      </c>
      <c r="S25" s="88" t="e">
        <f ca="1">IF(E114="","",VLOOKUP(8,'AISC Angle Database'!$F$6:$Q$333,5,FALSE))</f>
        <v>#N/A</v>
      </c>
      <c r="T25" s="88" t="e">
        <f ca="1">IF(E114="","",VLOOKUP(8,'AISC Angle Database'!$F$6:$Q$333,6,FALSE))</f>
        <v>#N/A</v>
      </c>
      <c r="U25" s="89" t="e">
        <f ca="1">IF(E114="","",VLOOKUP(8,'AISC Angle Database'!$F$6:$T$333,13,FALSE))</f>
        <v>#N/A</v>
      </c>
      <c r="V25" s="88" t="e">
        <f ca="1">IF(E114="","",VLOOKUP(8,'AISC Angle Database'!$F$6:$T$333,15,FALSE))</f>
        <v>#N/A</v>
      </c>
      <c r="W25" s="88" t="e">
        <f t="shared" ref="W25:W37" ca="1" si="10">IF(E114="","",J114)</f>
        <v>#N/A</v>
      </c>
      <c r="X25" s="90" t="e">
        <f t="shared" ref="X25:X37" ca="1" si="11">IF(E114="","",IF(Z25="NA","NA",IF(AND(R25=1,S25=T25),$H$31*W25,"NA")))</f>
        <v>#N/A</v>
      </c>
      <c r="Y25" s="90" t="e">
        <f t="shared" ref="Y25:Y37" ca="1" si="12">IF(E114="","",IF(X25="NA","NA",1.5*X25))</f>
        <v>#N/A</v>
      </c>
      <c r="Z25" s="88" t="e">
        <f t="shared" ref="Z25:Z37" ca="1" si="13">IF(E114="","",IF(R25=2,"NA",IF(AND(R25=1,S25=T25),$H$29*12/S25,"NA")))</f>
        <v>#N/A</v>
      </c>
      <c r="AA25" s="91" t="e">
        <f t="shared" ref="AA25:AA37" ca="1" si="14">IF(E114="","",IF(Z25="NA","NA",IF(AND(R25=1,S25=T25),(1.64*29000/$H$31)*SQRT((U25/S25)^2-1.4*($H$31/29000)),"NA")))</f>
        <v>#N/A</v>
      </c>
      <c r="AB25" s="91" t="e">
        <f t="shared" ref="AB25:AB37" ca="1" si="15">IF(E114="","",IF(Z25="NA","NA",IF(AND(R25=1,S25=T25),(0.66*29000*S25^4*U25*1/($H$29*12)^2)*(SQRT(1+0.78*(($H$29*12)*U25)/S25^2)-1),"NA")))</f>
        <v>#N/A</v>
      </c>
      <c r="AC25" s="91" t="e">
        <f t="shared" ref="AC25:AC37" ca="1" si="16">IF(E114="","",IF(Z25="NA","NA",IF(Z25&lt;AA25,0.8*X25,IF(AB25&lt;=0.8*X25,(0.92-0.17*AB25/X25)*AB25,MAX((1.92-1.17*SQRT(X25/AB25))*0.8*X25,1.5*0.8*X25)))))</f>
        <v>#N/A</v>
      </c>
      <c r="AD25" s="91" t="e">
        <f t="shared" ref="AD25:AD37" ca="1" si="17">IF(E114="","",IF(Z25="NA","NA",IF(V25="Y","NA",IF(AND(R25=1,V25="N"),$H$31*W25*(2.43-1.72*(S25/U25)*(SQRT($H$31/29000))),"NA"))))</f>
        <v>#N/A</v>
      </c>
      <c r="AE25" s="91" t="e">
        <f t="shared" ref="AE25:AE37" ca="1" si="18">IF(E114="","",IF(Z25="NA","NA",MIN(Y25,AC25,AD25)))</f>
        <v>#N/A</v>
      </c>
      <c r="AF25" s="91" t="e">
        <f t="shared" ref="AF25:AF37" ca="1" si="19">IF(E114="","",IF(Z25="NA","NA",IF($H$23="LRFD",AE25*0.9,AE25/1.67)))</f>
        <v>#N/A</v>
      </c>
      <c r="AW25" s="79"/>
      <c r="AX25" s="79"/>
    </row>
    <row r="26" spans="2:50" ht="15" customHeight="1">
      <c r="B26" s="71"/>
      <c r="C26" s="62"/>
      <c r="D26" s="96"/>
      <c r="E26" s="62"/>
      <c r="F26" s="62"/>
      <c r="G26" s="62"/>
      <c r="H26" s="62"/>
      <c r="I26" s="62"/>
      <c r="J26" s="96"/>
      <c r="K26" s="62"/>
      <c r="L26" s="62"/>
      <c r="M26" s="62"/>
      <c r="N26" s="62"/>
      <c r="O26" s="62"/>
      <c r="P26" s="62"/>
      <c r="Q26" s="73"/>
      <c r="R26" s="88" t="e">
        <f ca="1">IF(E115="","",VLOOKUP(9,'AISC Angle Database'!$F$6:$T$333,14,FALSE))</f>
        <v>#N/A</v>
      </c>
      <c r="S26" s="88" t="e">
        <f ca="1">IF(E115="","",VLOOKUP(9,'AISC Angle Database'!$F$6:$Q$333,5,FALSE))</f>
        <v>#N/A</v>
      </c>
      <c r="T26" s="88" t="e">
        <f ca="1">IF(E115="","",VLOOKUP(9,'AISC Angle Database'!$F$6:$Q$333,6,FALSE))</f>
        <v>#N/A</v>
      </c>
      <c r="U26" s="89" t="e">
        <f ca="1">IF(E115="","",VLOOKUP(9,'AISC Angle Database'!$F$6:$T$333,13,FALSE))</f>
        <v>#N/A</v>
      </c>
      <c r="V26" s="88" t="e">
        <f ca="1">IF(E115="","",VLOOKUP(9,'AISC Angle Database'!$F$6:$T$333,15,FALSE))</f>
        <v>#N/A</v>
      </c>
      <c r="W26" s="88" t="e">
        <f t="shared" ca="1" si="10"/>
        <v>#N/A</v>
      </c>
      <c r="X26" s="90" t="e">
        <f t="shared" ca="1" si="11"/>
        <v>#N/A</v>
      </c>
      <c r="Y26" s="90" t="e">
        <f t="shared" ca="1" si="12"/>
        <v>#N/A</v>
      </c>
      <c r="Z26" s="88" t="e">
        <f t="shared" ca="1" si="13"/>
        <v>#N/A</v>
      </c>
      <c r="AA26" s="91" t="e">
        <f t="shared" ca="1" si="14"/>
        <v>#N/A</v>
      </c>
      <c r="AB26" s="91" t="e">
        <f t="shared" ca="1" si="15"/>
        <v>#N/A</v>
      </c>
      <c r="AC26" s="91" t="e">
        <f t="shared" ca="1" si="16"/>
        <v>#N/A</v>
      </c>
      <c r="AD26" s="91" t="e">
        <f t="shared" ca="1" si="17"/>
        <v>#N/A</v>
      </c>
      <c r="AE26" s="91" t="e">
        <f t="shared" ca="1" si="18"/>
        <v>#N/A</v>
      </c>
      <c r="AF26" s="91" t="e">
        <f t="shared" ca="1" si="19"/>
        <v>#N/A</v>
      </c>
      <c r="AW26" s="79"/>
      <c r="AX26" s="79"/>
    </row>
    <row r="27" spans="2:50" ht="15" customHeight="1">
      <c r="B27" s="71"/>
      <c r="C27" s="62"/>
      <c r="D27" s="62"/>
      <c r="E27" s="97" t="s">
        <v>4</v>
      </c>
      <c r="F27" s="62"/>
      <c r="G27" s="62"/>
      <c r="H27" s="47" t="s">
        <v>980</v>
      </c>
      <c r="I27" s="62"/>
      <c r="J27" s="98" t="s">
        <v>13</v>
      </c>
      <c r="K27" s="47" t="s">
        <v>19</v>
      </c>
      <c r="L27" s="76" t="s">
        <v>706</v>
      </c>
      <c r="M27" s="251">
        <f>$H$28*12/AJ10</f>
        <v>0.2</v>
      </c>
      <c r="N27" s="62" t="s">
        <v>9</v>
      </c>
      <c r="O27" s="62"/>
      <c r="P27" s="62"/>
      <c r="Q27" s="73"/>
      <c r="R27" s="88" t="e">
        <f ca="1">IF(E116="","",VLOOKUP(10,'AISC Angle Database'!$F$6:$T$333,14,FALSE))</f>
        <v>#N/A</v>
      </c>
      <c r="S27" s="88" t="e">
        <f ca="1">IF(E116="","",VLOOKUP(10,'AISC Angle Database'!$F$6:$Q$333,5,FALSE))</f>
        <v>#N/A</v>
      </c>
      <c r="T27" s="88" t="e">
        <f ca="1">IF(E116="","",VLOOKUP(10,'AISC Angle Database'!$F$6:$Q$333,6,FALSE))</f>
        <v>#N/A</v>
      </c>
      <c r="U27" s="89" t="e">
        <f ca="1">IF(E116="","",VLOOKUP(10,'AISC Angle Database'!$F$6:$T$333,13,FALSE))</f>
        <v>#N/A</v>
      </c>
      <c r="V27" s="88" t="e">
        <f ca="1">IF(E116="","",VLOOKUP(10,'AISC Angle Database'!$F$6:$T$333,15,FALSE))</f>
        <v>#N/A</v>
      </c>
      <c r="W27" s="88" t="e">
        <f t="shared" ca="1" si="10"/>
        <v>#N/A</v>
      </c>
      <c r="X27" s="90" t="e">
        <f t="shared" ca="1" si="11"/>
        <v>#N/A</v>
      </c>
      <c r="Y27" s="90" t="e">
        <f t="shared" ca="1" si="12"/>
        <v>#N/A</v>
      </c>
      <c r="Z27" s="88" t="e">
        <f t="shared" ca="1" si="13"/>
        <v>#N/A</v>
      </c>
      <c r="AA27" s="91" t="e">
        <f t="shared" ca="1" si="14"/>
        <v>#N/A</v>
      </c>
      <c r="AB27" s="91" t="e">
        <f t="shared" ca="1" si="15"/>
        <v>#N/A</v>
      </c>
      <c r="AC27" s="91" t="e">
        <f t="shared" ca="1" si="16"/>
        <v>#N/A</v>
      </c>
      <c r="AD27" s="91" t="e">
        <f t="shared" ca="1" si="17"/>
        <v>#N/A</v>
      </c>
      <c r="AE27" s="91" t="e">
        <f t="shared" ca="1" si="18"/>
        <v>#N/A</v>
      </c>
      <c r="AF27" s="91" t="e">
        <f t="shared" ca="1" si="19"/>
        <v>#N/A</v>
      </c>
      <c r="AW27" s="79"/>
      <c r="AX27" s="79"/>
    </row>
    <row r="28" spans="2:50" ht="15" customHeight="1">
      <c r="B28" s="71"/>
      <c r="C28" s="62"/>
      <c r="D28" s="62"/>
      <c r="E28" s="97" t="s">
        <v>777</v>
      </c>
      <c r="F28" s="62"/>
      <c r="G28" s="75" t="s">
        <v>715</v>
      </c>
      <c r="H28" s="47">
        <v>8</v>
      </c>
      <c r="I28" s="62" t="s">
        <v>21</v>
      </c>
      <c r="J28" s="98" t="s">
        <v>14</v>
      </c>
      <c r="K28" s="47" t="s">
        <v>17</v>
      </c>
      <c r="L28" s="76" t="s">
        <v>706</v>
      </c>
      <c r="M28" s="251">
        <f>$H$28*12/AJ11</f>
        <v>0.4</v>
      </c>
      <c r="N28" s="62" t="s">
        <v>9</v>
      </c>
      <c r="O28" s="62"/>
      <c r="P28" s="62"/>
      <c r="Q28" s="73"/>
      <c r="R28" s="88" t="e">
        <f ca="1">IF(E117="","",VLOOKUP(11,'AISC Angle Database'!$F$6:$T$333,14,FALSE))</f>
        <v>#N/A</v>
      </c>
      <c r="S28" s="88" t="e">
        <f ca="1">IF(E117="","",VLOOKUP(11,'AISC Angle Database'!$F$6:$Q$333,5,FALSE))</f>
        <v>#N/A</v>
      </c>
      <c r="T28" s="88" t="e">
        <f ca="1">IF(E117="","",VLOOKUP(11,'AISC Angle Database'!$F$6:$Q$333,6,FALSE))</f>
        <v>#N/A</v>
      </c>
      <c r="U28" s="89" t="e">
        <f ca="1">IF(E117="","",VLOOKUP(11,'AISC Angle Database'!$F$6:$T$333,13,FALSE))</f>
        <v>#N/A</v>
      </c>
      <c r="V28" s="88" t="e">
        <f ca="1">IF(E117="","",VLOOKUP(11,'AISC Angle Database'!$F$6:$T$333,15,FALSE))</f>
        <v>#N/A</v>
      </c>
      <c r="W28" s="88" t="e">
        <f t="shared" ca="1" si="10"/>
        <v>#N/A</v>
      </c>
      <c r="X28" s="90" t="e">
        <f t="shared" ca="1" si="11"/>
        <v>#N/A</v>
      </c>
      <c r="Y28" s="90" t="e">
        <f t="shared" ca="1" si="12"/>
        <v>#N/A</v>
      </c>
      <c r="Z28" s="88" t="e">
        <f t="shared" ca="1" si="13"/>
        <v>#N/A</v>
      </c>
      <c r="AA28" s="91" t="e">
        <f t="shared" ca="1" si="14"/>
        <v>#N/A</v>
      </c>
      <c r="AB28" s="91" t="e">
        <f t="shared" ca="1" si="15"/>
        <v>#N/A</v>
      </c>
      <c r="AC28" s="91" t="e">
        <f t="shared" ca="1" si="16"/>
        <v>#N/A</v>
      </c>
      <c r="AD28" s="91" t="e">
        <f t="shared" ca="1" si="17"/>
        <v>#N/A</v>
      </c>
      <c r="AE28" s="91" t="e">
        <f t="shared" ca="1" si="18"/>
        <v>#N/A</v>
      </c>
      <c r="AF28" s="91" t="e">
        <f t="shared" ca="1" si="19"/>
        <v>#N/A</v>
      </c>
      <c r="AW28" s="79"/>
      <c r="AX28" s="79"/>
    </row>
    <row r="29" spans="2:50" ht="15" customHeight="1">
      <c r="B29" s="71"/>
      <c r="C29" s="62"/>
      <c r="D29" s="62"/>
      <c r="E29" s="99" t="s">
        <v>762</v>
      </c>
      <c r="F29" s="62"/>
      <c r="G29" s="75" t="s">
        <v>765</v>
      </c>
      <c r="H29" s="55"/>
      <c r="I29" s="62" t="s">
        <v>21</v>
      </c>
      <c r="J29" s="98" t="s">
        <v>15</v>
      </c>
      <c r="K29" s="47" t="s">
        <v>19</v>
      </c>
      <c r="L29" s="64" t="s">
        <v>706</v>
      </c>
      <c r="M29" s="251">
        <f>$H$28*12/AJ12</f>
        <v>0.2</v>
      </c>
      <c r="N29" s="62" t="s">
        <v>9</v>
      </c>
      <c r="O29" s="62"/>
      <c r="P29" s="62"/>
      <c r="Q29" s="73"/>
      <c r="R29" s="88" t="str">
        <f>IF(E118="","",VLOOKUP(12,'AISC Angle Database'!$F$6:$T$333,14,FALSE))</f>
        <v/>
      </c>
      <c r="S29" s="88" t="str">
        <f>IF(E118="","",VLOOKUP(12,'AISC Angle Database'!$F$6:$Q$333,5,FALSE))</f>
        <v/>
      </c>
      <c r="T29" s="88" t="str">
        <f>IF(E118="","",VLOOKUP(12,'AISC Angle Database'!$F$6:$Q$333,6,FALSE))</f>
        <v/>
      </c>
      <c r="U29" s="89" t="str">
        <f>IF(E118="","",VLOOKUP(12,'AISC Angle Database'!$F$6:$T$333,13,FALSE))</f>
        <v/>
      </c>
      <c r="V29" s="88" t="str">
        <f>IF(E118="","",VLOOKUP(12,'AISC Angle Database'!$F$6:$T$333,15,FALSE))</f>
        <v/>
      </c>
      <c r="W29" s="88" t="str">
        <f t="shared" si="10"/>
        <v/>
      </c>
      <c r="X29" s="90" t="str">
        <f t="shared" si="11"/>
        <v/>
      </c>
      <c r="Y29" s="90" t="str">
        <f t="shared" si="12"/>
        <v/>
      </c>
      <c r="Z29" s="88" t="str">
        <f t="shared" si="13"/>
        <v/>
      </c>
      <c r="AA29" s="91" t="str">
        <f t="shared" si="14"/>
        <v/>
      </c>
      <c r="AB29" s="91" t="str">
        <f t="shared" si="15"/>
        <v/>
      </c>
      <c r="AC29" s="91" t="str">
        <f t="shared" si="16"/>
        <v/>
      </c>
      <c r="AD29" s="91" t="str">
        <f t="shared" si="17"/>
        <v/>
      </c>
      <c r="AE29" s="91" t="str">
        <f t="shared" si="18"/>
        <v/>
      </c>
      <c r="AF29" s="91" t="str">
        <f t="shared" si="19"/>
        <v/>
      </c>
      <c r="AW29" s="79"/>
      <c r="AX29" s="79"/>
    </row>
    <row r="30" spans="2:50" ht="15" customHeight="1">
      <c r="B30" s="71"/>
      <c r="C30" s="62"/>
      <c r="D30" s="62"/>
      <c r="E30" s="62"/>
      <c r="F30" s="62"/>
      <c r="G30" s="62"/>
      <c r="H30" s="62"/>
      <c r="I30" s="64"/>
      <c r="J30" s="76"/>
      <c r="K30" s="76"/>
      <c r="L30" s="100"/>
      <c r="M30" s="62"/>
      <c r="N30" s="62"/>
      <c r="O30" s="62"/>
      <c r="P30" s="62"/>
      <c r="Q30" s="73"/>
      <c r="R30" s="88" t="str">
        <f>IF(E119="","",VLOOKUP(13,'AISC Angle Database'!$F$6:$T$333,14,FALSE))</f>
        <v/>
      </c>
      <c r="S30" s="88" t="str">
        <f>IF(E119="","",VLOOKUP(13,'AISC Angle Database'!$F$6:$Q$333,5,FALSE))</f>
        <v/>
      </c>
      <c r="T30" s="88" t="str">
        <f>IF(E119="","",VLOOKUP(13,'AISC Angle Database'!$F$6:$Q$333,6,FALSE))</f>
        <v/>
      </c>
      <c r="U30" s="89" t="str">
        <f>IF(E119="","",VLOOKUP(13,'AISC Angle Database'!$F$6:$T$333,13,FALSE))</f>
        <v/>
      </c>
      <c r="V30" s="88" t="str">
        <f>IF(E119="","",VLOOKUP(13,'AISC Angle Database'!$F$6:$T$333,15,FALSE))</f>
        <v/>
      </c>
      <c r="W30" s="88" t="str">
        <f t="shared" si="10"/>
        <v/>
      </c>
      <c r="X30" s="90" t="str">
        <f t="shared" si="11"/>
        <v/>
      </c>
      <c r="Y30" s="90" t="str">
        <f t="shared" si="12"/>
        <v/>
      </c>
      <c r="Z30" s="88" t="str">
        <f t="shared" si="13"/>
        <v/>
      </c>
      <c r="AA30" s="91" t="str">
        <f t="shared" si="14"/>
        <v/>
      </c>
      <c r="AB30" s="91" t="str">
        <f t="shared" si="15"/>
        <v/>
      </c>
      <c r="AC30" s="91" t="str">
        <f t="shared" si="16"/>
        <v/>
      </c>
      <c r="AD30" s="91" t="str">
        <f t="shared" si="17"/>
        <v/>
      </c>
      <c r="AE30" s="91" t="str">
        <f t="shared" si="18"/>
        <v/>
      </c>
      <c r="AF30" s="91" t="str">
        <f t="shared" si="19"/>
        <v/>
      </c>
      <c r="AW30" s="79"/>
      <c r="AX30" s="79"/>
    </row>
    <row r="31" spans="2:50" ht="15" customHeight="1">
      <c r="B31" s="71"/>
      <c r="C31" s="62"/>
      <c r="D31" s="62"/>
      <c r="E31" s="101" t="s">
        <v>7</v>
      </c>
      <c r="F31" s="62"/>
      <c r="G31" s="75" t="s">
        <v>718</v>
      </c>
      <c r="H31" s="47">
        <v>36</v>
      </c>
      <c r="I31" s="62" t="s">
        <v>0</v>
      </c>
      <c r="J31" s="102"/>
      <c r="K31" s="62"/>
      <c r="L31" s="62"/>
      <c r="M31" s="62"/>
      <c r="N31" s="62"/>
      <c r="O31" s="62"/>
      <c r="P31" s="62"/>
      <c r="Q31" s="73"/>
      <c r="R31" s="88" t="str">
        <f>IF(E120="","",VLOOKUP(14,'AISC Angle Database'!$F$6:$T$333,14,FALSE))</f>
        <v/>
      </c>
      <c r="S31" s="88" t="str">
        <f>IF(E120="","",VLOOKUP(14,'AISC Angle Database'!$F$6:$Q$333,5,FALSE))</f>
        <v/>
      </c>
      <c r="T31" s="88" t="str">
        <f>IF(E120="","",VLOOKUP(14,'AISC Angle Database'!$F$6:$Q$333,6,FALSE))</f>
        <v/>
      </c>
      <c r="U31" s="89" t="str">
        <f>IF(E120="","",VLOOKUP(14,'AISC Angle Database'!$F$6:$T$333,13,FALSE))</f>
        <v/>
      </c>
      <c r="V31" s="88" t="str">
        <f>IF(E120="","",VLOOKUP(13,'AISC Angle Database'!$F$6:$T$333,15,FALSE))</f>
        <v/>
      </c>
      <c r="W31" s="88" t="str">
        <f t="shared" si="10"/>
        <v/>
      </c>
      <c r="X31" s="90" t="str">
        <f t="shared" si="11"/>
        <v/>
      </c>
      <c r="Y31" s="90" t="str">
        <f t="shared" si="12"/>
        <v/>
      </c>
      <c r="Z31" s="88" t="str">
        <f t="shared" si="13"/>
        <v/>
      </c>
      <c r="AA31" s="91" t="str">
        <f t="shared" si="14"/>
        <v/>
      </c>
      <c r="AB31" s="91" t="str">
        <f t="shared" si="15"/>
        <v/>
      </c>
      <c r="AC31" s="91" t="str">
        <f t="shared" si="16"/>
        <v/>
      </c>
      <c r="AD31" s="91" t="str">
        <f t="shared" si="17"/>
        <v/>
      </c>
      <c r="AE31" s="91" t="str">
        <f t="shared" si="18"/>
        <v/>
      </c>
      <c r="AF31" s="91" t="str">
        <f t="shared" si="19"/>
        <v/>
      </c>
      <c r="AW31" s="79"/>
      <c r="AX31" s="79"/>
    </row>
    <row r="32" spans="2:50" ht="15" customHeight="1">
      <c r="B32" s="71"/>
      <c r="C32" s="62"/>
      <c r="D32" s="103"/>
      <c r="E32" s="62"/>
      <c r="F32" s="62"/>
      <c r="G32" s="75" t="s">
        <v>766</v>
      </c>
      <c r="H32" s="47">
        <v>29000</v>
      </c>
      <c r="I32" s="104" t="s">
        <v>0</v>
      </c>
      <c r="J32" s="102"/>
      <c r="K32" s="62"/>
      <c r="L32" s="62"/>
      <c r="M32" s="62"/>
      <c r="N32" s="62"/>
      <c r="O32" s="62"/>
      <c r="P32" s="62"/>
      <c r="Q32" s="73"/>
      <c r="R32" s="88" t="str">
        <f>IF(E121="","",VLOOKUP(15,'AISC Angle Database'!$F$6:$T$333,14,FALSE))</f>
        <v/>
      </c>
      <c r="S32" s="88" t="str">
        <f>IF(E121="","",VLOOKUP(15,'AISC Angle Database'!$F$6:$Q$333,5,FALSE))</f>
        <v/>
      </c>
      <c r="T32" s="88" t="str">
        <f>IF(E121="","",VLOOKUP(15,'AISC Angle Database'!$F$6:$Q$333,6,FALSE))</f>
        <v/>
      </c>
      <c r="U32" s="89" t="str">
        <f>IF(E121="","",VLOOKUP(15,'AISC Angle Database'!$F$6:$T$333,13,FALSE))</f>
        <v/>
      </c>
      <c r="V32" s="88" t="str">
        <f>IF(E121="","",VLOOKUP(15,'AISC Angle Database'!$F$6:$T$333,15,FALSE))</f>
        <v/>
      </c>
      <c r="W32" s="88" t="str">
        <f t="shared" si="10"/>
        <v/>
      </c>
      <c r="X32" s="90" t="str">
        <f t="shared" si="11"/>
        <v/>
      </c>
      <c r="Y32" s="90" t="str">
        <f t="shared" si="12"/>
        <v/>
      </c>
      <c r="Z32" s="88" t="str">
        <f t="shared" si="13"/>
        <v/>
      </c>
      <c r="AA32" s="91" t="str">
        <f t="shared" si="14"/>
        <v/>
      </c>
      <c r="AB32" s="91" t="str">
        <f t="shared" si="15"/>
        <v/>
      </c>
      <c r="AC32" s="91" t="str">
        <f t="shared" si="16"/>
        <v/>
      </c>
      <c r="AD32" s="91" t="str">
        <f t="shared" si="17"/>
        <v/>
      </c>
      <c r="AE32" s="91" t="str">
        <f t="shared" si="18"/>
        <v/>
      </c>
      <c r="AF32" s="91" t="str">
        <f t="shared" si="19"/>
        <v/>
      </c>
      <c r="AW32" s="79"/>
      <c r="AX32" s="79"/>
    </row>
    <row r="33" spans="2:50" ht="15" customHeight="1">
      <c r="B33" s="71"/>
      <c r="C33" s="105"/>
      <c r="D33" s="105"/>
      <c r="E33" s="105"/>
      <c r="F33" s="105"/>
      <c r="G33" s="105"/>
      <c r="H33" s="105"/>
      <c r="I33" s="105"/>
      <c r="J33" s="106"/>
      <c r="K33" s="105"/>
      <c r="L33" s="105"/>
      <c r="M33" s="105"/>
      <c r="N33" s="105"/>
      <c r="O33" s="105"/>
      <c r="P33" s="105"/>
      <c r="Q33" s="73"/>
      <c r="R33" s="88" t="str">
        <f>IF(E122="","",VLOOKUP(16,'AISC Angle Database'!$F$6:$T$333,14,FALSE))</f>
        <v/>
      </c>
      <c r="S33" s="88" t="str">
        <f>IF(E122="","",VLOOKUP(16,'AISC Angle Database'!$F$6:$Q$333,5,FALSE))</f>
        <v/>
      </c>
      <c r="T33" s="88" t="str">
        <f>IF(E122="","",VLOOKUP(16,'AISC Angle Database'!$F$6:$Q$333,6,FALSE))</f>
        <v/>
      </c>
      <c r="U33" s="89" t="str">
        <f>IF(E122="","",VLOOKUP(16,'AISC Angle Database'!$F$6:$T$333,13,FALSE))</f>
        <v/>
      </c>
      <c r="V33" s="88" t="str">
        <f>IF(E122="","",VLOOKUP(16,'AISC Angle Database'!$F$6:$T$333,15,FALSE))</f>
        <v/>
      </c>
      <c r="W33" s="88" t="str">
        <f t="shared" si="10"/>
        <v/>
      </c>
      <c r="X33" s="90" t="str">
        <f t="shared" si="11"/>
        <v/>
      </c>
      <c r="Y33" s="90" t="str">
        <f t="shared" si="12"/>
        <v/>
      </c>
      <c r="Z33" s="88" t="str">
        <f t="shared" si="13"/>
        <v/>
      </c>
      <c r="AA33" s="91" t="str">
        <f t="shared" si="14"/>
        <v/>
      </c>
      <c r="AB33" s="91" t="str">
        <f t="shared" si="15"/>
        <v/>
      </c>
      <c r="AC33" s="91" t="str">
        <f t="shared" si="16"/>
        <v/>
      </c>
      <c r="AD33" s="91" t="str">
        <f t="shared" si="17"/>
        <v/>
      </c>
      <c r="AE33" s="91" t="str">
        <f t="shared" si="18"/>
        <v/>
      </c>
      <c r="AF33" s="91" t="str">
        <f t="shared" si="19"/>
        <v/>
      </c>
      <c r="AW33" s="79"/>
      <c r="AX33" s="79"/>
    </row>
    <row r="34" spans="2:50" ht="15" customHeight="1">
      <c r="B34" s="71"/>
      <c r="C34" s="62"/>
      <c r="D34" s="62"/>
      <c r="E34" s="62"/>
      <c r="F34" s="62"/>
      <c r="G34" s="62"/>
      <c r="H34" s="62"/>
      <c r="I34" s="62"/>
      <c r="J34" s="64"/>
      <c r="K34" s="62"/>
      <c r="L34" s="62"/>
      <c r="M34" s="62"/>
      <c r="N34" s="62"/>
      <c r="O34" s="62"/>
      <c r="P34" s="62"/>
      <c r="Q34" s="73"/>
      <c r="R34" s="88" t="str">
        <f>IF(E123="","",VLOOKUP(17,'AISC Angle Database'!$F$6:$T$333,14,FALSE))</f>
        <v/>
      </c>
      <c r="S34" s="88" t="str">
        <f>IF(E123="","",VLOOKUP(17,'AISC Angle Database'!$F$6:$Q$333,5,FALSE))</f>
        <v/>
      </c>
      <c r="T34" s="88" t="str">
        <f>IF(E123="","",VLOOKUP(17,'AISC Angle Database'!$F$6:$Q$333,6,FALSE))</f>
        <v/>
      </c>
      <c r="U34" s="89" t="str">
        <f>IF(E123="","",VLOOKUP(17,'AISC Angle Database'!$F$6:$T$333,13,FALSE))</f>
        <v/>
      </c>
      <c r="V34" s="88" t="str">
        <f>IF(E123="","",VLOOKUP(17,'AISC Angle Database'!$F$6:$T$333,15,FALSE))</f>
        <v/>
      </c>
      <c r="W34" s="88" t="str">
        <f t="shared" si="10"/>
        <v/>
      </c>
      <c r="X34" s="90" t="str">
        <f t="shared" si="11"/>
        <v/>
      </c>
      <c r="Y34" s="90" t="str">
        <f t="shared" si="12"/>
        <v/>
      </c>
      <c r="Z34" s="88" t="str">
        <f t="shared" si="13"/>
        <v/>
      </c>
      <c r="AA34" s="91" t="str">
        <f t="shared" si="14"/>
        <v/>
      </c>
      <c r="AB34" s="91" t="str">
        <f t="shared" si="15"/>
        <v/>
      </c>
      <c r="AC34" s="91" t="str">
        <f t="shared" si="16"/>
        <v/>
      </c>
      <c r="AD34" s="91" t="str">
        <f t="shared" si="17"/>
        <v/>
      </c>
      <c r="AE34" s="91" t="str">
        <f t="shared" si="18"/>
        <v/>
      </c>
      <c r="AF34" s="91" t="str">
        <f t="shared" si="19"/>
        <v/>
      </c>
      <c r="AW34" s="80"/>
      <c r="AX34" s="80"/>
    </row>
    <row r="35" spans="2:50" ht="15" customHeight="1">
      <c r="B35" s="71"/>
      <c r="C35" s="62"/>
      <c r="D35" s="95" t="s">
        <v>689</v>
      </c>
      <c r="E35" s="62"/>
      <c r="F35" s="62"/>
      <c r="G35" s="62"/>
      <c r="H35" s="62"/>
      <c r="I35" s="62"/>
      <c r="J35" s="62"/>
      <c r="K35" s="62"/>
      <c r="L35" s="62"/>
      <c r="M35" s="62"/>
      <c r="N35" s="62"/>
      <c r="O35" s="62"/>
      <c r="P35" s="62"/>
      <c r="Q35" s="73"/>
      <c r="R35" s="88" t="str">
        <f>IF(E124="","",VLOOKUP(18,'AISC Angle Database'!$F$6:$T$333,14,FALSE))</f>
        <v/>
      </c>
      <c r="S35" s="88" t="str">
        <f>IF(E124="","",VLOOKUP(18,'AISC Angle Database'!$F$6:$Q$333,5,FALSE))</f>
        <v/>
      </c>
      <c r="T35" s="88" t="str">
        <f>IF(E124="","",VLOOKUP(18,'AISC Angle Database'!$F$6:$Q$333,6,FALSE))</f>
        <v/>
      </c>
      <c r="U35" s="89" t="str">
        <f>IF(E124="","",VLOOKUP(18,'AISC Angle Database'!$F$6:$T$333,13,FALSE))</f>
        <v/>
      </c>
      <c r="V35" s="88" t="str">
        <f>IF(E124="","",VLOOKUP(18,'AISC Angle Database'!$F$6:$T$333,15,FALSE))</f>
        <v/>
      </c>
      <c r="W35" s="88" t="str">
        <f t="shared" si="10"/>
        <v/>
      </c>
      <c r="X35" s="90" t="str">
        <f t="shared" si="11"/>
        <v/>
      </c>
      <c r="Y35" s="90" t="str">
        <f t="shared" si="12"/>
        <v/>
      </c>
      <c r="Z35" s="88" t="str">
        <f t="shared" si="13"/>
        <v/>
      </c>
      <c r="AA35" s="91" t="str">
        <f t="shared" si="14"/>
        <v/>
      </c>
      <c r="AB35" s="91" t="str">
        <f t="shared" si="15"/>
        <v/>
      </c>
      <c r="AC35" s="91" t="str">
        <f t="shared" si="16"/>
        <v/>
      </c>
      <c r="AD35" s="91" t="str">
        <f t="shared" si="17"/>
        <v/>
      </c>
      <c r="AE35" s="91" t="str">
        <f t="shared" si="18"/>
        <v/>
      </c>
      <c r="AF35" s="91" t="str">
        <f t="shared" si="19"/>
        <v/>
      </c>
      <c r="AW35" s="79"/>
      <c r="AX35" s="80"/>
    </row>
    <row r="36" spans="2:50" ht="15" customHeight="1">
      <c r="B36" s="71"/>
      <c r="C36" s="62"/>
      <c r="D36" s="107"/>
      <c r="E36" s="62"/>
      <c r="F36" s="62"/>
      <c r="G36" s="62"/>
      <c r="H36" s="62"/>
      <c r="I36" s="62"/>
      <c r="J36" s="62"/>
      <c r="K36" s="62"/>
      <c r="L36" s="62"/>
      <c r="M36" s="62"/>
      <c r="N36" s="62"/>
      <c r="O36" s="62"/>
      <c r="P36" s="62"/>
      <c r="Q36" s="73"/>
      <c r="R36" s="88" t="str">
        <f>IF(E125="","",VLOOKUP(20,'AISC Angle Database'!$F$6:$T$333,14,FALSE))</f>
        <v/>
      </c>
      <c r="S36" s="88" t="str">
        <f>IF(E125="","",VLOOKUP(19,'AISC Angle Database'!$F$6:$Q$333,5,FALSE))</f>
        <v/>
      </c>
      <c r="T36" s="88" t="str">
        <f>IF(E125="","",VLOOKUP(19,'AISC Angle Database'!$F$6:$Q$333,6,FALSE))</f>
        <v/>
      </c>
      <c r="U36" s="89" t="str">
        <f>IF(E125="","",VLOOKUP(19,'AISC Angle Database'!$F$6:$T$333,13,FALSE))</f>
        <v/>
      </c>
      <c r="V36" s="88" t="str">
        <f>IF(E125="","",VLOOKUP(19,'AISC Angle Database'!$F$6:$T$333,15,FALSE))</f>
        <v/>
      </c>
      <c r="W36" s="88" t="str">
        <f t="shared" si="10"/>
        <v/>
      </c>
      <c r="X36" s="90" t="str">
        <f t="shared" si="11"/>
        <v/>
      </c>
      <c r="Y36" s="90" t="str">
        <f t="shared" si="12"/>
        <v/>
      </c>
      <c r="Z36" s="88" t="str">
        <f t="shared" si="13"/>
        <v/>
      </c>
      <c r="AA36" s="91" t="str">
        <f t="shared" si="14"/>
        <v/>
      </c>
      <c r="AB36" s="91" t="str">
        <f t="shared" si="15"/>
        <v/>
      </c>
      <c r="AC36" s="91" t="str">
        <f t="shared" si="16"/>
        <v/>
      </c>
      <c r="AD36" s="91" t="str">
        <f t="shared" si="17"/>
        <v/>
      </c>
      <c r="AE36" s="91" t="str">
        <f t="shared" si="18"/>
        <v/>
      </c>
      <c r="AF36" s="91" t="str">
        <f t="shared" si="19"/>
        <v/>
      </c>
    </row>
    <row r="37" spans="2:50" ht="15" customHeight="1">
      <c r="B37" s="71"/>
      <c r="C37" s="62"/>
      <c r="D37" s="62"/>
      <c r="E37" s="96" t="s">
        <v>900</v>
      </c>
      <c r="F37" s="62"/>
      <c r="G37" s="62"/>
      <c r="H37" s="62"/>
      <c r="I37" s="62"/>
      <c r="J37" s="62"/>
      <c r="K37" s="62"/>
      <c r="L37" s="62"/>
      <c r="M37" s="47" t="s">
        <v>685</v>
      </c>
      <c r="N37" s="62"/>
      <c r="O37" s="62"/>
      <c r="P37" s="62"/>
      <c r="Q37" s="73"/>
      <c r="R37" s="88" t="str">
        <f>IF(E126="","",VLOOKUP(19,'AISC Angle Database'!$F$6:$T$333,14,FALSE))</f>
        <v/>
      </c>
      <c r="S37" s="88" t="str">
        <f>IF(E126="","",VLOOKUP(20,'AISC Angle Database'!$F$6:$Q$333,5,FALSE))</f>
        <v/>
      </c>
      <c r="T37" s="88" t="str">
        <f>IF(E126="","",VLOOKUP(20,'AISC Angle Database'!$F$6:$Q$333,6,FALSE))</f>
        <v/>
      </c>
      <c r="U37" s="89" t="str">
        <f>IF(E126="","",VLOOKUP(20,'AISC Angle Database'!$F$6:$T$333,13,FALSE))</f>
        <v/>
      </c>
      <c r="V37" s="88" t="str">
        <f>IF(E126="","",VLOOKUP(20,'AISC Angle Database'!$F$6:$T$333,15,FALSE))</f>
        <v/>
      </c>
      <c r="W37" s="88" t="str">
        <f t="shared" si="10"/>
        <v/>
      </c>
      <c r="X37" s="90" t="str">
        <f t="shared" si="11"/>
        <v/>
      </c>
      <c r="Y37" s="90" t="str">
        <f t="shared" si="12"/>
        <v/>
      </c>
      <c r="Z37" s="88" t="str">
        <f t="shared" si="13"/>
        <v/>
      </c>
      <c r="AA37" s="91" t="str">
        <f t="shared" si="14"/>
        <v/>
      </c>
      <c r="AB37" s="91" t="str">
        <f t="shared" si="15"/>
        <v/>
      </c>
      <c r="AC37" s="91" t="str">
        <f t="shared" si="16"/>
        <v/>
      </c>
      <c r="AD37" s="91" t="str">
        <f t="shared" si="17"/>
        <v/>
      </c>
      <c r="AE37" s="91" t="str">
        <f t="shared" si="18"/>
        <v/>
      </c>
      <c r="AF37" s="91" t="str">
        <f t="shared" si="19"/>
        <v/>
      </c>
      <c r="AW37" s="79"/>
    </row>
    <row r="38" spans="2:50" ht="15" customHeight="1">
      <c r="B38" s="71"/>
      <c r="C38" s="62"/>
      <c r="D38" s="62"/>
      <c r="E38" s="107"/>
      <c r="F38" s="62"/>
      <c r="G38" s="62"/>
      <c r="H38" s="62"/>
      <c r="I38" s="62"/>
      <c r="J38" s="62"/>
      <c r="K38" s="62"/>
      <c r="L38" s="62"/>
      <c r="M38" s="62"/>
      <c r="N38" s="62"/>
      <c r="O38" s="62"/>
      <c r="P38" s="62"/>
      <c r="Q38" s="73"/>
      <c r="R38" s="71"/>
      <c r="S38" s="62"/>
      <c r="T38" s="62"/>
      <c r="U38" s="62"/>
      <c r="V38" s="62"/>
      <c r="W38" s="62"/>
      <c r="X38" s="62"/>
      <c r="Y38" s="62"/>
      <c r="Z38" s="62"/>
      <c r="AA38" s="62"/>
      <c r="AB38" s="62"/>
      <c r="AC38" s="62"/>
      <c r="AD38" s="62"/>
      <c r="AE38" s="62"/>
      <c r="AF38" s="73"/>
      <c r="AW38" s="77"/>
    </row>
    <row r="39" spans="2:50" ht="18" customHeight="1">
      <c r="B39" s="71"/>
      <c r="C39" s="62"/>
      <c r="D39" s="62"/>
      <c r="E39" s="108" t="s">
        <v>711</v>
      </c>
      <c r="F39" s="62"/>
      <c r="G39" s="62"/>
      <c r="H39" s="62"/>
      <c r="I39" s="62"/>
      <c r="J39" s="109" t="s">
        <v>712</v>
      </c>
      <c r="K39" s="62"/>
      <c r="L39" s="62"/>
      <c r="M39" s="62"/>
      <c r="N39" s="62"/>
      <c r="O39" s="62"/>
      <c r="P39" s="62"/>
      <c r="Q39" s="73"/>
      <c r="R39" s="71"/>
      <c r="S39" s="62"/>
      <c r="T39" s="62"/>
      <c r="U39" s="62"/>
      <c r="V39" s="62"/>
      <c r="W39" s="62"/>
      <c r="X39" s="62"/>
      <c r="Y39" s="62"/>
      <c r="Z39" s="62"/>
      <c r="AA39" s="62"/>
      <c r="AB39" s="62"/>
      <c r="AC39" s="62"/>
      <c r="AD39" s="62"/>
      <c r="AE39" s="62"/>
      <c r="AF39" s="73"/>
      <c r="AW39" s="79"/>
    </row>
    <row r="40" spans="2:50" ht="16.5" customHeight="1">
      <c r="B40" s="71"/>
      <c r="C40" s="62"/>
      <c r="D40" s="62"/>
      <c r="E40" s="84" t="s">
        <v>703</v>
      </c>
      <c r="F40" s="47">
        <v>4</v>
      </c>
      <c r="G40" s="62" t="s">
        <v>9</v>
      </c>
      <c r="H40" s="62"/>
      <c r="I40" s="62"/>
      <c r="J40" s="75" t="s">
        <v>704</v>
      </c>
      <c r="K40" s="47">
        <v>4</v>
      </c>
      <c r="L40" s="62" t="s">
        <v>9</v>
      </c>
      <c r="M40" s="62"/>
      <c r="N40" s="62"/>
      <c r="O40" s="62"/>
      <c r="P40" s="62"/>
      <c r="Q40" s="73"/>
      <c r="R40" s="71"/>
      <c r="S40" s="62"/>
      <c r="T40" s="62"/>
      <c r="U40" s="62"/>
      <c r="V40" s="62"/>
      <c r="W40" s="62"/>
      <c r="X40" s="62"/>
      <c r="Y40" s="62"/>
      <c r="Z40" s="62"/>
      <c r="AA40" s="62"/>
      <c r="AB40" s="62"/>
      <c r="AC40" s="62"/>
      <c r="AD40" s="62"/>
      <c r="AE40" s="62"/>
      <c r="AF40" s="73"/>
      <c r="AW40" s="110"/>
    </row>
    <row r="41" spans="2:50" ht="15" customHeight="1">
      <c r="B41" s="71"/>
      <c r="C41" s="62"/>
      <c r="D41" s="62"/>
      <c r="E41" s="75" t="s">
        <v>1</v>
      </c>
      <c r="F41" s="47">
        <v>8</v>
      </c>
      <c r="G41" s="62" t="s">
        <v>9</v>
      </c>
      <c r="H41" s="62"/>
      <c r="I41" s="62"/>
      <c r="J41" s="75" t="s">
        <v>705</v>
      </c>
      <c r="K41" s="47">
        <v>8</v>
      </c>
      <c r="L41" s="62" t="s">
        <v>9</v>
      </c>
      <c r="M41" s="62"/>
      <c r="N41" s="62"/>
      <c r="O41" s="62"/>
      <c r="P41" s="62"/>
      <c r="Q41" s="73"/>
      <c r="R41" s="71"/>
      <c r="S41" s="62"/>
      <c r="T41" s="62"/>
      <c r="U41" s="62"/>
      <c r="V41" s="62"/>
      <c r="W41" s="62"/>
      <c r="X41" s="62"/>
      <c r="Y41" s="62"/>
      <c r="Z41" s="62"/>
      <c r="AA41" s="62"/>
      <c r="AB41" s="62"/>
      <c r="AC41" s="62"/>
      <c r="AD41" s="62"/>
      <c r="AE41" s="62"/>
      <c r="AF41" s="73"/>
      <c r="AW41" s="110"/>
    </row>
    <row r="42" spans="2:50" ht="16.5" customHeight="1">
      <c r="B42" s="71"/>
      <c r="C42" s="62"/>
      <c r="D42" s="62"/>
      <c r="E42" s="62"/>
      <c r="F42" s="62"/>
      <c r="G42" s="62"/>
      <c r="H42" s="62"/>
      <c r="I42" s="62"/>
      <c r="J42" s="62"/>
      <c r="K42" s="62"/>
      <c r="L42" s="62"/>
      <c r="M42" s="62"/>
      <c r="N42" s="62"/>
      <c r="O42" s="62"/>
      <c r="P42" s="62"/>
      <c r="Q42" s="73"/>
      <c r="R42" s="71"/>
      <c r="S42" s="62"/>
      <c r="T42" s="62"/>
      <c r="U42" s="62"/>
      <c r="V42" s="62"/>
      <c r="W42" s="62"/>
      <c r="X42" s="62"/>
      <c r="Y42" s="62"/>
      <c r="Z42" s="62"/>
      <c r="AA42" s="62"/>
      <c r="AB42" s="62"/>
      <c r="AC42" s="62"/>
      <c r="AD42" s="62"/>
      <c r="AE42" s="62"/>
      <c r="AF42" s="73"/>
    </row>
    <row r="43" spans="2:50" ht="15" customHeight="1">
      <c r="B43" s="71"/>
      <c r="C43" s="62"/>
      <c r="D43" s="95" t="s">
        <v>865</v>
      </c>
      <c r="E43" s="62"/>
      <c r="F43" s="62"/>
      <c r="G43" s="62"/>
      <c r="H43" s="62"/>
      <c r="I43" s="62"/>
      <c r="J43" s="62"/>
      <c r="K43" s="62"/>
      <c r="L43" s="62"/>
      <c r="M43" s="47">
        <v>12</v>
      </c>
      <c r="N43" s="62"/>
      <c r="O43" s="62"/>
      <c r="P43" s="62"/>
      <c r="Q43" s="73"/>
      <c r="R43" s="71"/>
      <c r="S43" s="62"/>
      <c r="T43" s="62"/>
      <c r="U43" s="62"/>
      <c r="V43" s="62"/>
      <c r="W43" s="62"/>
      <c r="X43" s="62"/>
      <c r="Y43" s="62"/>
      <c r="Z43" s="62"/>
      <c r="AA43" s="62"/>
      <c r="AB43" s="62"/>
      <c r="AC43" s="62"/>
      <c r="AD43" s="62"/>
      <c r="AE43" s="62"/>
      <c r="AF43" s="73"/>
      <c r="AW43" s="110"/>
    </row>
    <row r="44" spans="2:50" ht="15" customHeight="1">
      <c r="B44" s="71"/>
      <c r="C44" s="62"/>
      <c r="D44" s="62"/>
      <c r="E44" s="62"/>
      <c r="F44" s="62"/>
      <c r="G44" s="62"/>
      <c r="H44" s="62"/>
      <c r="I44" s="62"/>
      <c r="J44" s="64"/>
      <c r="K44" s="62"/>
      <c r="L44" s="62"/>
      <c r="M44" s="62"/>
      <c r="N44" s="62"/>
      <c r="O44" s="62"/>
      <c r="P44" s="62"/>
      <c r="Q44" s="73"/>
      <c r="R44" s="71"/>
      <c r="S44" s="62"/>
      <c r="T44" s="62"/>
      <c r="U44" s="62"/>
      <c r="V44" s="62"/>
      <c r="W44" s="62"/>
      <c r="X44" s="62"/>
      <c r="Y44" s="62"/>
      <c r="Z44" s="62"/>
      <c r="AA44" s="62"/>
      <c r="AB44" s="62"/>
      <c r="AC44" s="62"/>
      <c r="AD44" s="62"/>
      <c r="AE44" s="62"/>
      <c r="AF44" s="73"/>
    </row>
    <row r="45" spans="2:50" ht="15" customHeight="1">
      <c r="B45" s="71"/>
      <c r="C45" s="62"/>
      <c r="D45" s="62"/>
      <c r="E45" s="62"/>
      <c r="F45" s="62"/>
      <c r="G45" s="62"/>
      <c r="H45" s="62"/>
      <c r="I45" s="62"/>
      <c r="J45" s="64"/>
      <c r="K45" s="62"/>
      <c r="L45" s="62"/>
      <c r="M45" s="62"/>
      <c r="N45" s="62"/>
      <c r="O45" s="62"/>
      <c r="P45" s="62"/>
      <c r="Q45" s="73"/>
      <c r="R45" s="71"/>
      <c r="S45" s="62"/>
      <c r="T45" s="62"/>
      <c r="U45" s="62"/>
      <c r="V45" s="62"/>
      <c r="W45" s="62"/>
      <c r="X45" s="62"/>
      <c r="Y45" s="62"/>
      <c r="Z45" s="62"/>
      <c r="AA45" s="62"/>
      <c r="AB45" s="62"/>
      <c r="AC45" s="62"/>
      <c r="AD45" s="62"/>
      <c r="AE45" s="62"/>
      <c r="AF45" s="73"/>
      <c r="AW45" s="111"/>
    </row>
    <row r="46" spans="2:50" ht="15" customHeight="1">
      <c r="B46" s="71"/>
      <c r="C46" s="62"/>
      <c r="D46" s="62"/>
      <c r="E46" s="62"/>
      <c r="F46" s="62"/>
      <c r="G46" s="62"/>
      <c r="H46" s="62"/>
      <c r="I46" s="62"/>
      <c r="J46" s="62"/>
      <c r="K46" s="62"/>
      <c r="L46" s="62"/>
      <c r="M46" s="62"/>
      <c r="N46" s="62"/>
      <c r="O46" s="62"/>
      <c r="P46" s="62"/>
      <c r="Q46" s="73"/>
      <c r="R46" s="71"/>
      <c r="S46" s="62"/>
      <c r="T46" s="62"/>
      <c r="U46" s="62"/>
      <c r="V46" s="62"/>
      <c r="W46" s="62"/>
      <c r="X46" s="62"/>
      <c r="Y46" s="62"/>
      <c r="Z46" s="62"/>
      <c r="AA46" s="62"/>
      <c r="AB46" s="62"/>
      <c r="AC46" s="62"/>
      <c r="AD46" s="62"/>
      <c r="AE46" s="62"/>
      <c r="AF46" s="73"/>
      <c r="AW46" s="111"/>
    </row>
    <row r="47" spans="2:50" ht="15" customHeight="1">
      <c r="B47" s="71"/>
      <c r="C47" s="62"/>
      <c r="D47" s="62"/>
      <c r="E47" s="62"/>
      <c r="F47" s="62"/>
      <c r="G47" s="62"/>
      <c r="H47" s="62"/>
      <c r="I47" s="62"/>
      <c r="J47" s="62"/>
      <c r="K47" s="62"/>
      <c r="L47" s="62"/>
      <c r="M47" s="62"/>
      <c r="N47" s="62"/>
      <c r="O47" s="62"/>
      <c r="P47" s="62"/>
      <c r="Q47" s="73"/>
      <c r="R47" s="71"/>
      <c r="S47" s="62"/>
      <c r="T47" s="62"/>
      <c r="U47" s="62"/>
      <c r="V47" s="62"/>
      <c r="W47" s="62"/>
      <c r="X47" s="62"/>
      <c r="Y47" s="62"/>
      <c r="Z47" s="62"/>
      <c r="AA47" s="62"/>
      <c r="AB47" s="62"/>
      <c r="AC47" s="62"/>
      <c r="AD47" s="62"/>
      <c r="AE47" s="62"/>
      <c r="AF47" s="73"/>
      <c r="AW47" s="111"/>
    </row>
    <row r="48" spans="2:50" ht="15" customHeight="1">
      <c r="B48" s="74"/>
      <c r="C48" s="105"/>
      <c r="D48" s="105"/>
      <c r="E48" s="105"/>
      <c r="F48" s="105"/>
      <c r="G48" s="105"/>
      <c r="H48" s="105"/>
      <c r="I48" s="105"/>
      <c r="J48" s="105"/>
      <c r="K48" s="105"/>
      <c r="L48" s="105"/>
      <c r="M48" s="105"/>
      <c r="N48" s="105"/>
      <c r="O48" s="105"/>
      <c r="P48" s="105"/>
      <c r="Q48" s="112"/>
      <c r="R48" s="74"/>
      <c r="S48" s="105"/>
      <c r="T48" s="105"/>
      <c r="U48" s="105"/>
      <c r="V48" s="105"/>
      <c r="W48" s="105"/>
      <c r="X48" s="105"/>
      <c r="Y48" s="105"/>
      <c r="Z48" s="105"/>
      <c r="AA48" s="105"/>
      <c r="AB48" s="105"/>
      <c r="AC48" s="105"/>
      <c r="AD48" s="105"/>
      <c r="AE48" s="105"/>
      <c r="AF48" s="112"/>
      <c r="AW48" s="111"/>
    </row>
    <row r="49" spans="1:49" ht="15" customHeight="1">
      <c r="B49" s="71"/>
      <c r="C49" s="62"/>
      <c r="D49" s="113"/>
      <c r="E49" s="243"/>
      <c r="F49" s="243"/>
      <c r="G49" s="243"/>
      <c r="H49" s="243"/>
      <c r="I49" s="243"/>
      <c r="J49" s="243"/>
      <c r="K49" s="243"/>
      <c r="L49" s="243"/>
      <c r="M49" s="243"/>
      <c r="N49" s="243"/>
      <c r="O49" s="243"/>
      <c r="P49" s="113"/>
      <c r="Q49" s="114"/>
      <c r="R49" s="370" t="s">
        <v>910</v>
      </c>
      <c r="S49" s="371"/>
      <c r="T49" s="371"/>
      <c r="U49" s="371"/>
      <c r="V49" s="371"/>
      <c r="W49" s="371"/>
      <c r="X49" s="371"/>
      <c r="Y49" s="371"/>
      <c r="Z49" s="371"/>
      <c r="AA49" s="371"/>
      <c r="AB49" s="371"/>
      <c r="AC49" s="371"/>
      <c r="AD49" s="371"/>
      <c r="AE49" s="371"/>
      <c r="AF49" s="372"/>
      <c r="AW49" s="111"/>
    </row>
    <row r="50" spans="1:49" ht="15" customHeight="1">
      <c r="B50" s="71"/>
      <c r="C50" s="62"/>
      <c r="E50" s="62"/>
      <c r="F50" s="62"/>
      <c r="G50" s="62"/>
      <c r="H50" s="62"/>
      <c r="I50" s="62"/>
      <c r="J50" s="64"/>
      <c r="K50" s="62"/>
      <c r="L50" s="62"/>
      <c r="M50" s="62"/>
      <c r="N50" s="62"/>
      <c r="O50" s="62"/>
      <c r="P50" s="62"/>
      <c r="Q50" s="73"/>
      <c r="R50" s="370"/>
      <c r="S50" s="371"/>
      <c r="T50" s="371"/>
      <c r="U50" s="371"/>
      <c r="V50" s="371"/>
      <c r="W50" s="371"/>
      <c r="X50" s="371"/>
      <c r="Y50" s="371"/>
      <c r="Z50" s="371"/>
      <c r="AA50" s="371"/>
      <c r="AB50" s="371"/>
      <c r="AC50" s="371"/>
      <c r="AD50" s="371"/>
      <c r="AE50" s="371"/>
      <c r="AF50" s="372"/>
    </row>
    <row r="51" spans="1:49" ht="15" customHeight="1">
      <c r="B51" s="71"/>
      <c r="C51" s="62"/>
      <c r="D51" s="95" t="s">
        <v>875</v>
      </c>
      <c r="E51" s="113"/>
      <c r="F51" s="113"/>
      <c r="G51" s="113"/>
      <c r="H51" s="113"/>
      <c r="I51" s="113"/>
      <c r="J51" s="113"/>
      <c r="K51" s="113"/>
      <c r="L51" s="113"/>
      <c r="M51" s="113"/>
      <c r="N51" s="113"/>
      <c r="O51" s="113"/>
      <c r="P51" s="113"/>
      <c r="Q51" s="114"/>
      <c r="R51" s="416" t="s">
        <v>911</v>
      </c>
      <c r="S51" s="417"/>
      <c r="T51" s="417"/>
      <c r="U51" s="417"/>
      <c r="V51" s="417"/>
      <c r="W51" s="417"/>
      <c r="X51" s="417"/>
      <c r="Y51" s="417"/>
      <c r="Z51" s="417"/>
      <c r="AA51" s="417"/>
      <c r="AB51" s="417"/>
      <c r="AC51" s="417"/>
      <c r="AD51" s="417"/>
      <c r="AE51" s="417"/>
      <c r="AF51" s="418"/>
    </row>
    <row r="52" spans="1:49" ht="15" customHeight="1">
      <c r="B52" s="71"/>
      <c r="C52" s="62"/>
      <c r="D52" s="288" t="s">
        <v>953</v>
      </c>
      <c r="E52" s="288"/>
      <c r="F52" s="288"/>
      <c r="G52" s="288"/>
      <c r="H52" s="288"/>
      <c r="I52" s="288"/>
      <c r="J52" s="288"/>
      <c r="K52" s="288"/>
      <c r="L52" s="288"/>
      <c r="M52" s="288"/>
      <c r="N52" s="288"/>
      <c r="O52" s="288"/>
      <c r="P52" s="113"/>
      <c r="Q52" s="114"/>
      <c r="R52" s="63"/>
      <c r="S52" s="64"/>
      <c r="T52" s="64"/>
      <c r="U52" s="64"/>
      <c r="V52" s="64"/>
      <c r="W52" s="64"/>
      <c r="X52" s="98" t="s">
        <v>860</v>
      </c>
      <c r="Y52" s="64"/>
      <c r="Z52" s="64"/>
      <c r="AA52" s="64"/>
      <c r="AB52" s="64"/>
      <c r="AC52" s="64"/>
      <c r="AD52" s="64"/>
      <c r="AE52" s="64"/>
      <c r="AF52" s="115"/>
    </row>
    <row r="53" spans="1:49" ht="15" customHeight="1">
      <c r="B53" s="71"/>
      <c r="C53" s="62"/>
      <c r="D53" s="288"/>
      <c r="E53" s="288"/>
      <c r="F53" s="288"/>
      <c r="G53" s="288"/>
      <c r="H53" s="288"/>
      <c r="I53" s="288"/>
      <c r="J53" s="288"/>
      <c r="K53" s="288"/>
      <c r="L53" s="288"/>
      <c r="M53" s="288"/>
      <c r="N53" s="288"/>
      <c r="O53" s="288"/>
      <c r="P53" s="113"/>
      <c r="Q53" s="114"/>
      <c r="R53" s="63"/>
      <c r="S53" s="64"/>
      <c r="T53" s="64"/>
      <c r="U53" s="64" t="s">
        <v>844</v>
      </c>
      <c r="V53" s="64"/>
      <c r="W53" s="93" t="s">
        <v>965</v>
      </c>
      <c r="X53" s="64"/>
      <c r="Y53" s="64"/>
      <c r="Z53" s="64"/>
      <c r="AA53" s="64"/>
      <c r="AB53" s="64"/>
      <c r="AC53" s="64"/>
      <c r="AD53" s="64"/>
      <c r="AE53" s="64"/>
      <c r="AF53" s="115"/>
    </row>
    <row r="54" spans="1:49" ht="15" customHeight="1">
      <c r="B54" s="71"/>
      <c r="C54" s="62"/>
      <c r="D54" s="243"/>
      <c r="E54" s="243"/>
      <c r="F54" s="243"/>
      <c r="G54" s="243"/>
      <c r="H54" s="243"/>
      <c r="I54" s="243"/>
      <c r="J54" s="243"/>
      <c r="K54" s="243"/>
      <c r="L54" s="243"/>
      <c r="M54" s="243"/>
      <c r="N54" s="243"/>
      <c r="O54" s="243"/>
      <c r="P54" s="113"/>
      <c r="Q54" s="114"/>
      <c r="R54" s="63"/>
      <c r="S54" s="64"/>
      <c r="T54" s="64"/>
      <c r="U54" s="64"/>
      <c r="V54" s="64"/>
      <c r="W54" s="64"/>
      <c r="X54" s="64"/>
      <c r="Y54" s="64"/>
      <c r="Z54" s="64"/>
      <c r="AA54" s="64"/>
      <c r="AB54" s="64"/>
      <c r="AC54" s="64"/>
      <c r="AD54" s="64"/>
      <c r="AE54" s="64"/>
      <c r="AF54" s="115"/>
    </row>
    <row r="55" spans="1:49" ht="15" customHeight="1">
      <c r="B55" s="71"/>
      <c r="C55" s="62"/>
      <c r="D55" s="288" t="s">
        <v>948</v>
      </c>
      <c r="E55" s="288"/>
      <c r="F55" s="288"/>
      <c r="G55" s="288"/>
      <c r="H55" s="288"/>
      <c r="I55" s="288"/>
      <c r="J55" s="288"/>
      <c r="K55" s="288"/>
      <c r="L55" s="288"/>
      <c r="M55" s="288"/>
      <c r="N55" s="288"/>
      <c r="O55" s="288"/>
      <c r="P55" s="113"/>
      <c r="Q55" s="114"/>
      <c r="R55" s="63"/>
      <c r="S55" s="64"/>
      <c r="T55" s="64"/>
      <c r="U55" s="64"/>
      <c r="V55" s="64"/>
      <c r="W55" s="64" t="s">
        <v>967</v>
      </c>
      <c r="X55" s="64"/>
      <c r="Y55" s="64" t="s">
        <v>858</v>
      </c>
      <c r="Z55" s="64"/>
      <c r="AA55" s="64"/>
      <c r="AB55" s="64"/>
      <c r="AC55" s="64"/>
      <c r="AD55" s="64"/>
      <c r="AE55" s="64"/>
      <c r="AF55" s="115"/>
    </row>
    <row r="56" spans="1:49" ht="15" customHeight="1">
      <c r="B56" s="71"/>
      <c r="C56" s="62"/>
      <c r="D56" s="288"/>
      <c r="E56" s="288"/>
      <c r="F56" s="288"/>
      <c r="G56" s="288"/>
      <c r="H56" s="288"/>
      <c r="I56" s="288"/>
      <c r="J56" s="288"/>
      <c r="K56" s="288"/>
      <c r="L56" s="288"/>
      <c r="M56" s="288"/>
      <c r="N56" s="288"/>
      <c r="O56" s="288"/>
      <c r="P56" s="113"/>
      <c r="Q56" s="114"/>
      <c r="R56" s="63"/>
      <c r="S56" s="64"/>
      <c r="T56" s="64"/>
      <c r="U56" s="64"/>
      <c r="V56" s="64"/>
      <c r="W56" s="64"/>
      <c r="X56" s="64"/>
      <c r="Y56" s="64"/>
      <c r="Z56" s="64"/>
      <c r="AA56" s="64" t="s">
        <v>843</v>
      </c>
      <c r="AB56" s="64"/>
      <c r="AC56" s="64"/>
      <c r="AD56" s="64"/>
      <c r="AE56" s="64"/>
      <c r="AF56" s="115"/>
    </row>
    <row r="57" spans="1:49" ht="15" customHeight="1">
      <c r="B57" s="71"/>
      <c r="C57" s="62"/>
      <c r="D57" s="288"/>
      <c r="E57" s="288"/>
      <c r="F57" s="288"/>
      <c r="G57" s="288"/>
      <c r="H57" s="288"/>
      <c r="I57" s="288"/>
      <c r="J57" s="288"/>
      <c r="K57" s="288"/>
      <c r="L57" s="288"/>
      <c r="M57" s="288"/>
      <c r="N57" s="288"/>
      <c r="O57" s="288"/>
      <c r="P57" s="113"/>
      <c r="Q57" s="114"/>
      <c r="R57" s="63"/>
      <c r="S57" s="64"/>
      <c r="T57" s="64"/>
      <c r="U57" s="64"/>
      <c r="V57" s="64"/>
      <c r="W57" s="64"/>
      <c r="X57" s="64"/>
      <c r="Y57" s="64"/>
      <c r="Z57" s="64"/>
      <c r="AA57" s="64"/>
      <c r="AB57" s="64"/>
      <c r="AC57" s="64"/>
      <c r="AD57" s="64"/>
      <c r="AE57" s="64"/>
      <c r="AF57" s="115"/>
    </row>
    <row r="58" spans="1:49" ht="15" customHeight="1">
      <c r="A58" s="116"/>
      <c r="B58" s="71"/>
      <c r="C58" s="62"/>
      <c r="D58" s="288"/>
      <c r="E58" s="288"/>
      <c r="F58" s="288"/>
      <c r="G58" s="288"/>
      <c r="H58" s="288"/>
      <c r="I58" s="288"/>
      <c r="J58" s="288"/>
      <c r="K58" s="288"/>
      <c r="L58" s="288"/>
      <c r="M58" s="288"/>
      <c r="N58" s="288"/>
      <c r="O58" s="288"/>
      <c r="P58" s="113"/>
      <c r="Q58" s="114"/>
      <c r="R58" s="63"/>
      <c r="S58" s="64"/>
      <c r="T58" s="64"/>
      <c r="U58" s="64"/>
      <c r="V58" s="64" t="s">
        <v>857</v>
      </c>
      <c r="W58" s="64"/>
      <c r="X58" s="64" t="s">
        <v>855</v>
      </c>
      <c r="Y58" s="64"/>
      <c r="Z58" s="64"/>
      <c r="AA58" s="64"/>
      <c r="AB58" s="64"/>
      <c r="AC58" s="64"/>
      <c r="AD58" s="64"/>
      <c r="AE58" s="64"/>
      <c r="AF58" s="115"/>
    </row>
    <row r="59" spans="1:49" ht="15" customHeight="1" thickBot="1">
      <c r="A59" s="116"/>
      <c r="B59" s="71"/>
      <c r="C59" s="62"/>
      <c r="D59" s="113"/>
      <c r="E59" s="243"/>
      <c r="F59" s="243"/>
      <c r="G59" s="243"/>
      <c r="H59" s="243"/>
      <c r="I59" s="243"/>
      <c r="J59" s="243"/>
      <c r="K59" s="243"/>
      <c r="L59" s="243"/>
      <c r="M59" s="243"/>
      <c r="N59" s="243"/>
      <c r="O59" s="243"/>
      <c r="P59" s="113"/>
      <c r="Q59" s="114"/>
      <c r="R59" s="63"/>
      <c r="S59" s="64"/>
      <c r="T59" s="64"/>
      <c r="U59" s="64"/>
      <c r="V59" s="64"/>
      <c r="W59" s="64"/>
      <c r="X59" s="64"/>
      <c r="Y59" s="64"/>
      <c r="Z59" s="64"/>
      <c r="AA59" s="64"/>
      <c r="AB59" s="64"/>
      <c r="AC59" s="64"/>
      <c r="AD59" s="64"/>
      <c r="AE59" s="64"/>
      <c r="AF59" s="115"/>
    </row>
    <row r="60" spans="1:49" ht="15" customHeight="1">
      <c r="A60" s="116"/>
      <c r="B60" s="71"/>
      <c r="C60" s="62"/>
      <c r="D60" s="113"/>
      <c r="E60" s="434" t="s">
        <v>950</v>
      </c>
      <c r="F60" s="435"/>
      <c r="G60" s="435"/>
      <c r="H60" s="435"/>
      <c r="I60" s="435"/>
      <c r="J60" s="435"/>
      <c r="K60" s="435"/>
      <c r="L60" s="435"/>
      <c r="M60" s="436"/>
      <c r="N60" s="243"/>
      <c r="O60" s="243"/>
      <c r="P60" s="113"/>
      <c r="Q60" s="114"/>
      <c r="R60" s="63"/>
      <c r="S60" s="64"/>
      <c r="T60" s="64"/>
      <c r="U60" s="64"/>
      <c r="V60" s="64"/>
      <c r="W60" s="64"/>
      <c r="X60" s="64"/>
      <c r="Y60" s="64" t="s">
        <v>853</v>
      </c>
      <c r="Z60" s="64"/>
      <c r="AA60" s="64" t="s">
        <v>859</v>
      </c>
      <c r="AB60" s="64"/>
      <c r="AC60" s="64"/>
      <c r="AD60" s="64"/>
      <c r="AE60" s="64"/>
      <c r="AF60" s="115"/>
    </row>
    <row r="61" spans="1:49" ht="15" customHeight="1" thickBot="1">
      <c r="A61" s="116"/>
      <c r="B61" s="71"/>
      <c r="C61" s="62"/>
      <c r="D61" s="117"/>
      <c r="E61" s="437"/>
      <c r="F61" s="438"/>
      <c r="G61" s="438"/>
      <c r="H61" s="438"/>
      <c r="I61" s="438"/>
      <c r="J61" s="438"/>
      <c r="K61" s="438"/>
      <c r="L61" s="438"/>
      <c r="M61" s="439"/>
      <c r="N61" s="117"/>
      <c r="O61" s="117"/>
      <c r="P61" s="117"/>
      <c r="Q61" s="118"/>
      <c r="R61" s="63"/>
      <c r="S61" s="64"/>
      <c r="T61" s="64"/>
      <c r="U61" s="64"/>
      <c r="V61" s="64"/>
      <c r="W61" s="64"/>
      <c r="X61" s="64"/>
      <c r="Y61" s="64"/>
      <c r="Z61" s="64"/>
      <c r="AA61" s="64"/>
      <c r="AB61" s="98" t="s">
        <v>842</v>
      </c>
      <c r="AC61" s="64"/>
      <c r="AD61" s="64"/>
      <c r="AE61" s="64"/>
      <c r="AF61" s="115"/>
    </row>
    <row r="62" spans="1:49" ht="15" customHeight="1">
      <c r="A62" s="116"/>
      <c r="B62" s="71"/>
      <c r="C62" s="62"/>
      <c r="D62" s="62"/>
      <c r="E62" s="430" t="s">
        <v>879</v>
      </c>
      <c r="F62" s="423"/>
      <c r="G62" s="431"/>
      <c r="H62" s="430" t="s">
        <v>880</v>
      </c>
      <c r="I62" s="423"/>
      <c r="J62" s="431"/>
      <c r="K62" s="430" t="s">
        <v>881</v>
      </c>
      <c r="L62" s="423"/>
      <c r="M62" s="431"/>
      <c r="N62" s="62"/>
      <c r="O62" s="62"/>
      <c r="P62" s="62"/>
      <c r="Q62" s="73"/>
      <c r="R62" s="63"/>
      <c r="S62" s="64"/>
      <c r="T62" s="64"/>
      <c r="U62" s="64"/>
      <c r="V62" s="64"/>
      <c r="W62" s="64"/>
      <c r="X62" s="64"/>
      <c r="Y62" s="75" t="s">
        <v>856</v>
      </c>
      <c r="Z62" s="64"/>
      <c r="AA62" s="64"/>
      <c r="AB62" s="64"/>
      <c r="AC62" s="64"/>
      <c r="AD62" s="64"/>
      <c r="AE62" s="64"/>
      <c r="AF62" s="115"/>
    </row>
    <row r="63" spans="1:49" ht="15" customHeight="1" thickBot="1">
      <c r="A63" s="116"/>
      <c r="B63" s="71"/>
      <c r="C63" s="62"/>
      <c r="D63" s="62"/>
      <c r="E63" s="432"/>
      <c r="F63" s="426"/>
      <c r="G63" s="433"/>
      <c r="H63" s="432"/>
      <c r="I63" s="426"/>
      <c r="J63" s="433"/>
      <c r="K63" s="432"/>
      <c r="L63" s="426"/>
      <c r="M63" s="433"/>
      <c r="N63" s="62"/>
      <c r="O63" s="62"/>
      <c r="P63" s="62"/>
      <c r="Q63" s="73"/>
      <c r="R63" s="63"/>
      <c r="S63" s="64"/>
      <c r="T63" s="64"/>
      <c r="U63" s="64"/>
      <c r="V63" s="64"/>
      <c r="W63" s="64" t="s">
        <v>969</v>
      </c>
      <c r="X63" s="64"/>
      <c r="Y63" s="64"/>
      <c r="Z63" s="64" t="s">
        <v>968</v>
      </c>
      <c r="AA63" s="119" t="s">
        <v>966</v>
      </c>
      <c r="AB63" s="64"/>
      <c r="AC63" s="64"/>
      <c r="AD63" s="64"/>
      <c r="AE63" s="64"/>
      <c r="AF63" s="115"/>
    </row>
    <row r="64" spans="1:49" ht="15" customHeight="1">
      <c r="A64" s="116"/>
      <c r="B64" s="71"/>
      <c r="C64" s="62"/>
      <c r="D64" s="120"/>
      <c r="E64" s="121"/>
      <c r="F64" s="121"/>
      <c r="G64" s="122"/>
      <c r="H64" s="123"/>
      <c r="I64" s="121" t="s">
        <v>878</v>
      </c>
      <c r="J64" s="122"/>
      <c r="K64" s="123"/>
      <c r="L64" s="121"/>
      <c r="M64" s="122"/>
      <c r="N64" s="62"/>
      <c r="O64" s="62"/>
      <c r="P64" s="62"/>
      <c r="Q64" s="73"/>
      <c r="R64" s="63"/>
      <c r="S64" s="64"/>
      <c r="T64" s="64"/>
      <c r="U64" s="64"/>
      <c r="V64" s="64"/>
      <c r="W64" s="75" t="s">
        <v>854</v>
      </c>
      <c r="X64" s="64"/>
      <c r="Y64" s="64"/>
      <c r="Z64" s="64"/>
      <c r="AA64" s="64"/>
      <c r="AB64" s="64"/>
      <c r="AC64" s="64"/>
      <c r="AD64" s="64"/>
      <c r="AE64" s="64"/>
      <c r="AF64" s="115"/>
    </row>
    <row r="65" spans="1:32" ht="15" customHeight="1">
      <c r="A65" s="116"/>
      <c r="B65" s="71"/>
      <c r="C65" s="62"/>
      <c r="D65" s="120"/>
      <c r="E65" s="62"/>
      <c r="F65" s="62"/>
      <c r="G65" s="120"/>
      <c r="H65" s="124"/>
      <c r="I65" s="62"/>
      <c r="J65" s="120"/>
      <c r="K65" s="124"/>
      <c r="L65" s="62"/>
      <c r="M65" s="120"/>
      <c r="N65" s="62"/>
      <c r="O65" s="62"/>
      <c r="P65" s="62"/>
      <c r="Q65" s="73"/>
      <c r="R65" s="63"/>
      <c r="S65" s="64"/>
      <c r="T65" s="64"/>
      <c r="U65" s="64"/>
      <c r="V65" s="64"/>
      <c r="W65" s="64"/>
      <c r="X65" s="64"/>
      <c r="Y65" s="64" t="s">
        <v>845</v>
      </c>
      <c r="Z65" s="64"/>
      <c r="AA65" s="64"/>
      <c r="AB65" s="64"/>
      <c r="AC65" s="64"/>
      <c r="AD65" s="64"/>
      <c r="AE65" s="64"/>
      <c r="AF65" s="115"/>
    </row>
    <row r="66" spans="1:32" ht="15" customHeight="1">
      <c r="A66" s="116"/>
      <c r="B66" s="71"/>
      <c r="C66" s="62"/>
      <c r="D66" s="120"/>
      <c r="E66" s="62"/>
      <c r="F66" s="62"/>
      <c r="G66" s="120"/>
      <c r="H66" s="124"/>
      <c r="I66" s="62"/>
      <c r="J66" s="120"/>
      <c r="K66" s="124"/>
      <c r="L66" s="62"/>
      <c r="M66" s="120"/>
      <c r="N66" s="62"/>
      <c r="O66" s="62"/>
      <c r="P66" s="62"/>
      <c r="Q66" s="73"/>
      <c r="R66" s="63"/>
      <c r="S66" s="64"/>
      <c r="T66" s="64"/>
      <c r="U66" s="64"/>
      <c r="V66" s="64"/>
      <c r="W66" s="64"/>
      <c r="X66" s="64" t="s">
        <v>846</v>
      </c>
      <c r="Y66" s="64"/>
      <c r="Z66" s="64"/>
      <c r="AA66" s="64"/>
      <c r="AB66" s="64"/>
      <c r="AC66" s="64"/>
      <c r="AD66" s="64"/>
      <c r="AE66" s="64"/>
      <c r="AF66" s="115"/>
    </row>
    <row r="67" spans="1:32" ht="15" customHeight="1">
      <c r="A67" s="116"/>
      <c r="B67" s="71"/>
      <c r="C67" s="62"/>
      <c r="D67" s="120"/>
      <c r="E67" s="62"/>
      <c r="F67" s="62"/>
      <c r="G67" s="120"/>
      <c r="H67" s="124"/>
      <c r="I67" s="62"/>
      <c r="J67" s="120"/>
      <c r="K67" s="124"/>
      <c r="L67" s="62"/>
      <c r="M67" s="120"/>
      <c r="N67" s="62"/>
      <c r="O67" s="62"/>
      <c r="P67" s="62"/>
      <c r="Q67" s="73"/>
      <c r="R67" s="63"/>
      <c r="S67" s="64"/>
      <c r="T67" s="64"/>
      <c r="U67" s="64"/>
      <c r="V67" s="64"/>
      <c r="W67" s="64"/>
      <c r="X67" s="64"/>
      <c r="Y67" s="64"/>
      <c r="Z67" s="64"/>
      <c r="AA67" s="64"/>
      <c r="AB67" s="64"/>
      <c r="AC67" s="64"/>
      <c r="AD67" s="64"/>
      <c r="AE67" s="64"/>
      <c r="AF67" s="115"/>
    </row>
    <row r="68" spans="1:32" ht="15" customHeight="1" thickBot="1">
      <c r="A68" s="116"/>
      <c r="B68" s="71"/>
      <c r="C68" s="62"/>
      <c r="D68" s="120"/>
      <c r="E68" s="62"/>
      <c r="F68" s="62"/>
      <c r="G68" s="120"/>
      <c r="H68" s="124"/>
      <c r="I68" s="62"/>
      <c r="J68" s="120"/>
      <c r="K68" s="124"/>
      <c r="L68" s="62"/>
      <c r="M68" s="120"/>
      <c r="N68" s="62"/>
      <c r="O68" s="62"/>
      <c r="P68" s="62"/>
      <c r="Q68" s="73"/>
      <c r="R68" s="63"/>
      <c r="S68" s="64"/>
      <c r="T68" s="64"/>
      <c r="U68" s="64"/>
      <c r="V68" s="64"/>
      <c r="W68" s="64"/>
      <c r="X68" s="64"/>
      <c r="Y68" s="64"/>
      <c r="Z68" s="64"/>
      <c r="AA68" s="64"/>
      <c r="AB68" s="64"/>
      <c r="AC68" s="64"/>
      <c r="AD68" s="64"/>
      <c r="AE68" s="64"/>
      <c r="AF68" s="115"/>
    </row>
    <row r="69" spans="1:32" ht="15" customHeight="1" thickBot="1">
      <c r="A69" s="116"/>
      <c r="B69" s="71"/>
      <c r="C69" s="62"/>
      <c r="D69" s="120"/>
      <c r="E69" s="72"/>
      <c r="F69" s="72"/>
      <c r="G69" s="125"/>
      <c r="H69" s="126"/>
      <c r="I69" s="72"/>
      <c r="J69" s="125"/>
      <c r="K69" s="126"/>
      <c r="L69" s="72"/>
      <c r="M69" s="125"/>
      <c r="N69" s="62"/>
      <c r="O69" s="62"/>
      <c r="P69" s="62"/>
      <c r="Q69" s="73"/>
      <c r="R69" s="422" t="s">
        <v>918</v>
      </c>
      <c r="S69" s="423"/>
      <c r="T69" s="423"/>
      <c r="U69" s="423"/>
      <c r="V69" s="423"/>
      <c r="W69" s="423"/>
      <c r="X69" s="423"/>
      <c r="Y69" s="423"/>
      <c r="Z69" s="423"/>
      <c r="AA69" s="423"/>
      <c r="AB69" s="423"/>
      <c r="AC69" s="423"/>
      <c r="AD69" s="423"/>
      <c r="AE69" s="423"/>
      <c r="AF69" s="424"/>
    </row>
    <row r="70" spans="1:32" ht="15" customHeight="1" thickBot="1">
      <c r="A70" s="116"/>
      <c r="B70" s="71"/>
      <c r="C70" s="62"/>
      <c r="D70" s="120"/>
      <c r="E70" s="62"/>
      <c r="F70" s="62"/>
      <c r="G70" s="120"/>
      <c r="H70" s="62"/>
      <c r="I70" s="62"/>
      <c r="J70" s="120"/>
      <c r="K70" s="124"/>
      <c r="L70" s="62"/>
      <c r="M70" s="120"/>
      <c r="N70" s="62"/>
      <c r="O70" s="62"/>
      <c r="P70" s="62"/>
      <c r="Q70" s="73"/>
      <c r="R70" s="425"/>
      <c r="S70" s="426"/>
      <c r="T70" s="426"/>
      <c r="U70" s="426"/>
      <c r="V70" s="426"/>
      <c r="W70" s="426"/>
      <c r="X70" s="426"/>
      <c r="Y70" s="426"/>
      <c r="Z70" s="426"/>
      <c r="AA70" s="426"/>
      <c r="AB70" s="426"/>
      <c r="AC70" s="426"/>
      <c r="AD70" s="426"/>
      <c r="AE70" s="426"/>
      <c r="AF70" s="427"/>
    </row>
    <row r="71" spans="1:32" ht="15" customHeight="1">
      <c r="A71" s="116"/>
      <c r="B71" s="71"/>
      <c r="C71" s="62"/>
      <c r="D71" s="120"/>
      <c r="E71" s="310" t="s">
        <v>947</v>
      </c>
      <c r="F71" s="311"/>
      <c r="G71" s="312"/>
      <c r="H71" s="310" t="s">
        <v>947</v>
      </c>
      <c r="I71" s="311"/>
      <c r="J71" s="312"/>
      <c r="K71" s="310" t="s">
        <v>947</v>
      </c>
      <c r="L71" s="311"/>
      <c r="M71" s="312"/>
      <c r="N71" s="62"/>
      <c r="O71" s="62"/>
      <c r="P71" s="62"/>
      <c r="Q71" s="73"/>
      <c r="R71" s="368" t="s">
        <v>760</v>
      </c>
      <c r="S71" s="373" t="s">
        <v>824</v>
      </c>
      <c r="T71" s="373" t="s">
        <v>825</v>
      </c>
      <c r="U71" s="373" t="s">
        <v>714</v>
      </c>
      <c r="V71" s="373" t="s">
        <v>822</v>
      </c>
      <c r="W71" s="373" t="s">
        <v>821</v>
      </c>
      <c r="X71" s="373" t="s">
        <v>836</v>
      </c>
      <c r="Y71" s="373" t="s">
        <v>837</v>
      </c>
      <c r="Z71" s="373" t="s">
        <v>835</v>
      </c>
      <c r="AA71" s="373" t="s">
        <v>826</v>
      </c>
      <c r="AB71" s="373" t="s">
        <v>827</v>
      </c>
      <c r="AC71" s="373" t="s">
        <v>828</v>
      </c>
      <c r="AD71" s="373" t="s">
        <v>829</v>
      </c>
      <c r="AE71" s="373" t="s">
        <v>830</v>
      </c>
      <c r="AF71" s="373" t="s">
        <v>831</v>
      </c>
    </row>
    <row r="72" spans="1:32" ht="15" customHeight="1" thickBot="1">
      <c r="A72" s="116"/>
      <c r="B72" s="71"/>
      <c r="C72" s="62"/>
      <c r="D72" s="120"/>
      <c r="E72" s="62"/>
      <c r="F72" s="62"/>
      <c r="G72" s="120"/>
      <c r="H72" s="62"/>
      <c r="I72" s="62"/>
      <c r="J72" s="127"/>
      <c r="K72" s="320" t="s">
        <v>708</v>
      </c>
      <c r="L72" s="321"/>
      <c r="M72" s="322"/>
      <c r="N72" s="62"/>
      <c r="O72" s="62"/>
      <c r="P72" s="62"/>
      <c r="Q72" s="73"/>
      <c r="R72" s="369"/>
      <c r="S72" s="367"/>
      <c r="T72" s="367"/>
      <c r="U72" s="367"/>
      <c r="V72" s="367"/>
      <c r="W72" s="367"/>
      <c r="X72" s="367"/>
      <c r="Y72" s="367"/>
      <c r="Z72" s="367"/>
      <c r="AA72" s="367"/>
      <c r="AB72" s="367"/>
      <c r="AC72" s="367"/>
      <c r="AD72" s="367"/>
      <c r="AE72" s="367"/>
      <c r="AF72" s="367"/>
    </row>
    <row r="73" spans="1:32" ht="15" customHeight="1">
      <c r="A73" s="116"/>
      <c r="B73" s="71"/>
      <c r="C73" s="62"/>
      <c r="D73" s="120"/>
      <c r="E73" s="75" t="s">
        <v>778</v>
      </c>
      <c r="F73" s="47">
        <v>2</v>
      </c>
      <c r="G73" s="120" t="s">
        <v>882</v>
      </c>
      <c r="H73" s="75" t="s">
        <v>957</v>
      </c>
      <c r="I73" s="47">
        <v>0</v>
      </c>
      <c r="J73" s="120" t="s">
        <v>847</v>
      </c>
      <c r="K73" s="75" t="s">
        <v>873</v>
      </c>
      <c r="L73" s="47"/>
      <c r="M73" s="120" t="s">
        <v>713</v>
      </c>
      <c r="N73" s="62"/>
      <c r="O73" s="62"/>
      <c r="P73" s="62"/>
      <c r="Q73" s="73"/>
      <c r="R73" s="128" t="e">
        <f ca="1">IF(E107="","",VLOOKUP(1,'AISC Angle Database'!$F$6:$T$333,14,FALSE))</f>
        <v>#N/A</v>
      </c>
      <c r="S73" s="129" t="e">
        <f t="shared" ref="S73:U79" ca="1" si="20">S15</f>
        <v>#N/A</v>
      </c>
      <c r="T73" s="129" t="e">
        <f t="shared" ca="1" si="20"/>
        <v>#N/A</v>
      </c>
      <c r="U73" s="130" t="e">
        <f t="shared" ca="1" si="20"/>
        <v>#N/A</v>
      </c>
      <c r="V73" s="131" t="e">
        <f t="shared" ref="V73:V91" ca="1" si="21">IF(E107="","",IF(AND(R73=1,S73&gt;T73),((S73*U73*U73/2)+(T73-U73)*U73*(((T73-U73)/2)+U73))/(S73*U73+(T73-U73)*U73),"NA"))</f>
        <v>#N/A</v>
      </c>
      <c r="W73" s="131" t="e">
        <f t="shared" ref="W73:W91" ca="1" si="22">IF(E107="","",IF(AND(R73=1,S73&gt;T73),(S73^2*U73/2+(T73-U73)*U73^2/2)/((S73+T73-U73)*U73),"NA"))</f>
        <v>#N/A</v>
      </c>
      <c r="X73" s="131" t="e">
        <f t="shared" ref="X73:X91" ca="1" si="23">IF(E107="","",IF(AND(R73=1,S73&gt;T73),(U73*S73^3/12+S73*U73*(S73/2-W73)^2)+(T73-U73)*U73^3/12+((T73-U73)*U73*(W73-U73/2)^2),"NA"))</f>
        <v>#N/A</v>
      </c>
      <c r="Y73" s="131" t="e">
        <f t="shared" ref="Y73:Y91" ca="1" si="24">IF(E107="","",IF(AND(R73=1,S73&gt;T73),((S73*U73^3/12)+S73*U73*(V73-(U73/2))^2)+((T73-U73)^3*U73/12)+((T73-U73)*U73*((T73-U73)/2+U73-V73)^2),"NA"))</f>
        <v>#N/A</v>
      </c>
      <c r="Z73" s="131" t="e">
        <f t="shared" ref="Z73:Z91" ca="1" si="25">IF(E107="","",IF(AND(R73=1,S73&gt;T73),-(S73*U73*((S73/2)-W73)*(V73-U73/2)+(T73-U73)*U73*((T73-U73)/2+U73-V73)*(W73-U73/2)),"NA"))</f>
        <v>#N/A</v>
      </c>
      <c r="AA73" s="131" t="e">
        <f t="shared" ref="AA73:AA91" ca="1" si="26">IF(E107="","",IF(AND(R73=1,S73&gt;T73),SQRT(V73^2+(S73-W73)^2),"NA"))</f>
        <v>#N/A</v>
      </c>
      <c r="AB73" s="131" t="e">
        <f t="shared" ref="AB73:AB91" ca="1" si="27">IF(E107="","",IF(AND(R73=1,S73&gt;T73),SQRT((T73-V73)^2+W73^2),"NA"))</f>
        <v>#N/A</v>
      </c>
      <c r="AC73" s="131" t="e">
        <f t="shared" ref="AC73:AC91" ca="1" si="28">IF(E107="","",IF(AND(R73=1,S73&gt;T73),SQRT(V73^2+W73^2),"NA"))</f>
        <v>#N/A</v>
      </c>
      <c r="AD73" s="130" t="e">
        <f t="shared" ref="AD73:AD91" ca="1" si="29">IF(E107="","",IF(AND(R73=1,S73&gt;T73),ATAN(V73/(S73-W73)),"NA"))</f>
        <v>#N/A</v>
      </c>
      <c r="AE73" s="130" t="e">
        <f t="shared" ref="AE73:AE91" ca="1" si="30">IF(E107="","",IF(AND(R73=1,S73&gt;T73),ATAN(W73/(T73-V73)),"NA"))</f>
        <v>#N/A</v>
      </c>
      <c r="AF73" s="130" t="e">
        <f t="shared" ref="AF73:AF91" ca="1" si="31">IF(E107="","",IF(AND(R73=1,S73&gt;T73),ATAN(V73/W73),"NA"))</f>
        <v>#N/A</v>
      </c>
    </row>
    <row r="74" spans="1:32" ht="15" customHeight="1">
      <c r="A74" s="116"/>
      <c r="B74" s="71"/>
      <c r="C74" s="62"/>
      <c r="D74" s="120"/>
      <c r="E74" s="75" t="s">
        <v>779</v>
      </c>
      <c r="F74" s="47">
        <v>2.5</v>
      </c>
      <c r="G74" s="120" t="s">
        <v>882</v>
      </c>
      <c r="H74" s="75" t="s">
        <v>958</v>
      </c>
      <c r="I74" s="47">
        <v>0</v>
      </c>
      <c r="J74" s="120" t="s">
        <v>847</v>
      </c>
      <c r="K74" s="75" t="s">
        <v>884</v>
      </c>
      <c r="L74" s="47"/>
      <c r="M74" s="120" t="s">
        <v>848</v>
      </c>
      <c r="N74" s="62"/>
      <c r="O74" s="62"/>
      <c r="P74" s="62"/>
      <c r="Q74" s="73"/>
      <c r="R74" s="128" t="e">
        <f ca="1">IF(E108="","",VLOOKUP(2,'AISC Angle Database'!$F$6:$T$333,14,FALSE))</f>
        <v>#N/A</v>
      </c>
      <c r="S74" s="129" t="e">
        <f t="shared" ca="1" si="20"/>
        <v>#N/A</v>
      </c>
      <c r="T74" s="129" t="e">
        <f t="shared" ca="1" si="20"/>
        <v>#N/A</v>
      </c>
      <c r="U74" s="130" t="e">
        <f t="shared" ca="1" si="20"/>
        <v>#N/A</v>
      </c>
      <c r="V74" s="131" t="e">
        <f t="shared" ca="1" si="21"/>
        <v>#N/A</v>
      </c>
      <c r="W74" s="131" t="e">
        <f t="shared" ca="1" si="22"/>
        <v>#N/A</v>
      </c>
      <c r="X74" s="131" t="e">
        <f t="shared" ca="1" si="23"/>
        <v>#N/A</v>
      </c>
      <c r="Y74" s="131" t="e">
        <f t="shared" ca="1" si="24"/>
        <v>#N/A</v>
      </c>
      <c r="Z74" s="131" t="e">
        <f t="shared" ca="1" si="25"/>
        <v>#N/A</v>
      </c>
      <c r="AA74" s="131" t="e">
        <f t="shared" ca="1" si="26"/>
        <v>#N/A</v>
      </c>
      <c r="AB74" s="131" t="e">
        <f t="shared" ca="1" si="27"/>
        <v>#N/A</v>
      </c>
      <c r="AC74" s="131" t="e">
        <f t="shared" ca="1" si="28"/>
        <v>#N/A</v>
      </c>
      <c r="AD74" s="130" t="e">
        <f t="shared" ca="1" si="29"/>
        <v>#N/A</v>
      </c>
      <c r="AE74" s="130" t="e">
        <f t="shared" ca="1" si="30"/>
        <v>#N/A</v>
      </c>
      <c r="AF74" s="130" t="e">
        <f t="shared" ca="1" si="31"/>
        <v>#N/A</v>
      </c>
    </row>
    <row r="75" spans="1:32" ht="15" customHeight="1">
      <c r="A75" s="116"/>
      <c r="B75" s="71"/>
      <c r="C75" s="62"/>
      <c r="D75" s="120"/>
      <c r="E75" s="75"/>
      <c r="G75" s="120"/>
      <c r="H75" s="75"/>
      <c r="J75" s="120"/>
      <c r="K75" s="75" t="s">
        <v>885</v>
      </c>
      <c r="L75" s="47"/>
      <c r="M75" s="120" t="s">
        <v>848</v>
      </c>
      <c r="N75" s="62"/>
      <c r="O75" s="62"/>
      <c r="P75" s="62"/>
      <c r="Q75" s="73"/>
      <c r="R75" s="128" t="e">
        <f ca="1">IF(E109="","",VLOOKUP(3,'AISC Angle Database'!$F$6:$T$333,14,FALSE))</f>
        <v>#N/A</v>
      </c>
      <c r="S75" s="129" t="e">
        <f t="shared" ca="1" si="20"/>
        <v>#N/A</v>
      </c>
      <c r="T75" s="129" t="e">
        <f t="shared" ca="1" si="20"/>
        <v>#N/A</v>
      </c>
      <c r="U75" s="130" t="e">
        <f t="shared" ca="1" si="20"/>
        <v>#N/A</v>
      </c>
      <c r="V75" s="131" t="e">
        <f t="shared" ca="1" si="21"/>
        <v>#N/A</v>
      </c>
      <c r="W75" s="131" t="e">
        <f t="shared" ca="1" si="22"/>
        <v>#N/A</v>
      </c>
      <c r="X75" s="131" t="e">
        <f t="shared" ca="1" si="23"/>
        <v>#N/A</v>
      </c>
      <c r="Y75" s="131" t="e">
        <f t="shared" ca="1" si="24"/>
        <v>#N/A</v>
      </c>
      <c r="Z75" s="131" t="e">
        <f t="shared" ca="1" si="25"/>
        <v>#N/A</v>
      </c>
      <c r="AA75" s="131" t="e">
        <f t="shared" ca="1" si="26"/>
        <v>#N/A</v>
      </c>
      <c r="AB75" s="131" t="e">
        <f t="shared" ca="1" si="27"/>
        <v>#N/A</v>
      </c>
      <c r="AC75" s="131" t="e">
        <f t="shared" ca="1" si="28"/>
        <v>#N/A</v>
      </c>
      <c r="AD75" s="130" t="e">
        <f t="shared" ca="1" si="29"/>
        <v>#N/A</v>
      </c>
      <c r="AE75" s="130" t="e">
        <f t="shared" ca="1" si="30"/>
        <v>#N/A</v>
      </c>
      <c r="AF75" s="130" t="e">
        <f t="shared" ca="1" si="31"/>
        <v>#N/A</v>
      </c>
    </row>
    <row r="76" spans="1:32" ht="15" customHeight="1">
      <c r="A76" s="116"/>
      <c r="B76" s="71"/>
      <c r="C76" s="62"/>
      <c r="D76" s="120"/>
      <c r="E76" s="75"/>
      <c r="G76" s="120"/>
      <c r="H76" s="75"/>
      <c r="J76" s="120"/>
      <c r="K76" s="75" t="s">
        <v>872</v>
      </c>
      <c r="L76" s="47"/>
      <c r="M76" s="120" t="s">
        <v>9</v>
      </c>
      <c r="N76" s="62"/>
      <c r="O76" s="62"/>
      <c r="P76" s="62"/>
      <c r="Q76" s="73"/>
      <c r="R76" s="128" t="e">
        <f ca="1">IF(E110="","",VLOOKUP(4,'AISC Angle Database'!$F$6:$T$333,14,FALSE))</f>
        <v>#N/A</v>
      </c>
      <c r="S76" s="129" t="e">
        <f t="shared" ca="1" si="20"/>
        <v>#N/A</v>
      </c>
      <c r="T76" s="129" t="e">
        <f t="shared" ca="1" si="20"/>
        <v>#N/A</v>
      </c>
      <c r="U76" s="130" t="e">
        <f t="shared" ca="1" si="20"/>
        <v>#N/A</v>
      </c>
      <c r="V76" s="131" t="e">
        <f t="shared" ca="1" si="21"/>
        <v>#N/A</v>
      </c>
      <c r="W76" s="131" t="e">
        <f t="shared" ca="1" si="22"/>
        <v>#N/A</v>
      </c>
      <c r="X76" s="131" t="e">
        <f t="shared" ca="1" si="23"/>
        <v>#N/A</v>
      </c>
      <c r="Y76" s="131" t="e">
        <f t="shared" ca="1" si="24"/>
        <v>#N/A</v>
      </c>
      <c r="Z76" s="131" t="e">
        <f t="shared" ca="1" si="25"/>
        <v>#N/A</v>
      </c>
      <c r="AA76" s="131" t="e">
        <f t="shared" ca="1" si="26"/>
        <v>#N/A</v>
      </c>
      <c r="AB76" s="131" t="e">
        <f t="shared" ca="1" si="27"/>
        <v>#N/A</v>
      </c>
      <c r="AC76" s="131" t="e">
        <f t="shared" ca="1" si="28"/>
        <v>#N/A</v>
      </c>
      <c r="AD76" s="130" t="e">
        <f t="shared" ca="1" si="29"/>
        <v>#N/A</v>
      </c>
      <c r="AE76" s="130" t="e">
        <f t="shared" ca="1" si="30"/>
        <v>#N/A</v>
      </c>
      <c r="AF76" s="130" t="e">
        <f t="shared" ca="1" si="31"/>
        <v>#N/A</v>
      </c>
    </row>
    <row r="77" spans="1:32" ht="15" customHeight="1">
      <c r="A77" s="116"/>
      <c r="B77" s="71"/>
      <c r="C77" s="62"/>
      <c r="D77" s="120"/>
      <c r="E77" s="75"/>
      <c r="G77" s="120"/>
      <c r="H77" s="75"/>
      <c r="J77" s="120"/>
      <c r="K77" s="75" t="s">
        <v>883</v>
      </c>
      <c r="L77" s="47"/>
      <c r="M77" s="120" t="s">
        <v>9</v>
      </c>
      <c r="N77" s="62"/>
      <c r="O77" s="62"/>
      <c r="P77" s="62"/>
      <c r="Q77" s="73"/>
      <c r="R77" s="128" t="e">
        <f ca="1">IF(E111="","",VLOOKUP(5,'AISC Angle Database'!$F$6:$T$333,14,FALSE))</f>
        <v>#N/A</v>
      </c>
      <c r="S77" s="129" t="e">
        <f t="shared" ca="1" si="20"/>
        <v>#N/A</v>
      </c>
      <c r="T77" s="129" t="e">
        <f t="shared" ca="1" si="20"/>
        <v>#N/A</v>
      </c>
      <c r="U77" s="130" t="e">
        <f t="shared" ca="1" si="20"/>
        <v>#N/A</v>
      </c>
      <c r="V77" s="131" t="e">
        <f t="shared" ca="1" si="21"/>
        <v>#N/A</v>
      </c>
      <c r="W77" s="131" t="e">
        <f t="shared" ca="1" si="22"/>
        <v>#N/A</v>
      </c>
      <c r="X77" s="131" t="e">
        <f t="shared" ca="1" si="23"/>
        <v>#N/A</v>
      </c>
      <c r="Y77" s="131" t="e">
        <f t="shared" ca="1" si="24"/>
        <v>#N/A</v>
      </c>
      <c r="Z77" s="131" t="e">
        <f t="shared" ca="1" si="25"/>
        <v>#N/A</v>
      </c>
      <c r="AA77" s="131" t="e">
        <f t="shared" ca="1" si="26"/>
        <v>#N/A</v>
      </c>
      <c r="AB77" s="131" t="e">
        <f t="shared" ca="1" si="27"/>
        <v>#N/A</v>
      </c>
      <c r="AC77" s="131" t="e">
        <f t="shared" ca="1" si="28"/>
        <v>#N/A</v>
      </c>
      <c r="AD77" s="130" t="e">
        <f t="shared" ca="1" si="29"/>
        <v>#N/A</v>
      </c>
      <c r="AE77" s="130" t="e">
        <f t="shared" ca="1" si="30"/>
        <v>#N/A</v>
      </c>
      <c r="AF77" s="130" t="e">
        <f t="shared" ca="1" si="31"/>
        <v>#N/A</v>
      </c>
    </row>
    <row r="78" spans="1:32" ht="15" customHeight="1" thickBot="1">
      <c r="A78" s="116"/>
      <c r="B78" s="71"/>
      <c r="C78" s="62"/>
      <c r="D78" s="120"/>
      <c r="E78" s="72"/>
      <c r="F78" s="72"/>
      <c r="G78" s="125"/>
      <c r="H78" s="72"/>
      <c r="I78" s="72"/>
      <c r="J78" s="125"/>
      <c r="K78" s="132"/>
      <c r="L78" s="72"/>
      <c r="M78" s="125"/>
      <c r="N78" s="126"/>
      <c r="O78" s="72"/>
      <c r="P78" s="72"/>
      <c r="Q78" s="73"/>
      <c r="R78" s="128" t="e">
        <f ca="1">IF(E112="","",VLOOKUP(6,'AISC Angle Database'!$F$6:$T$333,14,FALSE))</f>
        <v>#N/A</v>
      </c>
      <c r="S78" s="129" t="e">
        <f t="shared" ca="1" si="20"/>
        <v>#N/A</v>
      </c>
      <c r="T78" s="129" t="e">
        <f t="shared" ca="1" si="20"/>
        <v>#N/A</v>
      </c>
      <c r="U78" s="130" t="e">
        <f t="shared" ca="1" si="20"/>
        <v>#N/A</v>
      </c>
      <c r="V78" s="131" t="e">
        <f t="shared" ca="1" si="21"/>
        <v>#N/A</v>
      </c>
      <c r="W78" s="131" t="e">
        <f t="shared" ca="1" si="22"/>
        <v>#N/A</v>
      </c>
      <c r="X78" s="131" t="e">
        <f t="shared" ca="1" si="23"/>
        <v>#N/A</v>
      </c>
      <c r="Y78" s="131" t="e">
        <f t="shared" ca="1" si="24"/>
        <v>#N/A</v>
      </c>
      <c r="Z78" s="131" t="e">
        <f t="shared" ca="1" si="25"/>
        <v>#N/A</v>
      </c>
      <c r="AA78" s="131" t="e">
        <f t="shared" ca="1" si="26"/>
        <v>#N/A</v>
      </c>
      <c r="AB78" s="131" t="e">
        <f t="shared" ca="1" si="27"/>
        <v>#N/A</v>
      </c>
      <c r="AC78" s="131" t="e">
        <f t="shared" ca="1" si="28"/>
        <v>#N/A</v>
      </c>
      <c r="AD78" s="130" t="e">
        <f t="shared" ca="1" si="29"/>
        <v>#N/A</v>
      </c>
      <c r="AE78" s="130" t="e">
        <f t="shared" ca="1" si="30"/>
        <v>#N/A</v>
      </c>
      <c r="AF78" s="130" t="e">
        <f t="shared" ca="1" si="31"/>
        <v>#N/A</v>
      </c>
    </row>
    <row r="79" spans="1:32" ht="15" customHeight="1">
      <c r="A79" s="116"/>
      <c r="B79" s="71"/>
      <c r="C79" s="62"/>
      <c r="D79" s="120"/>
      <c r="E79" s="62"/>
      <c r="F79" s="62"/>
      <c r="G79" s="120"/>
      <c r="H79" s="62"/>
      <c r="I79" s="62"/>
      <c r="J79" s="120"/>
      <c r="K79" s="62"/>
      <c r="L79" s="62"/>
      <c r="M79" s="62"/>
      <c r="N79" s="123"/>
      <c r="O79" s="121"/>
      <c r="P79" s="122"/>
      <c r="Q79" s="73"/>
      <c r="R79" s="128" t="e">
        <f ca="1">IF(E113="","",VLOOKUP(7,'AISC Angle Database'!$F$6:$T$333,14,FALSE))</f>
        <v>#N/A</v>
      </c>
      <c r="S79" s="129" t="e">
        <f t="shared" ca="1" si="20"/>
        <v>#N/A</v>
      </c>
      <c r="T79" s="129" t="e">
        <f t="shared" ca="1" si="20"/>
        <v>#N/A</v>
      </c>
      <c r="U79" s="130" t="e">
        <f t="shared" ca="1" si="20"/>
        <v>#N/A</v>
      </c>
      <c r="V79" s="131" t="e">
        <f t="shared" ca="1" si="21"/>
        <v>#N/A</v>
      </c>
      <c r="W79" s="131" t="e">
        <f t="shared" ca="1" si="22"/>
        <v>#N/A</v>
      </c>
      <c r="X79" s="131" t="e">
        <f t="shared" ca="1" si="23"/>
        <v>#N/A</v>
      </c>
      <c r="Y79" s="131" t="e">
        <f t="shared" ca="1" si="24"/>
        <v>#N/A</v>
      </c>
      <c r="Z79" s="131" t="e">
        <f t="shared" ca="1" si="25"/>
        <v>#N/A</v>
      </c>
      <c r="AA79" s="131" t="e">
        <f t="shared" ca="1" si="26"/>
        <v>#N/A</v>
      </c>
      <c r="AB79" s="131" t="e">
        <f t="shared" ca="1" si="27"/>
        <v>#N/A</v>
      </c>
      <c r="AC79" s="131" t="e">
        <f t="shared" ca="1" si="28"/>
        <v>#N/A</v>
      </c>
      <c r="AD79" s="130" t="e">
        <f t="shared" ca="1" si="29"/>
        <v>#N/A</v>
      </c>
      <c r="AE79" s="130" t="e">
        <f t="shared" ca="1" si="30"/>
        <v>#N/A</v>
      </c>
      <c r="AF79" s="130" t="e">
        <f t="shared" ca="1" si="31"/>
        <v>#N/A</v>
      </c>
    </row>
    <row r="80" spans="1:32" ht="15" customHeight="1">
      <c r="A80" s="116"/>
      <c r="B80" s="71"/>
      <c r="C80" s="62"/>
      <c r="D80" s="120"/>
      <c r="E80" s="317" t="s">
        <v>866</v>
      </c>
      <c r="F80" s="318"/>
      <c r="G80" s="319"/>
      <c r="H80" s="317" t="s">
        <v>866</v>
      </c>
      <c r="I80" s="318"/>
      <c r="J80" s="319"/>
      <c r="K80" s="317" t="s">
        <v>866</v>
      </c>
      <c r="L80" s="318"/>
      <c r="M80" s="319"/>
      <c r="N80" s="320" t="s">
        <v>886</v>
      </c>
      <c r="O80" s="321"/>
      <c r="P80" s="322"/>
      <c r="Q80" s="133"/>
      <c r="R80" s="128" t="e">
        <f ca="1">IF(E114="","",VLOOKUP(8,'AISC Angle Database'!$F$6:$T$333,14,FALSE))</f>
        <v>#N/A</v>
      </c>
      <c r="S80" s="129" t="e">
        <f t="shared" ref="S80:U91" ca="1" si="32">S25</f>
        <v>#N/A</v>
      </c>
      <c r="T80" s="129" t="e">
        <f t="shared" ca="1" si="32"/>
        <v>#N/A</v>
      </c>
      <c r="U80" s="130" t="e">
        <f t="shared" ca="1" si="32"/>
        <v>#N/A</v>
      </c>
      <c r="V80" s="131" t="e">
        <f t="shared" ca="1" si="21"/>
        <v>#N/A</v>
      </c>
      <c r="W80" s="131" t="e">
        <f t="shared" ca="1" si="22"/>
        <v>#N/A</v>
      </c>
      <c r="X80" s="131" t="e">
        <f t="shared" ca="1" si="23"/>
        <v>#N/A</v>
      </c>
      <c r="Y80" s="131" t="e">
        <f t="shared" ca="1" si="24"/>
        <v>#N/A</v>
      </c>
      <c r="Z80" s="131" t="e">
        <f t="shared" ca="1" si="25"/>
        <v>#N/A</v>
      </c>
      <c r="AA80" s="131" t="e">
        <f t="shared" ca="1" si="26"/>
        <v>#N/A</v>
      </c>
      <c r="AB80" s="131" t="e">
        <f t="shared" ca="1" si="27"/>
        <v>#N/A</v>
      </c>
      <c r="AC80" s="131" t="e">
        <f t="shared" ca="1" si="28"/>
        <v>#N/A</v>
      </c>
      <c r="AD80" s="130" t="e">
        <f t="shared" ca="1" si="29"/>
        <v>#N/A</v>
      </c>
      <c r="AE80" s="130" t="e">
        <f t="shared" ca="1" si="30"/>
        <v>#N/A</v>
      </c>
      <c r="AF80" s="130" t="e">
        <f t="shared" ca="1" si="31"/>
        <v>#N/A</v>
      </c>
    </row>
    <row r="81" spans="1:32" ht="15" customHeight="1">
      <c r="A81" s="116"/>
      <c r="B81" s="71"/>
      <c r="C81" s="62"/>
      <c r="D81" s="134" t="s">
        <v>868</v>
      </c>
      <c r="E81" s="75" t="s">
        <v>778</v>
      </c>
      <c r="F81" s="249">
        <f>F73</f>
        <v>2</v>
      </c>
      <c r="G81" s="120" t="s">
        <v>882</v>
      </c>
      <c r="H81" s="75" t="s">
        <v>804</v>
      </c>
      <c r="I81" s="249">
        <f>0.667*I73</f>
        <v>0</v>
      </c>
      <c r="J81" s="120" t="s">
        <v>882</v>
      </c>
      <c r="K81" s="75" t="s">
        <v>804</v>
      </c>
      <c r="L81" s="249">
        <f>(8*L74/(H28*12)^2)*12</f>
        <v>0</v>
      </c>
      <c r="M81" s="120" t="s">
        <v>882</v>
      </c>
      <c r="N81" s="135" t="s">
        <v>876</v>
      </c>
      <c r="O81" s="249">
        <f>F81+I81+L81</f>
        <v>2</v>
      </c>
      <c r="P81" s="120" t="s">
        <v>882</v>
      </c>
      <c r="Q81" s="73"/>
      <c r="R81" s="128" t="e">
        <f ca="1">IF(E115="","",VLOOKUP(9,'AISC Angle Database'!$F$6:$T$333,14,FALSE))</f>
        <v>#N/A</v>
      </c>
      <c r="S81" s="129" t="e">
        <f t="shared" ca="1" si="32"/>
        <v>#N/A</v>
      </c>
      <c r="T81" s="129" t="e">
        <f t="shared" ca="1" si="32"/>
        <v>#N/A</v>
      </c>
      <c r="U81" s="130" t="e">
        <f t="shared" ca="1" si="32"/>
        <v>#N/A</v>
      </c>
      <c r="V81" s="131" t="e">
        <f t="shared" ca="1" si="21"/>
        <v>#N/A</v>
      </c>
      <c r="W81" s="131" t="e">
        <f t="shared" ca="1" si="22"/>
        <v>#N/A</v>
      </c>
      <c r="X81" s="131" t="e">
        <f t="shared" ca="1" si="23"/>
        <v>#N/A</v>
      </c>
      <c r="Y81" s="131" t="e">
        <f t="shared" ca="1" si="24"/>
        <v>#N/A</v>
      </c>
      <c r="Z81" s="131" t="e">
        <f t="shared" ca="1" si="25"/>
        <v>#N/A</v>
      </c>
      <c r="AA81" s="131" t="e">
        <f t="shared" ca="1" si="26"/>
        <v>#N/A</v>
      </c>
      <c r="AB81" s="131" t="e">
        <f t="shared" ca="1" si="27"/>
        <v>#N/A</v>
      </c>
      <c r="AC81" s="131" t="e">
        <f t="shared" ca="1" si="28"/>
        <v>#N/A</v>
      </c>
      <c r="AD81" s="130" t="e">
        <f t="shared" ca="1" si="29"/>
        <v>#N/A</v>
      </c>
      <c r="AE81" s="130" t="e">
        <f t="shared" ca="1" si="30"/>
        <v>#N/A</v>
      </c>
      <c r="AF81" s="130" t="e">
        <f t="shared" ca="1" si="31"/>
        <v>#N/A</v>
      </c>
    </row>
    <row r="82" spans="1:32" ht="15" customHeight="1">
      <c r="A82" s="116"/>
      <c r="B82" s="71"/>
      <c r="C82" s="62"/>
      <c r="D82" s="134" t="s">
        <v>869</v>
      </c>
      <c r="E82" s="75" t="s">
        <v>778</v>
      </c>
      <c r="F82" s="249">
        <f>F73</f>
        <v>2</v>
      </c>
      <c r="G82" s="120" t="s">
        <v>882</v>
      </c>
      <c r="H82" s="75" t="s">
        <v>804</v>
      </c>
      <c r="I82" s="249">
        <f>0.64*I73</f>
        <v>0</v>
      </c>
      <c r="J82" s="120" t="s">
        <v>882</v>
      </c>
      <c r="K82" s="75" t="s">
        <v>804</v>
      </c>
      <c r="L82" s="249">
        <f>(384*H32*L73*L76/(5*(H28*12)^4))*12</f>
        <v>0</v>
      </c>
      <c r="M82" s="120" t="s">
        <v>882</v>
      </c>
      <c r="N82" s="136" t="s">
        <v>877</v>
      </c>
      <c r="O82" s="249">
        <f>F82+I82+L82</f>
        <v>2</v>
      </c>
      <c r="P82" s="120" t="s">
        <v>882</v>
      </c>
      <c r="Q82" s="73"/>
      <c r="R82" s="128" t="e">
        <f ca="1">IF(E116="","",VLOOKUP(10,'AISC Angle Database'!$F$6:$T$333,14,FALSE))</f>
        <v>#N/A</v>
      </c>
      <c r="S82" s="129" t="e">
        <f t="shared" ca="1" si="32"/>
        <v>#N/A</v>
      </c>
      <c r="T82" s="129" t="e">
        <f t="shared" ca="1" si="32"/>
        <v>#N/A</v>
      </c>
      <c r="U82" s="130" t="e">
        <f t="shared" ca="1" si="32"/>
        <v>#N/A</v>
      </c>
      <c r="V82" s="131" t="e">
        <f t="shared" ca="1" si="21"/>
        <v>#N/A</v>
      </c>
      <c r="W82" s="131" t="e">
        <f t="shared" ca="1" si="22"/>
        <v>#N/A</v>
      </c>
      <c r="X82" s="131" t="e">
        <f t="shared" ca="1" si="23"/>
        <v>#N/A</v>
      </c>
      <c r="Y82" s="131" t="e">
        <f t="shared" ca="1" si="24"/>
        <v>#N/A</v>
      </c>
      <c r="Z82" s="131" t="e">
        <f t="shared" ca="1" si="25"/>
        <v>#N/A</v>
      </c>
      <c r="AA82" s="131" t="e">
        <f t="shared" ca="1" si="26"/>
        <v>#N/A</v>
      </c>
      <c r="AB82" s="131" t="e">
        <f t="shared" ca="1" si="27"/>
        <v>#N/A</v>
      </c>
      <c r="AC82" s="131" t="e">
        <f t="shared" ca="1" si="28"/>
        <v>#N/A</v>
      </c>
      <c r="AD82" s="130" t="e">
        <f t="shared" ca="1" si="29"/>
        <v>#N/A</v>
      </c>
      <c r="AE82" s="130" t="e">
        <f t="shared" ca="1" si="30"/>
        <v>#N/A</v>
      </c>
      <c r="AF82" s="130" t="e">
        <f t="shared" ca="1" si="31"/>
        <v>#N/A</v>
      </c>
    </row>
    <row r="83" spans="1:32" ht="15.75" customHeight="1">
      <c r="A83" s="116"/>
      <c r="B83" s="71"/>
      <c r="C83" s="62"/>
      <c r="D83" s="137"/>
      <c r="E83" s="75" t="s">
        <v>895</v>
      </c>
      <c r="F83" s="56">
        <f>5*(F81/12)*($H$28*12)^4/(384*$H$32*$M$27)</f>
        <v>31.779310344827586</v>
      </c>
      <c r="G83" s="120" t="s">
        <v>896</v>
      </c>
      <c r="H83" s="75" t="s">
        <v>895</v>
      </c>
      <c r="I83" s="56">
        <f>5*(I81/12)*($H$28*12)^4/(384*$H$32*$M$27)</f>
        <v>0</v>
      </c>
      <c r="J83" s="120" t="s">
        <v>896</v>
      </c>
      <c r="K83" s="75" t="s">
        <v>895</v>
      </c>
      <c r="L83" s="56">
        <f>(L76/M27)*L73</f>
        <v>0</v>
      </c>
      <c r="M83" s="120" t="s">
        <v>896</v>
      </c>
      <c r="N83" s="136" t="s">
        <v>895</v>
      </c>
      <c r="O83" s="56">
        <f>5*(O81/12)*($H$28*12)^4/(384*$H$32*$M$27)</f>
        <v>31.779310344827586</v>
      </c>
      <c r="P83" s="120" t="s">
        <v>896</v>
      </c>
      <c r="Q83" s="73"/>
      <c r="R83" s="128" t="e">
        <f ca="1">IF(E117="","",VLOOKUP(11,'AISC Angle Database'!$F$6:$T$333,14,FALSE))</f>
        <v>#N/A</v>
      </c>
      <c r="S83" s="129" t="e">
        <f t="shared" ca="1" si="32"/>
        <v>#N/A</v>
      </c>
      <c r="T83" s="129" t="e">
        <f t="shared" ca="1" si="32"/>
        <v>#N/A</v>
      </c>
      <c r="U83" s="130" t="e">
        <f t="shared" ca="1" si="32"/>
        <v>#N/A</v>
      </c>
      <c r="V83" s="131" t="e">
        <f t="shared" ca="1" si="21"/>
        <v>#N/A</v>
      </c>
      <c r="W83" s="131" t="e">
        <f t="shared" ca="1" si="22"/>
        <v>#N/A</v>
      </c>
      <c r="X83" s="131" t="e">
        <f t="shared" ca="1" si="23"/>
        <v>#N/A</v>
      </c>
      <c r="Y83" s="131" t="e">
        <f t="shared" ca="1" si="24"/>
        <v>#N/A</v>
      </c>
      <c r="Z83" s="131" t="e">
        <f t="shared" ca="1" si="25"/>
        <v>#N/A</v>
      </c>
      <c r="AA83" s="131" t="e">
        <f t="shared" ca="1" si="26"/>
        <v>#N/A</v>
      </c>
      <c r="AB83" s="131" t="e">
        <f t="shared" ca="1" si="27"/>
        <v>#N/A</v>
      </c>
      <c r="AC83" s="131" t="e">
        <f t="shared" ca="1" si="28"/>
        <v>#N/A</v>
      </c>
      <c r="AD83" s="130" t="e">
        <f t="shared" ca="1" si="29"/>
        <v>#N/A</v>
      </c>
      <c r="AE83" s="130" t="e">
        <f t="shared" ca="1" si="30"/>
        <v>#N/A</v>
      </c>
      <c r="AF83" s="130" t="e">
        <f t="shared" ca="1" si="31"/>
        <v>#N/A</v>
      </c>
    </row>
    <row r="84" spans="1:32" ht="15.75" customHeight="1" thickBot="1">
      <c r="A84" s="116"/>
      <c r="B84" s="71"/>
      <c r="C84" s="62"/>
      <c r="D84" s="120"/>
      <c r="E84" s="138"/>
      <c r="F84" s="138"/>
      <c r="G84" s="125"/>
      <c r="H84" s="138"/>
      <c r="I84" s="72"/>
      <c r="J84" s="125"/>
      <c r="K84" s="138"/>
      <c r="L84" s="72"/>
      <c r="M84" s="125"/>
      <c r="N84" s="139"/>
      <c r="O84" s="140"/>
      <c r="P84" s="125"/>
      <c r="Q84" s="73"/>
      <c r="R84" s="128" t="str">
        <f>IF(E118="","",VLOOKUP(12,'AISC Angle Database'!$F$6:$T$333,14,FALSE))</f>
        <v/>
      </c>
      <c r="S84" s="129" t="str">
        <f t="shared" si="32"/>
        <v/>
      </c>
      <c r="T84" s="129" t="str">
        <f t="shared" si="32"/>
        <v/>
      </c>
      <c r="U84" s="130" t="str">
        <f t="shared" si="32"/>
        <v/>
      </c>
      <c r="V84" s="131" t="str">
        <f t="shared" si="21"/>
        <v/>
      </c>
      <c r="W84" s="131" t="str">
        <f t="shared" si="22"/>
        <v/>
      </c>
      <c r="X84" s="131" t="str">
        <f t="shared" si="23"/>
        <v/>
      </c>
      <c r="Y84" s="131" t="str">
        <f t="shared" si="24"/>
        <v/>
      </c>
      <c r="Z84" s="131" t="str">
        <f t="shared" si="25"/>
        <v/>
      </c>
      <c r="AA84" s="131" t="str">
        <f t="shared" si="26"/>
        <v/>
      </c>
      <c r="AB84" s="131" t="str">
        <f t="shared" si="27"/>
        <v/>
      </c>
      <c r="AC84" s="131" t="str">
        <f t="shared" si="28"/>
        <v/>
      </c>
      <c r="AD84" s="130" t="str">
        <f t="shared" si="29"/>
        <v/>
      </c>
      <c r="AE84" s="130" t="str">
        <f t="shared" si="30"/>
        <v/>
      </c>
      <c r="AF84" s="130" t="str">
        <f t="shared" si="31"/>
        <v/>
      </c>
    </row>
    <row r="85" spans="1:32" ht="15" customHeight="1">
      <c r="A85" s="116"/>
      <c r="B85" s="71"/>
      <c r="C85" s="62"/>
      <c r="D85" s="120"/>
      <c r="E85" s="62"/>
      <c r="F85" s="62"/>
      <c r="G85" s="120"/>
      <c r="H85" s="62"/>
      <c r="I85" s="64"/>
      <c r="J85" s="120"/>
      <c r="K85" s="62"/>
      <c r="L85" s="62"/>
      <c r="M85" s="62"/>
      <c r="N85" s="123"/>
      <c r="O85" s="121"/>
      <c r="P85" s="122"/>
      <c r="Q85" s="73"/>
      <c r="R85" s="128" t="str">
        <f>IF(E119="","",VLOOKUP(13,'AISC Angle Database'!$F$6:$T$333,14,FALSE))</f>
        <v/>
      </c>
      <c r="S85" s="129" t="str">
        <f t="shared" si="32"/>
        <v/>
      </c>
      <c r="T85" s="129" t="str">
        <f t="shared" si="32"/>
        <v/>
      </c>
      <c r="U85" s="130" t="str">
        <f t="shared" si="32"/>
        <v/>
      </c>
      <c r="V85" s="131" t="str">
        <f t="shared" si="21"/>
        <v/>
      </c>
      <c r="W85" s="131" t="str">
        <f t="shared" si="22"/>
        <v/>
      </c>
      <c r="X85" s="131" t="str">
        <f t="shared" si="23"/>
        <v/>
      </c>
      <c r="Y85" s="131" t="str">
        <f t="shared" si="24"/>
        <v/>
      </c>
      <c r="Z85" s="131" t="str">
        <f t="shared" si="25"/>
        <v/>
      </c>
      <c r="AA85" s="131" t="str">
        <f t="shared" si="26"/>
        <v/>
      </c>
      <c r="AB85" s="131" t="str">
        <f t="shared" si="27"/>
        <v/>
      </c>
      <c r="AC85" s="131" t="str">
        <f t="shared" si="28"/>
        <v/>
      </c>
      <c r="AD85" s="130" t="str">
        <f t="shared" si="29"/>
        <v/>
      </c>
      <c r="AE85" s="130" t="str">
        <f t="shared" si="30"/>
        <v/>
      </c>
      <c r="AF85" s="130" t="str">
        <f t="shared" si="31"/>
        <v/>
      </c>
    </row>
    <row r="86" spans="1:32" ht="14.1" customHeight="1">
      <c r="A86" s="116"/>
      <c r="B86" s="71"/>
      <c r="C86" s="62"/>
      <c r="D86" s="120"/>
      <c r="E86" s="317" t="s">
        <v>867</v>
      </c>
      <c r="F86" s="318"/>
      <c r="G86" s="319"/>
      <c r="H86" s="317" t="s">
        <v>867</v>
      </c>
      <c r="I86" s="318"/>
      <c r="J86" s="319"/>
      <c r="K86" s="317" t="s">
        <v>867</v>
      </c>
      <c r="L86" s="318"/>
      <c r="M86" s="319"/>
      <c r="N86" s="320" t="s">
        <v>887</v>
      </c>
      <c r="O86" s="321"/>
      <c r="P86" s="322"/>
      <c r="Q86" s="133"/>
      <c r="R86" s="128" t="str">
        <f>IF(E120="","",VLOOKUP(14,'AISC Angle Database'!$F$6:$T$333,14,FALSE))</f>
        <v/>
      </c>
      <c r="S86" s="129" t="str">
        <f t="shared" si="32"/>
        <v/>
      </c>
      <c r="T86" s="129" t="str">
        <f t="shared" si="32"/>
        <v/>
      </c>
      <c r="U86" s="130" t="str">
        <f t="shared" si="32"/>
        <v/>
      </c>
      <c r="V86" s="131" t="str">
        <f t="shared" si="21"/>
        <v/>
      </c>
      <c r="W86" s="131" t="str">
        <f t="shared" si="22"/>
        <v/>
      </c>
      <c r="X86" s="131" t="str">
        <f t="shared" si="23"/>
        <v/>
      </c>
      <c r="Y86" s="131" t="str">
        <f t="shared" si="24"/>
        <v/>
      </c>
      <c r="Z86" s="131" t="str">
        <f t="shared" si="25"/>
        <v/>
      </c>
      <c r="AA86" s="131" t="str">
        <f t="shared" si="26"/>
        <v/>
      </c>
      <c r="AB86" s="131" t="str">
        <f t="shared" si="27"/>
        <v/>
      </c>
      <c r="AC86" s="131" t="str">
        <f t="shared" si="28"/>
        <v/>
      </c>
      <c r="AD86" s="130" t="str">
        <f t="shared" si="29"/>
        <v/>
      </c>
      <c r="AE86" s="130" t="str">
        <f t="shared" si="30"/>
        <v/>
      </c>
      <c r="AF86" s="130" t="str">
        <f t="shared" si="31"/>
        <v/>
      </c>
    </row>
    <row r="87" spans="1:32" ht="15" customHeight="1">
      <c r="A87" s="116"/>
      <c r="B87" s="71"/>
      <c r="C87" s="62"/>
      <c r="D87" s="134" t="s">
        <v>868</v>
      </c>
      <c r="E87" s="75" t="s">
        <v>779</v>
      </c>
      <c r="F87" s="249">
        <f>F74</f>
        <v>2.5</v>
      </c>
      <c r="G87" s="120" t="s">
        <v>882</v>
      </c>
      <c r="H87" s="75" t="s">
        <v>870</v>
      </c>
      <c r="I87" s="249">
        <f>0.667*I74</f>
        <v>0</v>
      </c>
      <c r="J87" s="120" t="s">
        <v>882</v>
      </c>
      <c r="K87" s="75" t="s">
        <v>804</v>
      </c>
      <c r="L87" s="249">
        <f>(8*L75/(H28*12)^2)*12</f>
        <v>0</v>
      </c>
      <c r="M87" s="120" t="s">
        <v>882</v>
      </c>
      <c r="N87" s="136" t="s">
        <v>876</v>
      </c>
      <c r="O87" s="249">
        <f>F87+L87</f>
        <v>2.5</v>
      </c>
      <c r="P87" s="120" t="s">
        <v>882</v>
      </c>
      <c r="Q87" s="73"/>
      <c r="R87" s="128" t="str">
        <f>IF(E121="","",VLOOKUP(15,'AISC Angle Database'!$F$6:$T$333,14,FALSE))</f>
        <v/>
      </c>
      <c r="S87" s="129" t="str">
        <f t="shared" si="32"/>
        <v/>
      </c>
      <c r="T87" s="129" t="str">
        <f t="shared" si="32"/>
        <v/>
      </c>
      <c r="U87" s="130" t="str">
        <f t="shared" si="32"/>
        <v/>
      </c>
      <c r="V87" s="131" t="str">
        <f t="shared" si="21"/>
        <v/>
      </c>
      <c r="W87" s="131" t="str">
        <f t="shared" si="22"/>
        <v/>
      </c>
      <c r="X87" s="131" t="str">
        <f t="shared" si="23"/>
        <v/>
      </c>
      <c r="Y87" s="131" t="str">
        <f t="shared" si="24"/>
        <v/>
      </c>
      <c r="Z87" s="131" t="str">
        <f t="shared" si="25"/>
        <v/>
      </c>
      <c r="AA87" s="131" t="str">
        <f t="shared" si="26"/>
        <v/>
      </c>
      <c r="AB87" s="131" t="str">
        <f t="shared" si="27"/>
        <v/>
      </c>
      <c r="AC87" s="131" t="str">
        <f t="shared" si="28"/>
        <v/>
      </c>
      <c r="AD87" s="130" t="str">
        <f t="shared" si="29"/>
        <v/>
      </c>
      <c r="AE87" s="130" t="str">
        <f t="shared" si="30"/>
        <v/>
      </c>
      <c r="AF87" s="130" t="str">
        <f t="shared" si="31"/>
        <v/>
      </c>
    </row>
    <row r="88" spans="1:32" ht="15" customHeight="1">
      <c r="A88" s="116"/>
      <c r="B88" s="71"/>
      <c r="C88" s="62"/>
      <c r="D88" s="134" t="s">
        <v>869</v>
      </c>
      <c r="E88" s="75" t="s">
        <v>779</v>
      </c>
      <c r="F88" s="249">
        <f>F74</f>
        <v>2.5</v>
      </c>
      <c r="G88" s="120" t="s">
        <v>882</v>
      </c>
      <c r="H88" s="75" t="s">
        <v>871</v>
      </c>
      <c r="I88" s="249">
        <f>0.64*I74</f>
        <v>0</v>
      </c>
      <c r="J88" s="120" t="s">
        <v>882</v>
      </c>
      <c r="K88" s="75" t="s">
        <v>804</v>
      </c>
      <c r="L88" s="249">
        <f>(384*H32*L73*L77/(5*(H28*12)^4))*12</f>
        <v>0</v>
      </c>
      <c r="M88" s="120" t="s">
        <v>882</v>
      </c>
      <c r="N88" s="136" t="s">
        <v>877</v>
      </c>
      <c r="O88" s="249">
        <f>F88+L88</f>
        <v>2.5</v>
      </c>
      <c r="P88" s="120" t="s">
        <v>882</v>
      </c>
      <c r="Q88" s="73"/>
      <c r="R88" s="128" t="str">
        <f>IF(E122="","",VLOOKUP(16,'AISC Angle Database'!$F$6:$T$333,14,FALSE))</f>
        <v/>
      </c>
      <c r="S88" s="129" t="str">
        <f t="shared" si="32"/>
        <v/>
      </c>
      <c r="T88" s="129" t="str">
        <f t="shared" si="32"/>
        <v/>
      </c>
      <c r="U88" s="130" t="str">
        <f t="shared" si="32"/>
        <v/>
      </c>
      <c r="V88" s="131" t="str">
        <f t="shared" si="21"/>
        <v/>
      </c>
      <c r="W88" s="131" t="str">
        <f t="shared" si="22"/>
        <v/>
      </c>
      <c r="X88" s="131" t="str">
        <f t="shared" si="23"/>
        <v/>
      </c>
      <c r="Y88" s="131" t="str">
        <f t="shared" si="24"/>
        <v/>
      </c>
      <c r="Z88" s="131" t="str">
        <f t="shared" si="25"/>
        <v/>
      </c>
      <c r="AA88" s="131" t="str">
        <f t="shared" si="26"/>
        <v/>
      </c>
      <c r="AB88" s="131" t="str">
        <f t="shared" si="27"/>
        <v/>
      </c>
      <c r="AC88" s="131" t="str">
        <f t="shared" si="28"/>
        <v/>
      </c>
      <c r="AD88" s="130" t="str">
        <f t="shared" si="29"/>
        <v/>
      </c>
      <c r="AE88" s="130" t="str">
        <f t="shared" si="30"/>
        <v/>
      </c>
      <c r="AF88" s="130" t="str">
        <f t="shared" si="31"/>
        <v/>
      </c>
    </row>
    <row r="89" spans="1:32" ht="15.75" customHeight="1">
      <c r="A89" s="116"/>
      <c r="B89" s="71"/>
      <c r="C89" s="62"/>
      <c r="D89" s="137"/>
      <c r="E89" s="75" t="s">
        <v>895</v>
      </c>
      <c r="F89" s="56">
        <f>5*(F87/12)*($H$28*12)^4/(384*$H$32*$M$28)</f>
        <v>19.862068965517242</v>
      </c>
      <c r="G89" s="120" t="s">
        <v>896</v>
      </c>
      <c r="H89" s="75" t="s">
        <v>895</v>
      </c>
      <c r="I89" s="249" t="s">
        <v>857</v>
      </c>
      <c r="J89" s="120" t="s">
        <v>896</v>
      </c>
      <c r="K89" s="75" t="s">
        <v>895</v>
      </c>
      <c r="L89" s="249">
        <f>(L77/M28)*L73</f>
        <v>0</v>
      </c>
      <c r="M89" s="120" t="s">
        <v>896</v>
      </c>
      <c r="N89" s="136" t="s">
        <v>895</v>
      </c>
      <c r="O89" s="249">
        <f>5*(F87/12)*($H$28*12)^4/(384*$H$32*$M$28)</f>
        <v>19.862068965517242</v>
      </c>
      <c r="P89" s="120" t="s">
        <v>896</v>
      </c>
      <c r="Q89" s="73"/>
      <c r="R89" s="128" t="str">
        <f>IF(E123="","",VLOOKUP(17,'AISC Angle Database'!$F$6:$T$333,14,FALSE))</f>
        <v/>
      </c>
      <c r="S89" s="129" t="str">
        <f t="shared" si="32"/>
        <v/>
      </c>
      <c r="T89" s="129" t="str">
        <f t="shared" si="32"/>
        <v/>
      </c>
      <c r="U89" s="130" t="str">
        <f t="shared" si="32"/>
        <v/>
      </c>
      <c r="V89" s="131" t="str">
        <f t="shared" si="21"/>
        <v/>
      </c>
      <c r="W89" s="131" t="str">
        <f t="shared" si="22"/>
        <v/>
      </c>
      <c r="X89" s="131" t="str">
        <f t="shared" si="23"/>
        <v/>
      </c>
      <c r="Y89" s="131" t="str">
        <f t="shared" si="24"/>
        <v/>
      </c>
      <c r="Z89" s="131" t="str">
        <f t="shared" si="25"/>
        <v/>
      </c>
      <c r="AA89" s="131" t="str">
        <f t="shared" si="26"/>
        <v/>
      </c>
      <c r="AB89" s="131" t="str">
        <f t="shared" si="27"/>
        <v/>
      </c>
      <c r="AC89" s="131" t="str">
        <f t="shared" si="28"/>
        <v/>
      </c>
      <c r="AD89" s="130" t="str">
        <f t="shared" si="29"/>
        <v/>
      </c>
      <c r="AE89" s="130" t="str">
        <f t="shared" si="30"/>
        <v/>
      </c>
      <c r="AF89" s="130" t="str">
        <f t="shared" si="31"/>
        <v/>
      </c>
    </row>
    <row r="90" spans="1:32" ht="20.100000000000001" customHeight="1" thickBot="1">
      <c r="A90" s="116"/>
      <c r="B90" s="71"/>
      <c r="C90" s="62"/>
      <c r="D90" s="120"/>
      <c r="E90" s="72"/>
      <c r="F90" s="72"/>
      <c r="G90" s="125"/>
      <c r="H90" s="72"/>
      <c r="I90" s="72"/>
      <c r="J90" s="125"/>
      <c r="K90" s="72"/>
      <c r="L90" s="72"/>
      <c r="M90" s="125"/>
      <c r="N90" s="126"/>
      <c r="O90" s="72"/>
      <c r="P90" s="125"/>
      <c r="Q90" s="73"/>
      <c r="R90" s="128" t="str">
        <f>IF(E124="","",VLOOKUP(18,'AISC Angle Database'!$F$6:$T$333,14,FALSE))</f>
        <v/>
      </c>
      <c r="S90" s="129" t="str">
        <f t="shared" si="32"/>
        <v/>
      </c>
      <c r="T90" s="129" t="str">
        <f t="shared" si="32"/>
        <v/>
      </c>
      <c r="U90" s="130" t="str">
        <f t="shared" si="32"/>
        <v/>
      </c>
      <c r="V90" s="131" t="str">
        <f t="shared" si="21"/>
        <v/>
      </c>
      <c r="W90" s="131" t="str">
        <f t="shared" si="22"/>
        <v/>
      </c>
      <c r="X90" s="131" t="str">
        <f t="shared" si="23"/>
        <v/>
      </c>
      <c r="Y90" s="131" t="str">
        <f t="shared" si="24"/>
        <v/>
      </c>
      <c r="Z90" s="131" t="str">
        <f t="shared" si="25"/>
        <v/>
      </c>
      <c r="AA90" s="131" t="str">
        <f t="shared" si="26"/>
        <v/>
      </c>
      <c r="AB90" s="131" t="str">
        <f t="shared" si="27"/>
        <v/>
      </c>
      <c r="AC90" s="131" t="str">
        <f t="shared" si="28"/>
        <v/>
      </c>
      <c r="AD90" s="130" t="str">
        <f t="shared" si="29"/>
        <v/>
      </c>
      <c r="AE90" s="130" t="str">
        <f t="shared" si="30"/>
        <v/>
      </c>
      <c r="AF90" s="130" t="str">
        <f t="shared" si="31"/>
        <v/>
      </c>
    </row>
    <row r="91" spans="1:32" ht="15.6" customHeight="1">
      <c r="A91" s="116"/>
      <c r="B91" s="71"/>
      <c r="C91" s="62"/>
      <c r="D91" s="62"/>
      <c r="E91" s="62"/>
      <c r="F91" s="62"/>
      <c r="G91" s="62"/>
      <c r="H91" s="62"/>
      <c r="I91" s="62"/>
      <c r="J91" s="62"/>
      <c r="K91" s="62"/>
      <c r="L91" s="62"/>
      <c r="M91" s="62"/>
      <c r="N91" s="62"/>
      <c r="O91" s="62"/>
      <c r="P91" s="62"/>
      <c r="Q91" s="73"/>
      <c r="R91" s="128" t="str">
        <f>IF(E125="","",VLOOKUP(19,'AISC Angle Database'!$F$6:$T$333,14,FALSE))</f>
        <v/>
      </c>
      <c r="S91" s="129" t="str">
        <f t="shared" si="32"/>
        <v/>
      </c>
      <c r="T91" s="129" t="str">
        <f t="shared" si="32"/>
        <v/>
      </c>
      <c r="U91" s="130" t="str">
        <f t="shared" si="32"/>
        <v/>
      </c>
      <c r="V91" s="131" t="str">
        <f t="shared" si="21"/>
        <v/>
      </c>
      <c r="W91" s="131" t="str">
        <f t="shared" si="22"/>
        <v/>
      </c>
      <c r="X91" s="131" t="str">
        <f t="shared" si="23"/>
        <v/>
      </c>
      <c r="Y91" s="131" t="str">
        <f t="shared" si="24"/>
        <v/>
      </c>
      <c r="Z91" s="131" t="str">
        <f t="shared" si="25"/>
        <v/>
      </c>
      <c r="AA91" s="131" t="str">
        <f t="shared" si="26"/>
        <v/>
      </c>
      <c r="AB91" s="131" t="str">
        <f t="shared" si="27"/>
        <v/>
      </c>
      <c r="AC91" s="131" t="str">
        <f t="shared" si="28"/>
        <v/>
      </c>
      <c r="AD91" s="130" t="str">
        <f t="shared" si="29"/>
        <v/>
      </c>
      <c r="AE91" s="130" t="str">
        <f t="shared" si="30"/>
        <v/>
      </c>
      <c r="AF91" s="130" t="str">
        <f t="shared" si="31"/>
        <v/>
      </c>
    </row>
    <row r="92" spans="1:32" ht="15.6" customHeight="1">
      <c r="A92" s="141"/>
      <c r="B92" s="71"/>
      <c r="C92" s="62"/>
      <c r="D92" s="62"/>
      <c r="E92" s="62"/>
      <c r="F92" s="62"/>
      <c r="G92" s="62"/>
      <c r="H92" s="62"/>
      <c r="I92" s="62"/>
      <c r="J92" s="62"/>
      <c r="K92" s="62"/>
      <c r="L92" s="62"/>
      <c r="M92" s="62"/>
      <c r="N92" s="62"/>
      <c r="O92" s="62"/>
      <c r="P92" s="62"/>
      <c r="Q92" s="73"/>
      <c r="R92" s="142"/>
      <c r="S92" s="143"/>
      <c r="T92" s="143"/>
      <c r="U92" s="144"/>
      <c r="V92" s="145"/>
      <c r="W92" s="145"/>
      <c r="X92" s="145"/>
      <c r="Y92" s="145"/>
      <c r="Z92" s="145"/>
      <c r="AA92" s="145"/>
      <c r="AB92" s="145"/>
      <c r="AC92" s="145"/>
      <c r="AD92" s="144"/>
      <c r="AE92" s="144"/>
      <c r="AF92" s="144"/>
    </row>
    <row r="93" spans="1:32" ht="20.100000000000001" customHeight="1">
      <c r="B93" s="74"/>
      <c r="C93" s="105"/>
      <c r="D93" s="105"/>
      <c r="E93" s="105"/>
      <c r="F93" s="105"/>
      <c r="G93" s="105"/>
      <c r="H93" s="105"/>
      <c r="I93" s="105"/>
      <c r="J93" s="105"/>
      <c r="K93" s="105"/>
      <c r="L93" s="105"/>
      <c r="M93" s="105"/>
      <c r="N93" s="105"/>
      <c r="O93" s="105"/>
      <c r="P93" s="105"/>
      <c r="Q93" s="112"/>
      <c r="R93" s="142"/>
      <c r="S93" s="143"/>
      <c r="T93" s="143"/>
      <c r="U93" s="144"/>
      <c r="V93" s="145"/>
      <c r="W93" s="145"/>
      <c r="X93" s="145"/>
      <c r="Y93" s="145"/>
      <c r="Z93" s="145"/>
      <c r="AA93" s="145"/>
      <c r="AB93" s="145"/>
      <c r="AC93" s="145"/>
      <c r="AD93" s="144"/>
      <c r="AE93" s="144"/>
      <c r="AF93" s="144"/>
    </row>
    <row r="94" spans="1:32" ht="20.100000000000001" customHeight="1" thickBot="1">
      <c r="B94" s="71"/>
      <c r="C94" s="146" t="s">
        <v>888</v>
      </c>
      <c r="D94" s="62"/>
      <c r="E94" s="62"/>
      <c r="F94" s="62"/>
      <c r="G94" s="62"/>
      <c r="H94" s="62"/>
      <c r="I94" s="62"/>
      <c r="J94" s="62"/>
      <c r="K94" s="62"/>
      <c r="L94" s="62"/>
      <c r="M94" s="62"/>
      <c r="N94" s="62"/>
      <c r="O94" s="62"/>
      <c r="P94" s="62"/>
      <c r="Q94" s="73"/>
      <c r="R94" s="68"/>
      <c r="S94" s="69"/>
      <c r="T94" s="69"/>
      <c r="U94" s="69"/>
      <c r="V94" s="69"/>
      <c r="W94" s="69"/>
      <c r="X94" s="69"/>
      <c r="Y94" s="69"/>
      <c r="Z94" s="69"/>
      <c r="AA94" s="69"/>
      <c r="AB94" s="69"/>
      <c r="AC94" s="69"/>
      <c r="AD94" s="69"/>
      <c r="AE94" s="69"/>
      <c r="AF94" s="70"/>
    </row>
    <row r="95" spans="1:32" ht="20.100000000000001" customHeight="1" thickBot="1">
      <c r="B95" s="71"/>
      <c r="C95" s="62"/>
      <c r="D95" s="62"/>
      <c r="E95" s="62"/>
      <c r="F95" s="62"/>
      <c r="G95" s="75" t="s">
        <v>890</v>
      </c>
      <c r="H95" s="75" t="s">
        <v>889</v>
      </c>
      <c r="I95" s="56">
        <f>IF(AND(H23="LRFD",O87&gt;0),1.2*O81+1.6*O87,IF(AND(H23="LRFD",O87=0),1.4*83,O81+O87))</f>
        <v>4.5</v>
      </c>
      <c r="J95" s="62" t="s">
        <v>882</v>
      </c>
      <c r="K95" s="62"/>
      <c r="L95" s="62" t="s">
        <v>874</v>
      </c>
      <c r="M95" s="249">
        <f>(I95/12)*(H28*12)^2/8</f>
        <v>432</v>
      </c>
      <c r="N95" s="62" t="s">
        <v>897</v>
      </c>
      <c r="O95" s="62"/>
      <c r="P95" s="62"/>
      <c r="Q95" s="73"/>
      <c r="R95" s="287" t="s">
        <v>962</v>
      </c>
      <c r="S95" s="287"/>
      <c r="T95" s="287"/>
      <c r="U95" s="287"/>
      <c r="V95" s="287"/>
      <c r="W95" s="287"/>
      <c r="X95" s="287"/>
      <c r="Y95" s="287"/>
      <c r="Z95" s="287"/>
      <c r="AA95" s="287"/>
      <c r="AB95" s="287"/>
      <c r="AC95" s="287"/>
      <c r="AD95" s="287"/>
      <c r="AE95" s="287"/>
      <c r="AF95" s="287"/>
    </row>
    <row r="96" spans="1:32" ht="20.100000000000001" customHeight="1">
      <c r="B96" s="71"/>
      <c r="C96" s="62"/>
      <c r="D96" s="62"/>
      <c r="E96" s="62"/>
      <c r="F96" s="62"/>
      <c r="G96" s="62"/>
      <c r="H96" s="62"/>
      <c r="I96" s="62"/>
      <c r="J96" s="62"/>
      <c r="K96" s="62"/>
      <c r="L96" s="75" t="s">
        <v>894</v>
      </c>
      <c r="M96" s="56">
        <f>IF(H23="ASD",1.67*(I95/12)*($H$28*12)^2/(8*$H$31),(I95/12)*($H$28*12)^2/(0.9*8*$H$31))</f>
        <v>20.04</v>
      </c>
      <c r="N96" s="120" t="s">
        <v>899</v>
      </c>
      <c r="O96" s="62"/>
      <c r="P96" s="62"/>
      <c r="Q96" s="73"/>
      <c r="R96" s="364" t="s">
        <v>760</v>
      </c>
      <c r="S96" s="294" t="s">
        <v>824</v>
      </c>
      <c r="T96" s="294" t="s">
        <v>825</v>
      </c>
      <c r="U96" s="294" t="s">
        <v>714</v>
      </c>
      <c r="V96" s="294" t="s">
        <v>832</v>
      </c>
      <c r="W96" s="294" t="s">
        <v>833</v>
      </c>
      <c r="X96" s="294" t="s">
        <v>834</v>
      </c>
      <c r="Y96" s="293" t="s">
        <v>840</v>
      </c>
      <c r="Z96" s="293" t="s">
        <v>841</v>
      </c>
      <c r="AA96" s="293" t="s">
        <v>838</v>
      </c>
      <c r="AB96" s="293" t="s">
        <v>823</v>
      </c>
      <c r="AC96" s="293" t="s">
        <v>839</v>
      </c>
      <c r="AD96" s="293" t="s">
        <v>849</v>
      </c>
      <c r="AE96" s="293" t="s">
        <v>850</v>
      </c>
      <c r="AF96" s="293" t="s">
        <v>851</v>
      </c>
    </row>
    <row r="97" spans="1:32" ht="20.100000000000001" customHeight="1" thickBot="1">
      <c r="B97" s="71"/>
      <c r="C97" s="62"/>
      <c r="D97" s="62"/>
      <c r="E97" s="62"/>
      <c r="F97" s="62"/>
      <c r="G97" s="75"/>
      <c r="H97" s="62"/>
      <c r="I97" s="62"/>
      <c r="J97" s="62"/>
      <c r="K97" s="62"/>
      <c r="L97" s="62"/>
      <c r="M97" s="62"/>
      <c r="N97" s="62"/>
      <c r="O97" s="62"/>
      <c r="P97" s="62"/>
      <c r="Q97" s="73"/>
      <c r="R97" s="365"/>
      <c r="S97" s="367"/>
      <c r="T97" s="367"/>
      <c r="U97" s="367"/>
      <c r="V97" s="367"/>
      <c r="W97" s="367"/>
      <c r="X97" s="367"/>
      <c r="Y97" s="366"/>
      <c r="Z97" s="366"/>
      <c r="AA97" s="366"/>
      <c r="AB97" s="366"/>
      <c r="AC97" s="366"/>
      <c r="AD97" s="366"/>
      <c r="AE97" s="366"/>
      <c r="AF97" s="366"/>
    </row>
    <row r="98" spans="1:32" ht="20.100000000000001" customHeight="1">
      <c r="B98" s="71"/>
      <c r="C98" s="62"/>
      <c r="D98" s="62"/>
      <c r="E98" s="62"/>
      <c r="F98" s="62"/>
      <c r="G98" s="75" t="s">
        <v>891</v>
      </c>
      <c r="H98" s="75" t="s">
        <v>892</v>
      </c>
      <c r="I98" s="56">
        <f>O82+O88</f>
        <v>4.5</v>
      </c>
      <c r="J98" s="62" t="s">
        <v>882</v>
      </c>
      <c r="K98" s="62"/>
      <c r="L98" s="75" t="s">
        <v>895</v>
      </c>
      <c r="M98" s="56">
        <f>5*(I98/12)*($H$28*12)^4/(384*$H$32*$M$29)</f>
        <v>71.50344827586207</v>
      </c>
      <c r="N98" s="62" t="s">
        <v>898</v>
      </c>
      <c r="O98" s="62"/>
      <c r="P98" s="62"/>
      <c r="Q98" s="73"/>
      <c r="R98" s="147" t="e">
        <f t="shared" ref="R98:S104" ca="1" si="33">R15</f>
        <v>#N/A</v>
      </c>
      <c r="S98" s="147" t="e">
        <f t="shared" ca="1" si="33"/>
        <v>#N/A</v>
      </c>
      <c r="T98" s="147" t="e">
        <f t="shared" ref="T98:U117" ca="1" si="34">T73</f>
        <v>#N/A</v>
      </c>
      <c r="U98" s="148" t="e">
        <f t="shared" ca="1" si="34"/>
        <v>#N/A</v>
      </c>
      <c r="V98" s="131" t="e">
        <f t="shared" ref="V98:V116" ca="1" si="35">IF(E107="","",IF(AND(R73=1,S73&gt;T73),AA73*COS(AB98-AD73),"NA"))</f>
        <v>#N/A</v>
      </c>
      <c r="W98" s="131" t="e">
        <f t="shared" ref="W98:W116" ca="1" si="36">IF(E107="","",IF(AND(R73=1,S73&gt;T73),AB73*SIN(AB98+AE73),"NA"))</f>
        <v>#N/A</v>
      </c>
      <c r="X98" s="131" t="e">
        <f t="shared" ref="X98:X116" ca="1" si="37">IF(E107="","",IF(AND(R73=1,S73&gt;T73),AC73*SIN(AB98+AF73),"NA"))</f>
        <v>#N/A</v>
      </c>
      <c r="Y98" s="131" t="e">
        <f t="shared" ref="Y98:Y116" ca="1" si="38">IF(E107="","",IF(AND(R73=1,S73&gt;T73),AB73*COS(AB98+AE73),"NA"))</f>
        <v>#N/A</v>
      </c>
      <c r="Z98" s="131" t="e">
        <f t="shared" ref="Z98:Z116" ca="1" si="39">IF(E107="","",IF(AND(R73=1,S73&gt;T73),AA73*SIN(AB98-AD73),"NA"))</f>
        <v>#N/A</v>
      </c>
      <c r="AA98" s="130" t="e">
        <f t="shared" ref="AA98:AA116" ca="1" si="40">IF(E107="","",IF(AND(R73=1,S73&gt;T73),ATAN(-2*Z73/(X73-Y73)),"NA"))</f>
        <v>#N/A</v>
      </c>
      <c r="AB98" s="130" t="e">
        <f t="shared" ref="AB98:AB116" ca="1" si="41">IF(E107="","",IF(AND(R73=1,S73&gt;T73),AA98/2,"NA"))</f>
        <v>#N/A</v>
      </c>
      <c r="AC98" s="130" t="e">
        <f t="shared" ref="AC98:AC116" ca="1" si="42">IF(E107="","",IF(AND(R73=1,S73&gt;T73),TAN(AB98),"NA"))</f>
        <v>#N/A</v>
      </c>
      <c r="AD98" s="131" t="e">
        <f t="shared" ref="AD98:AD116" ca="1" si="43">IF(E107="","",IF(AND(R73=1,S73&gt;T73),(X73+Y73)/2+SQRT(((X73-Y73)/2)^2+Z73^2),"NA"))</f>
        <v>#N/A</v>
      </c>
      <c r="AE98" s="131" t="e">
        <f t="shared" ref="AE98:AE116" ca="1" si="44">IF(E107="","",IF(AND(R73=1,S73&gt;T73),((X73+Y73)/2)-SQRT(((X73-Y73)/2)^2+Z73^2),"NA"))</f>
        <v>#N/A</v>
      </c>
      <c r="AF98" s="131" t="e">
        <f t="shared" ref="AF98:AF116" ca="1" si="45">IF(E107="","",IF(AND(R73=1,S73&gt;T73),AD98/(MAX(V98,W98)),"NA"))</f>
        <v>#N/A</v>
      </c>
    </row>
    <row r="99" spans="1:32" ht="20.100000000000001" customHeight="1">
      <c r="B99" s="71"/>
      <c r="C99" s="62"/>
      <c r="D99" s="62"/>
      <c r="E99" s="62"/>
      <c r="F99" s="62"/>
      <c r="G99" s="62"/>
      <c r="H99" s="62"/>
      <c r="I99" s="62"/>
      <c r="J99" s="62"/>
      <c r="K99" s="62"/>
      <c r="L99" s="62"/>
      <c r="M99" s="62"/>
      <c r="N99" s="62"/>
      <c r="O99" s="62"/>
      <c r="P99" s="62"/>
      <c r="Q99" s="73"/>
      <c r="R99" s="147" t="e">
        <f t="shared" ca="1" si="33"/>
        <v>#N/A</v>
      </c>
      <c r="S99" s="147" t="e">
        <f t="shared" ca="1" si="33"/>
        <v>#N/A</v>
      </c>
      <c r="T99" s="147" t="e">
        <f t="shared" ca="1" si="34"/>
        <v>#N/A</v>
      </c>
      <c r="U99" s="148" t="e">
        <f t="shared" ca="1" si="34"/>
        <v>#N/A</v>
      </c>
      <c r="V99" s="131" t="e">
        <f t="shared" ca="1" si="35"/>
        <v>#N/A</v>
      </c>
      <c r="W99" s="131" t="e">
        <f t="shared" ca="1" si="36"/>
        <v>#N/A</v>
      </c>
      <c r="X99" s="131" t="e">
        <f t="shared" ca="1" si="37"/>
        <v>#N/A</v>
      </c>
      <c r="Y99" s="131" t="e">
        <f t="shared" ca="1" si="38"/>
        <v>#N/A</v>
      </c>
      <c r="Z99" s="131" t="e">
        <f t="shared" ca="1" si="39"/>
        <v>#N/A</v>
      </c>
      <c r="AA99" s="130" t="e">
        <f t="shared" ca="1" si="40"/>
        <v>#N/A</v>
      </c>
      <c r="AB99" s="130" t="e">
        <f t="shared" ca="1" si="41"/>
        <v>#N/A</v>
      </c>
      <c r="AC99" s="130" t="e">
        <f t="shared" ca="1" si="42"/>
        <v>#N/A</v>
      </c>
      <c r="AD99" s="131" t="e">
        <f t="shared" ca="1" si="43"/>
        <v>#N/A</v>
      </c>
      <c r="AE99" s="131" t="e">
        <f t="shared" ca="1" si="44"/>
        <v>#N/A</v>
      </c>
      <c r="AF99" s="131" t="e">
        <f t="shared" ca="1" si="45"/>
        <v>#N/A</v>
      </c>
    </row>
    <row r="100" spans="1:32" ht="20.100000000000001" customHeight="1" thickBot="1">
      <c r="B100" s="71"/>
      <c r="C100" s="62"/>
      <c r="D100" s="62"/>
      <c r="E100" s="62"/>
      <c r="F100" s="62"/>
      <c r="G100" s="62"/>
      <c r="H100" s="62"/>
      <c r="I100" s="62"/>
      <c r="J100" s="62"/>
      <c r="K100" s="62"/>
      <c r="L100" s="62"/>
      <c r="M100" s="62"/>
      <c r="N100" s="62"/>
      <c r="O100" s="62"/>
      <c r="P100" s="62"/>
      <c r="Q100" s="73"/>
      <c r="R100" s="147" t="e">
        <f t="shared" ca="1" si="33"/>
        <v>#N/A</v>
      </c>
      <c r="S100" s="147" t="e">
        <f t="shared" ca="1" si="33"/>
        <v>#N/A</v>
      </c>
      <c r="T100" s="147" t="e">
        <f t="shared" ca="1" si="34"/>
        <v>#N/A</v>
      </c>
      <c r="U100" s="148" t="e">
        <f t="shared" ca="1" si="34"/>
        <v>#N/A</v>
      </c>
      <c r="V100" s="131" t="e">
        <f t="shared" ca="1" si="35"/>
        <v>#N/A</v>
      </c>
      <c r="W100" s="131" t="e">
        <f t="shared" ca="1" si="36"/>
        <v>#N/A</v>
      </c>
      <c r="X100" s="131" t="e">
        <f t="shared" ca="1" si="37"/>
        <v>#N/A</v>
      </c>
      <c r="Y100" s="131" t="e">
        <f t="shared" ca="1" si="38"/>
        <v>#N/A</v>
      </c>
      <c r="Z100" s="131" t="e">
        <f t="shared" ca="1" si="39"/>
        <v>#N/A</v>
      </c>
      <c r="AA100" s="130" t="e">
        <f t="shared" ca="1" si="40"/>
        <v>#N/A</v>
      </c>
      <c r="AB100" s="130" t="e">
        <f t="shared" ca="1" si="41"/>
        <v>#N/A</v>
      </c>
      <c r="AC100" s="130" t="e">
        <f t="shared" ca="1" si="42"/>
        <v>#N/A</v>
      </c>
      <c r="AD100" s="131" t="e">
        <f t="shared" ca="1" si="43"/>
        <v>#N/A</v>
      </c>
      <c r="AE100" s="131" t="e">
        <f t="shared" ca="1" si="44"/>
        <v>#N/A</v>
      </c>
      <c r="AF100" s="131" t="e">
        <f t="shared" ca="1" si="45"/>
        <v>#N/A</v>
      </c>
    </row>
    <row r="101" spans="1:32" ht="20.100000000000001" customHeight="1">
      <c r="B101" s="71"/>
      <c r="D101" s="391" t="s">
        <v>905</v>
      </c>
      <c r="E101" s="392"/>
      <c r="F101" s="392"/>
      <c r="G101" s="392"/>
      <c r="H101" s="392"/>
      <c r="I101" s="392"/>
      <c r="J101" s="392"/>
      <c r="K101" s="392"/>
      <c r="L101" s="392"/>
      <c r="M101" s="392"/>
      <c r="N101" s="393"/>
      <c r="P101" s="62"/>
      <c r="Q101" s="73"/>
      <c r="R101" s="147" t="e">
        <f t="shared" ca="1" si="33"/>
        <v>#N/A</v>
      </c>
      <c r="S101" s="147" t="e">
        <f t="shared" ca="1" si="33"/>
        <v>#N/A</v>
      </c>
      <c r="T101" s="147" t="e">
        <f t="shared" ca="1" si="34"/>
        <v>#N/A</v>
      </c>
      <c r="U101" s="148" t="e">
        <f t="shared" ca="1" si="34"/>
        <v>#N/A</v>
      </c>
      <c r="V101" s="131" t="e">
        <f t="shared" ca="1" si="35"/>
        <v>#N/A</v>
      </c>
      <c r="W101" s="131" t="e">
        <f t="shared" ca="1" si="36"/>
        <v>#N/A</v>
      </c>
      <c r="X101" s="131" t="e">
        <f t="shared" ca="1" si="37"/>
        <v>#N/A</v>
      </c>
      <c r="Y101" s="131" t="e">
        <f t="shared" ca="1" si="38"/>
        <v>#N/A</v>
      </c>
      <c r="Z101" s="131" t="e">
        <f t="shared" ca="1" si="39"/>
        <v>#N/A</v>
      </c>
      <c r="AA101" s="130" t="e">
        <f t="shared" ca="1" si="40"/>
        <v>#N/A</v>
      </c>
      <c r="AB101" s="130" t="e">
        <f t="shared" ca="1" si="41"/>
        <v>#N/A</v>
      </c>
      <c r="AC101" s="130" t="e">
        <f t="shared" ca="1" si="42"/>
        <v>#N/A</v>
      </c>
      <c r="AD101" s="131" t="e">
        <f t="shared" ca="1" si="43"/>
        <v>#N/A</v>
      </c>
      <c r="AE101" s="131" t="e">
        <f t="shared" ca="1" si="44"/>
        <v>#N/A</v>
      </c>
      <c r="AF101" s="131" t="e">
        <f t="shared" ca="1" si="45"/>
        <v>#N/A</v>
      </c>
    </row>
    <row r="102" spans="1:32" ht="20.100000000000001" customHeight="1">
      <c r="B102" s="71"/>
      <c r="D102" s="394"/>
      <c r="E102" s="395"/>
      <c r="F102" s="395"/>
      <c r="G102" s="395"/>
      <c r="H102" s="395"/>
      <c r="I102" s="395"/>
      <c r="J102" s="395"/>
      <c r="K102" s="395"/>
      <c r="L102" s="395"/>
      <c r="M102" s="395"/>
      <c r="N102" s="396"/>
      <c r="P102" s="62"/>
      <c r="Q102" s="73"/>
      <c r="R102" s="147" t="e">
        <f t="shared" ca="1" si="33"/>
        <v>#N/A</v>
      </c>
      <c r="S102" s="147" t="e">
        <f t="shared" ca="1" si="33"/>
        <v>#N/A</v>
      </c>
      <c r="T102" s="147" t="e">
        <f t="shared" ca="1" si="34"/>
        <v>#N/A</v>
      </c>
      <c r="U102" s="148" t="e">
        <f t="shared" ca="1" si="34"/>
        <v>#N/A</v>
      </c>
      <c r="V102" s="131" t="e">
        <f t="shared" ca="1" si="35"/>
        <v>#N/A</v>
      </c>
      <c r="W102" s="131" t="e">
        <f t="shared" ca="1" si="36"/>
        <v>#N/A</v>
      </c>
      <c r="X102" s="131" t="e">
        <f t="shared" ca="1" si="37"/>
        <v>#N/A</v>
      </c>
      <c r="Y102" s="131" t="e">
        <f t="shared" ca="1" si="38"/>
        <v>#N/A</v>
      </c>
      <c r="Z102" s="131" t="e">
        <f t="shared" ca="1" si="39"/>
        <v>#N/A</v>
      </c>
      <c r="AA102" s="130" t="e">
        <f t="shared" ca="1" si="40"/>
        <v>#N/A</v>
      </c>
      <c r="AB102" s="130" t="e">
        <f t="shared" ca="1" si="41"/>
        <v>#N/A</v>
      </c>
      <c r="AC102" s="130" t="e">
        <f t="shared" ca="1" si="42"/>
        <v>#N/A</v>
      </c>
      <c r="AD102" s="131" t="e">
        <f t="shared" ca="1" si="43"/>
        <v>#N/A</v>
      </c>
      <c r="AE102" s="131" t="e">
        <f t="shared" ca="1" si="44"/>
        <v>#N/A</v>
      </c>
      <c r="AF102" s="131" t="e">
        <f t="shared" ca="1" si="45"/>
        <v>#N/A</v>
      </c>
    </row>
    <row r="103" spans="1:32" ht="20.100000000000001" customHeight="1">
      <c r="B103" s="71"/>
      <c r="C103" s="62"/>
      <c r="D103" s="352" t="s">
        <v>702</v>
      </c>
      <c r="E103" s="353"/>
      <c r="F103" s="354"/>
      <c r="G103" s="295" t="s">
        <v>701</v>
      </c>
      <c r="H103" s="313" t="s">
        <v>918</v>
      </c>
      <c r="I103" s="314"/>
      <c r="J103" s="314"/>
      <c r="K103" s="314"/>
      <c r="L103" s="314"/>
      <c r="M103" s="314"/>
      <c r="N103" s="315"/>
      <c r="P103" s="62"/>
      <c r="Q103" s="73"/>
      <c r="R103" s="147" t="e">
        <f t="shared" ca="1" si="33"/>
        <v>#N/A</v>
      </c>
      <c r="S103" s="147" t="e">
        <f t="shared" ca="1" si="33"/>
        <v>#N/A</v>
      </c>
      <c r="T103" s="147" t="e">
        <f t="shared" ca="1" si="34"/>
        <v>#N/A</v>
      </c>
      <c r="U103" s="148" t="e">
        <f t="shared" ca="1" si="34"/>
        <v>#N/A</v>
      </c>
      <c r="V103" s="131" t="e">
        <f t="shared" ca="1" si="35"/>
        <v>#N/A</v>
      </c>
      <c r="W103" s="131" t="e">
        <f t="shared" ca="1" si="36"/>
        <v>#N/A</v>
      </c>
      <c r="X103" s="131" t="e">
        <f t="shared" ca="1" si="37"/>
        <v>#N/A</v>
      </c>
      <c r="Y103" s="131" t="e">
        <f t="shared" ca="1" si="38"/>
        <v>#N/A</v>
      </c>
      <c r="Z103" s="131" t="e">
        <f t="shared" ca="1" si="39"/>
        <v>#N/A</v>
      </c>
      <c r="AA103" s="130" t="e">
        <f t="shared" ca="1" si="40"/>
        <v>#N/A</v>
      </c>
      <c r="AB103" s="130" t="e">
        <f t="shared" ca="1" si="41"/>
        <v>#N/A</v>
      </c>
      <c r="AC103" s="130" t="e">
        <f t="shared" ca="1" si="42"/>
        <v>#N/A</v>
      </c>
      <c r="AD103" s="131" t="e">
        <f t="shared" ca="1" si="43"/>
        <v>#N/A</v>
      </c>
      <c r="AE103" s="131" t="e">
        <f t="shared" ca="1" si="44"/>
        <v>#N/A</v>
      </c>
      <c r="AF103" s="131" t="e">
        <f t="shared" ca="1" si="45"/>
        <v>#N/A</v>
      </c>
    </row>
    <row r="104" spans="1:32" ht="20.100000000000001" customHeight="1">
      <c r="B104" s="71"/>
      <c r="D104" s="355"/>
      <c r="E104" s="356"/>
      <c r="F104" s="357"/>
      <c r="G104" s="295"/>
      <c r="H104" s="324" t="s">
        <v>936</v>
      </c>
      <c r="I104" s="325"/>
      <c r="J104" s="325"/>
      <c r="K104" s="313" t="s">
        <v>937</v>
      </c>
      <c r="L104" s="314"/>
      <c r="M104" s="314"/>
      <c r="N104" s="315"/>
      <c r="P104" s="62"/>
      <c r="Q104" s="73"/>
      <c r="R104" s="147" t="e">
        <f t="shared" ca="1" si="33"/>
        <v>#N/A</v>
      </c>
      <c r="S104" s="147" t="e">
        <f t="shared" ca="1" si="33"/>
        <v>#N/A</v>
      </c>
      <c r="T104" s="147" t="e">
        <f t="shared" ca="1" si="34"/>
        <v>#N/A</v>
      </c>
      <c r="U104" s="148" t="e">
        <f t="shared" ca="1" si="34"/>
        <v>#N/A</v>
      </c>
      <c r="V104" s="131" t="e">
        <f t="shared" ca="1" si="35"/>
        <v>#N/A</v>
      </c>
      <c r="W104" s="131" t="e">
        <f t="shared" ca="1" si="36"/>
        <v>#N/A</v>
      </c>
      <c r="X104" s="131" t="e">
        <f t="shared" ca="1" si="37"/>
        <v>#N/A</v>
      </c>
      <c r="Y104" s="131" t="e">
        <f t="shared" ca="1" si="38"/>
        <v>#N/A</v>
      </c>
      <c r="Z104" s="131" t="e">
        <f t="shared" ca="1" si="39"/>
        <v>#N/A</v>
      </c>
      <c r="AA104" s="130" t="e">
        <f t="shared" ca="1" si="40"/>
        <v>#N/A</v>
      </c>
      <c r="AB104" s="130" t="e">
        <f t="shared" ca="1" si="41"/>
        <v>#N/A</v>
      </c>
      <c r="AC104" s="130" t="e">
        <f t="shared" ca="1" si="42"/>
        <v>#N/A</v>
      </c>
      <c r="AD104" s="131" t="e">
        <f t="shared" ca="1" si="43"/>
        <v>#N/A</v>
      </c>
      <c r="AE104" s="131" t="e">
        <f t="shared" ca="1" si="44"/>
        <v>#N/A</v>
      </c>
      <c r="AF104" s="131" t="e">
        <f t="shared" ca="1" si="45"/>
        <v>#N/A</v>
      </c>
    </row>
    <row r="105" spans="1:32" ht="20.100000000000001" customHeight="1">
      <c r="B105" s="71"/>
      <c r="D105" s="355"/>
      <c r="E105" s="356"/>
      <c r="F105" s="357"/>
      <c r="G105" s="295"/>
      <c r="H105" s="316" t="s">
        <v>901</v>
      </c>
      <c r="I105" s="316" t="s">
        <v>902</v>
      </c>
      <c r="J105" s="316" t="s">
        <v>903</v>
      </c>
      <c r="K105" s="316" t="s">
        <v>929</v>
      </c>
      <c r="L105" s="316" t="s">
        <v>930</v>
      </c>
      <c r="M105" s="316" t="s">
        <v>931</v>
      </c>
      <c r="N105" s="323" t="s">
        <v>932</v>
      </c>
      <c r="P105" s="62"/>
      <c r="Q105" s="73"/>
      <c r="R105" s="147" t="e">
        <f t="shared" ref="R105:S117" ca="1" si="46">R25</f>
        <v>#N/A</v>
      </c>
      <c r="S105" s="147" t="e">
        <f t="shared" ca="1" si="46"/>
        <v>#N/A</v>
      </c>
      <c r="T105" s="147" t="e">
        <f t="shared" ca="1" si="34"/>
        <v>#N/A</v>
      </c>
      <c r="U105" s="148" t="e">
        <f t="shared" ca="1" si="34"/>
        <v>#N/A</v>
      </c>
      <c r="V105" s="131" t="e">
        <f t="shared" ca="1" si="35"/>
        <v>#N/A</v>
      </c>
      <c r="W105" s="131" t="e">
        <f t="shared" ca="1" si="36"/>
        <v>#N/A</v>
      </c>
      <c r="X105" s="131" t="e">
        <f t="shared" ca="1" si="37"/>
        <v>#N/A</v>
      </c>
      <c r="Y105" s="131" t="e">
        <f t="shared" ca="1" si="38"/>
        <v>#N/A</v>
      </c>
      <c r="Z105" s="131" t="e">
        <f t="shared" ca="1" si="39"/>
        <v>#N/A</v>
      </c>
      <c r="AA105" s="130" t="e">
        <f t="shared" ca="1" si="40"/>
        <v>#N/A</v>
      </c>
      <c r="AB105" s="130" t="e">
        <f t="shared" ca="1" si="41"/>
        <v>#N/A</v>
      </c>
      <c r="AC105" s="130" t="e">
        <f t="shared" ca="1" si="42"/>
        <v>#N/A</v>
      </c>
      <c r="AD105" s="131" t="e">
        <f t="shared" ca="1" si="43"/>
        <v>#N/A</v>
      </c>
      <c r="AE105" s="131" t="e">
        <f t="shared" ca="1" si="44"/>
        <v>#N/A</v>
      </c>
      <c r="AF105" s="131" t="e">
        <f t="shared" ca="1" si="45"/>
        <v>#N/A</v>
      </c>
    </row>
    <row r="106" spans="1:32" ht="20.100000000000001" customHeight="1">
      <c r="B106" s="71"/>
      <c r="D106" s="358"/>
      <c r="E106" s="359"/>
      <c r="F106" s="360"/>
      <c r="G106" s="295"/>
      <c r="H106" s="316"/>
      <c r="I106" s="316"/>
      <c r="J106" s="316"/>
      <c r="K106" s="316"/>
      <c r="L106" s="316"/>
      <c r="M106" s="316"/>
      <c r="N106" s="323"/>
      <c r="O106" s="62"/>
      <c r="P106" s="62"/>
      <c r="Q106" s="73"/>
      <c r="R106" s="147" t="e">
        <f t="shared" ca="1" si="46"/>
        <v>#N/A</v>
      </c>
      <c r="S106" s="147" t="e">
        <f t="shared" ca="1" si="46"/>
        <v>#N/A</v>
      </c>
      <c r="T106" s="147" t="e">
        <f t="shared" ca="1" si="34"/>
        <v>#N/A</v>
      </c>
      <c r="U106" s="148" t="e">
        <f t="shared" ca="1" si="34"/>
        <v>#N/A</v>
      </c>
      <c r="V106" s="131" t="e">
        <f t="shared" ca="1" si="35"/>
        <v>#N/A</v>
      </c>
      <c r="W106" s="131" t="e">
        <f t="shared" ca="1" si="36"/>
        <v>#N/A</v>
      </c>
      <c r="X106" s="131" t="e">
        <f t="shared" ca="1" si="37"/>
        <v>#N/A</v>
      </c>
      <c r="Y106" s="131" t="e">
        <f t="shared" ca="1" si="38"/>
        <v>#N/A</v>
      </c>
      <c r="Z106" s="131" t="e">
        <f t="shared" ca="1" si="39"/>
        <v>#N/A</v>
      </c>
      <c r="AA106" s="130" t="e">
        <f t="shared" ca="1" si="40"/>
        <v>#N/A</v>
      </c>
      <c r="AB106" s="130" t="e">
        <f t="shared" ca="1" si="41"/>
        <v>#N/A</v>
      </c>
      <c r="AC106" s="130" t="e">
        <f t="shared" ca="1" si="42"/>
        <v>#N/A</v>
      </c>
      <c r="AD106" s="131" t="e">
        <f t="shared" ca="1" si="43"/>
        <v>#N/A</v>
      </c>
      <c r="AE106" s="131" t="e">
        <f t="shared" ca="1" si="44"/>
        <v>#N/A</v>
      </c>
      <c r="AF106" s="131" t="e">
        <f t="shared" ca="1" si="45"/>
        <v>#N/A</v>
      </c>
    </row>
    <row r="107" spans="1:32" ht="20.100000000000001" customHeight="1">
      <c r="B107" s="71"/>
      <c r="D107" s="149">
        <v>1</v>
      </c>
      <c r="E107" s="328" t="e">
        <f ca="1">IF(OR(1&gt;'AISC Angle Database'!$B$335,1&gt;$M$43),"",VLOOKUP(1,'AISC Angle Database'!$F$6:$Q$333,2,FALSE))</f>
        <v>#N/A</v>
      </c>
      <c r="F107" s="329"/>
      <c r="G107" s="150" t="e">
        <f ca="1">IF(E107="","",VLOOKUP(1,'AISC Angle Database'!$F$6:$Q$333,4,FALSE))</f>
        <v>#N/A</v>
      </c>
      <c r="H107" s="151" t="e">
        <f ca="1">IF(E107="","",VLOOKUP(1,'AISC Angle Database'!$F$6:$Q$333,7,FALSE))</f>
        <v>#N/A</v>
      </c>
      <c r="I107" s="151" t="e">
        <f ca="1">IF(E107="","",VLOOKUP(1,'AISC Angle Database'!$F$6:$Q$333,10,FALSE))</f>
        <v>#N/A</v>
      </c>
      <c r="J107" s="151" t="e">
        <f ca="1">IF(E107="","",VLOOKUP(1,'AISC Angle Database'!$F$6:$Q$333,9,FALSE))</f>
        <v>#N/A</v>
      </c>
      <c r="K107" s="152" t="e">
        <f t="shared" ref="K107:K126" ca="1" si="47">AD98</f>
        <v>#N/A</v>
      </c>
      <c r="L107" s="152" t="e">
        <f t="shared" ref="L107:L126" ca="1" si="48">AE98</f>
        <v>#N/A</v>
      </c>
      <c r="M107" s="152" t="e">
        <f t="shared" ref="M107:M126" ca="1" si="49">AF98</f>
        <v>#N/A</v>
      </c>
      <c r="N107" s="153" t="e">
        <f t="shared" ref="N107:N126" ca="1" si="50">U139</f>
        <v>#N/A</v>
      </c>
      <c r="P107" s="62"/>
      <c r="Q107" s="73"/>
      <c r="R107" s="147" t="e">
        <f t="shared" ca="1" si="46"/>
        <v>#N/A</v>
      </c>
      <c r="S107" s="147" t="e">
        <f t="shared" ca="1" si="46"/>
        <v>#N/A</v>
      </c>
      <c r="T107" s="147" t="e">
        <f t="shared" ca="1" si="34"/>
        <v>#N/A</v>
      </c>
      <c r="U107" s="148" t="e">
        <f t="shared" ca="1" si="34"/>
        <v>#N/A</v>
      </c>
      <c r="V107" s="131" t="e">
        <f t="shared" ca="1" si="35"/>
        <v>#N/A</v>
      </c>
      <c r="W107" s="131" t="e">
        <f t="shared" ca="1" si="36"/>
        <v>#N/A</v>
      </c>
      <c r="X107" s="131" t="e">
        <f t="shared" ca="1" si="37"/>
        <v>#N/A</v>
      </c>
      <c r="Y107" s="131" t="e">
        <f t="shared" ca="1" si="38"/>
        <v>#N/A</v>
      </c>
      <c r="Z107" s="131" t="e">
        <f t="shared" ca="1" si="39"/>
        <v>#N/A</v>
      </c>
      <c r="AA107" s="130" t="e">
        <f t="shared" ca="1" si="40"/>
        <v>#N/A</v>
      </c>
      <c r="AB107" s="130" t="e">
        <f t="shared" ca="1" si="41"/>
        <v>#N/A</v>
      </c>
      <c r="AC107" s="130" t="e">
        <f t="shared" ca="1" si="42"/>
        <v>#N/A</v>
      </c>
      <c r="AD107" s="131" t="e">
        <f t="shared" ca="1" si="43"/>
        <v>#N/A</v>
      </c>
      <c r="AE107" s="131" t="e">
        <f t="shared" ca="1" si="44"/>
        <v>#N/A</v>
      </c>
      <c r="AF107" s="131" t="e">
        <f t="shared" ca="1" si="45"/>
        <v>#N/A</v>
      </c>
    </row>
    <row r="108" spans="1:32" ht="20.100000000000001" customHeight="1">
      <c r="B108" s="71"/>
      <c r="D108" s="149">
        <v>2</v>
      </c>
      <c r="E108" s="245" t="e">
        <f ca="1">IF(OR(2&gt;'AISC Angle Database'!$B$335,2&gt;$M$43),"",VLOOKUP(2,'AISC Angle Database'!$F$6:$Q$333,2,FALSE))</f>
        <v>#N/A</v>
      </c>
      <c r="F108" s="154"/>
      <c r="G108" s="150" t="e">
        <f ca="1">IF(E108="","",VLOOKUP(2,'AISC Angle Database'!$F$6:$Q$333,4,FALSE))</f>
        <v>#N/A</v>
      </c>
      <c r="H108" s="151" t="e">
        <f ca="1">IF(E108="","",VLOOKUP(2,'AISC Angle Database'!$F$6:$Q$333,7,FALSE))</f>
        <v>#N/A</v>
      </c>
      <c r="I108" s="147" t="e">
        <f ca="1">IF(E108="","",VLOOKUP(2,'AISC Angle Database'!$F$6:$Q$333,10,FALSE))</f>
        <v>#N/A</v>
      </c>
      <c r="J108" s="151" t="e">
        <f ca="1">IF(E108="","",VLOOKUP(2,'AISC Angle Database'!$F$6:$Q$333,9,FALSE))</f>
        <v>#N/A</v>
      </c>
      <c r="K108" s="152" t="e">
        <f t="shared" ca="1" si="47"/>
        <v>#N/A</v>
      </c>
      <c r="L108" s="152" t="e">
        <f t="shared" ca="1" si="48"/>
        <v>#N/A</v>
      </c>
      <c r="M108" s="152" t="e">
        <f t="shared" ca="1" si="49"/>
        <v>#N/A</v>
      </c>
      <c r="N108" s="153" t="e">
        <f t="shared" ca="1" si="50"/>
        <v>#N/A</v>
      </c>
      <c r="P108" s="62"/>
      <c r="Q108" s="73"/>
      <c r="R108" s="147" t="e">
        <f t="shared" ca="1" si="46"/>
        <v>#N/A</v>
      </c>
      <c r="S108" s="147" t="e">
        <f t="shared" ca="1" si="46"/>
        <v>#N/A</v>
      </c>
      <c r="T108" s="147" t="e">
        <f t="shared" ca="1" si="34"/>
        <v>#N/A</v>
      </c>
      <c r="U108" s="148" t="e">
        <f t="shared" ca="1" si="34"/>
        <v>#N/A</v>
      </c>
      <c r="V108" s="131" t="e">
        <f t="shared" ca="1" si="35"/>
        <v>#N/A</v>
      </c>
      <c r="W108" s="131" t="e">
        <f t="shared" ca="1" si="36"/>
        <v>#N/A</v>
      </c>
      <c r="X108" s="131" t="e">
        <f t="shared" ca="1" si="37"/>
        <v>#N/A</v>
      </c>
      <c r="Y108" s="131" t="e">
        <f t="shared" ca="1" si="38"/>
        <v>#N/A</v>
      </c>
      <c r="Z108" s="131" t="e">
        <f t="shared" ca="1" si="39"/>
        <v>#N/A</v>
      </c>
      <c r="AA108" s="130" t="e">
        <f t="shared" ca="1" si="40"/>
        <v>#N/A</v>
      </c>
      <c r="AB108" s="130" t="e">
        <f t="shared" ca="1" si="41"/>
        <v>#N/A</v>
      </c>
      <c r="AC108" s="130" t="e">
        <f t="shared" ca="1" si="42"/>
        <v>#N/A</v>
      </c>
      <c r="AD108" s="131" t="e">
        <f t="shared" ca="1" si="43"/>
        <v>#N/A</v>
      </c>
      <c r="AE108" s="131" t="e">
        <f t="shared" ca="1" si="44"/>
        <v>#N/A</v>
      </c>
      <c r="AF108" s="131" t="e">
        <f t="shared" ca="1" si="45"/>
        <v>#N/A</v>
      </c>
    </row>
    <row r="109" spans="1:32" ht="20.100000000000001" customHeight="1">
      <c r="B109" s="71"/>
      <c r="D109" s="149">
        <v>3</v>
      </c>
      <c r="E109" s="245" t="e">
        <f ca="1">IF(OR(3&gt;'AISC Angle Database'!$B$335,,3&gt;$M$43),"",VLOOKUP(3,'AISC Angle Database'!$F$6:$Q$333,2,FALSE))</f>
        <v>#N/A</v>
      </c>
      <c r="F109" s="154"/>
      <c r="G109" s="150" t="e">
        <f ca="1">IF(E109="","",VLOOKUP(3,'AISC Angle Database'!$F$6:$Q$333,4,FALSE))</f>
        <v>#N/A</v>
      </c>
      <c r="H109" s="151" t="e">
        <f ca="1">IF(E109="","",VLOOKUP(3,'AISC Angle Database'!$F$6:$Q$333,7,FALSE))</f>
        <v>#N/A</v>
      </c>
      <c r="I109" s="147" t="e">
        <f ca="1">IF(E109="","",VLOOKUP(3,'AISC Angle Database'!$F$6:$Q$333,10,FALSE))</f>
        <v>#N/A</v>
      </c>
      <c r="J109" s="151" t="e">
        <f ca="1">IF(E109="","",VLOOKUP(3,'AISC Angle Database'!$F$6:$Q$333,9,FALSE))</f>
        <v>#N/A</v>
      </c>
      <c r="K109" s="152" t="e">
        <f t="shared" ca="1" si="47"/>
        <v>#N/A</v>
      </c>
      <c r="L109" s="152" t="e">
        <f t="shared" ca="1" si="48"/>
        <v>#N/A</v>
      </c>
      <c r="M109" s="152" t="e">
        <f t="shared" ca="1" si="49"/>
        <v>#N/A</v>
      </c>
      <c r="N109" s="153" t="e">
        <f t="shared" ca="1" si="50"/>
        <v>#N/A</v>
      </c>
      <c r="P109" s="62"/>
      <c r="Q109" s="73"/>
      <c r="R109" s="147" t="str">
        <f t="shared" si="46"/>
        <v/>
      </c>
      <c r="S109" s="147" t="str">
        <f t="shared" si="46"/>
        <v/>
      </c>
      <c r="T109" s="147" t="str">
        <f t="shared" si="34"/>
        <v/>
      </c>
      <c r="U109" s="148" t="str">
        <f t="shared" si="34"/>
        <v/>
      </c>
      <c r="V109" s="131" t="str">
        <f t="shared" si="35"/>
        <v/>
      </c>
      <c r="W109" s="131" t="str">
        <f t="shared" si="36"/>
        <v/>
      </c>
      <c r="X109" s="131" t="str">
        <f t="shared" si="37"/>
        <v/>
      </c>
      <c r="Y109" s="131" t="str">
        <f t="shared" si="38"/>
        <v/>
      </c>
      <c r="Z109" s="131" t="str">
        <f t="shared" si="39"/>
        <v/>
      </c>
      <c r="AA109" s="130" t="str">
        <f t="shared" si="40"/>
        <v/>
      </c>
      <c r="AB109" s="130" t="str">
        <f t="shared" si="41"/>
        <v/>
      </c>
      <c r="AC109" s="130" t="str">
        <f t="shared" si="42"/>
        <v/>
      </c>
      <c r="AD109" s="131" t="str">
        <f t="shared" si="43"/>
        <v/>
      </c>
      <c r="AE109" s="131" t="str">
        <f t="shared" si="44"/>
        <v/>
      </c>
      <c r="AF109" s="131" t="str">
        <f t="shared" si="45"/>
        <v/>
      </c>
    </row>
    <row r="110" spans="1:32" ht="20.100000000000001" customHeight="1">
      <c r="A110" s="79" t="e">
        <f t="shared" ref="A110:A116" ca="1" si="51">R15</f>
        <v>#N/A</v>
      </c>
      <c r="B110" s="71"/>
      <c r="D110" s="149">
        <v>4</v>
      </c>
      <c r="E110" s="245" t="e">
        <f ca="1">IF(OR(4&gt;'AISC Angle Database'!$B$335,4&gt;$M$43),"",VLOOKUP(4,'AISC Angle Database'!$F$6:$Q$333,2,FALSE))</f>
        <v>#N/A</v>
      </c>
      <c r="F110" s="154"/>
      <c r="G110" s="150" t="e">
        <f ca="1">IF(E110="","",VLOOKUP(4,'AISC Angle Database'!$F$6:$Q$333,4,FALSE))</f>
        <v>#N/A</v>
      </c>
      <c r="H110" s="151" t="e">
        <f ca="1">IF(E110="","",VLOOKUP(4,'AISC Angle Database'!$F$6:$Q$333,7,FALSE))</f>
        <v>#N/A</v>
      </c>
      <c r="I110" s="147" t="e">
        <f ca="1">IF(E110="","",VLOOKUP(4,'AISC Angle Database'!$F$6:$Q$333,10,FALSE))</f>
        <v>#N/A</v>
      </c>
      <c r="J110" s="151" t="e">
        <f ca="1">IF(E110="","",VLOOKUP(4,'AISC Angle Database'!$F$6:$Q$333,9,FALSE))</f>
        <v>#N/A</v>
      </c>
      <c r="K110" s="152" t="e">
        <f t="shared" ca="1" si="47"/>
        <v>#N/A</v>
      </c>
      <c r="L110" s="152" t="e">
        <f t="shared" ca="1" si="48"/>
        <v>#N/A</v>
      </c>
      <c r="M110" s="152" t="e">
        <f t="shared" ca="1" si="49"/>
        <v>#N/A</v>
      </c>
      <c r="N110" s="153" t="e">
        <f t="shared" ca="1" si="50"/>
        <v>#N/A</v>
      </c>
      <c r="Q110" s="73"/>
      <c r="R110" s="147" t="str">
        <f t="shared" si="46"/>
        <v/>
      </c>
      <c r="S110" s="147" t="str">
        <f t="shared" si="46"/>
        <v/>
      </c>
      <c r="T110" s="147" t="str">
        <f t="shared" si="34"/>
        <v/>
      </c>
      <c r="U110" s="148" t="str">
        <f t="shared" si="34"/>
        <v/>
      </c>
      <c r="V110" s="131" t="str">
        <f t="shared" si="35"/>
        <v/>
      </c>
      <c r="W110" s="131" t="str">
        <f t="shared" si="36"/>
        <v/>
      </c>
      <c r="X110" s="131" t="str">
        <f t="shared" si="37"/>
        <v/>
      </c>
      <c r="Y110" s="131" t="str">
        <f t="shared" si="38"/>
        <v/>
      </c>
      <c r="Z110" s="131" t="str">
        <f t="shared" si="39"/>
        <v/>
      </c>
      <c r="AA110" s="130" t="str">
        <f t="shared" si="40"/>
        <v/>
      </c>
      <c r="AB110" s="130" t="str">
        <f t="shared" si="41"/>
        <v/>
      </c>
      <c r="AC110" s="130" t="str">
        <f t="shared" si="42"/>
        <v/>
      </c>
      <c r="AD110" s="131" t="str">
        <f t="shared" si="43"/>
        <v/>
      </c>
      <c r="AE110" s="131" t="str">
        <f t="shared" si="44"/>
        <v/>
      </c>
      <c r="AF110" s="131" t="str">
        <f t="shared" si="45"/>
        <v/>
      </c>
    </row>
    <row r="111" spans="1:32" ht="20.100000000000001" customHeight="1">
      <c r="A111" s="79" t="e">
        <f t="shared" ca="1" si="51"/>
        <v>#N/A</v>
      </c>
      <c r="B111" s="71"/>
      <c r="D111" s="149">
        <v>5</v>
      </c>
      <c r="E111" s="245" t="e">
        <f ca="1">IF(OR(5&gt;'AISC Angle Database'!$B$335,5&gt;$M$43),"",VLOOKUP(5,'AISC Angle Database'!$F$6:$Q$333,2,FALSE))</f>
        <v>#N/A</v>
      </c>
      <c r="F111" s="154"/>
      <c r="G111" s="150" t="e">
        <f ca="1">IF(E111="","",VLOOKUP(5,'AISC Angle Database'!$F$6:$Q$333,4,FALSE))</f>
        <v>#N/A</v>
      </c>
      <c r="H111" s="151" t="e">
        <f ca="1">IF(E111="","",VLOOKUP(5,'AISC Angle Database'!$F$6:$Q$333,7,FALSE))</f>
        <v>#N/A</v>
      </c>
      <c r="I111" s="147" t="e">
        <f ca="1">IF(E111="","",VLOOKUP(5,'AISC Angle Database'!$F$6:$Q$333,10,FALSE))</f>
        <v>#N/A</v>
      </c>
      <c r="J111" s="151" t="e">
        <f ca="1">IF(E111="","",VLOOKUP(5,'AISC Angle Database'!$F$6:$Q$333,9,FALSE))</f>
        <v>#N/A</v>
      </c>
      <c r="K111" s="152" t="e">
        <f t="shared" ca="1" si="47"/>
        <v>#N/A</v>
      </c>
      <c r="L111" s="152" t="e">
        <f t="shared" ca="1" si="48"/>
        <v>#N/A</v>
      </c>
      <c r="M111" s="152" t="e">
        <f t="shared" ca="1" si="49"/>
        <v>#N/A</v>
      </c>
      <c r="N111" s="153" t="e">
        <f t="shared" ca="1" si="50"/>
        <v>#N/A</v>
      </c>
      <c r="Q111" s="73"/>
      <c r="R111" s="147" t="str">
        <f t="shared" si="46"/>
        <v/>
      </c>
      <c r="S111" s="147" t="str">
        <f t="shared" si="46"/>
        <v/>
      </c>
      <c r="T111" s="147" t="str">
        <f t="shared" si="34"/>
        <v/>
      </c>
      <c r="U111" s="148" t="str">
        <f t="shared" si="34"/>
        <v/>
      </c>
      <c r="V111" s="131" t="str">
        <f t="shared" si="35"/>
        <v/>
      </c>
      <c r="W111" s="131" t="str">
        <f t="shared" si="36"/>
        <v/>
      </c>
      <c r="X111" s="131" t="str">
        <f t="shared" si="37"/>
        <v/>
      </c>
      <c r="Y111" s="131" t="str">
        <f t="shared" si="38"/>
        <v/>
      </c>
      <c r="Z111" s="131" t="str">
        <f t="shared" si="39"/>
        <v/>
      </c>
      <c r="AA111" s="130" t="str">
        <f t="shared" si="40"/>
        <v/>
      </c>
      <c r="AB111" s="130" t="str">
        <f t="shared" si="41"/>
        <v/>
      </c>
      <c r="AC111" s="130" t="str">
        <f t="shared" si="42"/>
        <v/>
      </c>
      <c r="AD111" s="131" t="str">
        <f t="shared" si="43"/>
        <v/>
      </c>
      <c r="AE111" s="131" t="str">
        <f t="shared" si="44"/>
        <v/>
      </c>
      <c r="AF111" s="131" t="str">
        <f t="shared" si="45"/>
        <v/>
      </c>
    </row>
    <row r="112" spans="1:32" ht="20.100000000000001" customHeight="1">
      <c r="A112" s="79" t="e">
        <f t="shared" ca="1" si="51"/>
        <v>#N/A</v>
      </c>
      <c r="B112" s="71"/>
      <c r="D112" s="149">
        <v>6</v>
      </c>
      <c r="E112" s="245" t="e">
        <f ca="1">IF(OR(6&gt;'AISC Angle Database'!$B$335,6&gt;$M$43),"",VLOOKUP(6,'AISC Angle Database'!$F$6:$Q$333,2,FALSE))</f>
        <v>#N/A</v>
      </c>
      <c r="F112" s="154"/>
      <c r="G112" s="150" t="e">
        <f ca="1">IF(E112="","",VLOOKUP(6,'AISC Angle Database'!$F$6:$Q$333,4,FALSE))</f>
        <v>#N/A</v>
      </c>
      <c r="H112" s="151" t="e">
        <f ca="1">IF(E112="","",VLOOKUP(6,'AISC Angle Database'!$F$6:$Q$333,7,FALSE))</f>
        <v>#N/A</v>
      </c>
      <c r="I112" s="147" t="e">
        <f ca="1">IF(E112="","",VLOOKUP(6,'AISC Angle Database'!$F$6:$Q$333,10,FALSE))</f>
        <v>#N/A</v>
      </c>
      <c r="J112" s="151" t="e">
        <f ca="1">IF(E112="","",VLOOKUP(6,'AISC Angle Database'!$F$6:$Q$333,9,FALSE))</f>
        <v>#N/A</v>
      </c>
      <c r="K112" s="152" t="e">
        <f t="shared" ca="1" si="47"/>
        <v>#N/A</v>
      </c>
      <c r="L112" s="152" t="e">
        <f t="shared" ca="1" si="48"/>
        <v>#N/A</v>
      </c>
      <c r="M112" s="152" t="e">
        <f t="shared" ca="1" si="49"/>
        <v>#N/A</v>
      </c>
      <c r="N112" s="153" t="e">
        <f t="shared" ca="1" si="50"/>
        <v>#N/A</v>
      </c>
      <c r="Q112" s="73"/>
      <c r="R112" s="147" t="str">
        <f t="shared" si="46"/>
        <v/>
      </c>
      <c r="S112" s="147" t="str">
        <f t="shared" si="46"/>
        <v/>
      </c>
      <c r="T112" s="147" t="str">
        <f t="shared" si="34"/>
        <v/>
      </c>
      <c r="U112" s="148" t="str">
        <f t="shared" si="34"/>
        <v/>
      </c>
      <c r="V112" s="131" t="str">
        <f t="shared" si="35"/>
        <v/>
      </c>
      <c r="W112" s="131" t="str">
        <f t="shared" si="36"/>
        <v/>
      </c>
      <c r="X112" s="131" t="str">
        <f t="shared" si="37"/>
        <v/>
      </c>
      <c r="Y112" s="131" t="str">
        <f t="shared" si="38"/>
        <v/>
      </c>
      <c r="Z112" s="131" t="str">
        <f t="shared" si="39"/>
        <v/>
      </c>
      <c r="AA112" s="130" t="str">
        <f t="shared" si="40"/>
        <v/>
      </c>
      <c r="AB112" s="130" t="str">
        <f t="shared" si="41"/>
        <v/>
      </c>
      <c r="AC112" s="130" t="str">
        <f t="shared" si="42"/>
        <v/>
      </c>
      <c r="AD112" s="131" t="str">
        <f t="shared" si="43"/>
        <v/>
      </c>
      <c r="AE112" s="131" t="str">
        <f t="shared" si="44"/>
        <v/>
      </c>
      <c r="AF112" s="131" t="str">
        <f t="shared" si="45"/>
        <v/>
      </c>
    </row>
    <row r="113" spans="1:32" ht="20.100000000000001" customHeight="1">
      <c r="A113" s="79" t="e">
        <f t="shared" ca="1" si="51"/>
        <v>#N/A</v>
      </c>
      <c r="B113" s="71"/>
      <c r="D113" s="149">
        <v>7</v>
      </c>
      <c r="E113" s="245" t="e">
        <f ca="1">IF(OR(7&gt;'AISC Angle Database'!$B$335,7&gt;$M$43),"",VLOOKUP(7,'AISC Angle Database'!$F$6:$Q$333,2,FALSE))</f>
        <v>#N/A</v>
      </c>
      <c r="F113" s="154"/>
      <c r="G113" s="150" t="e">
        <f ca="1">IF(E113="","",VLOOKUP(7,'AISC Angle Database'!$F$6:$Q$333,4,FALSE))</f>
        <v>#N/A</v>
      </c>
      <c r="H113" s="151" t="e">
        <f ca="1">IF(E113="","",VLOOKUP(7,'AISC Angle Database'!$F$6:$Q$333,7,FALSE))</f>
        <v>#N/A</v>
      </c>
      <c r="I113" s="147" t="e">
        <f ca="1">IF(E113="","",VLOOKUP(7,'AISC Angle Database'!$F$6:$Q$333,10,FALSE))</f>
        <v>#N/A</v>
      </c>
      <c r="J113" s="151" t="e">
        <f ca="1">IF(E113="","",VLOOKUP(7,'AISC Angle Database'!$F$6:$Q$333,9,FALSE))</f>
        <v>#N/A</v>
      </c>
      <c r="K113" s="152" t="e">
        <f t="shared" ca="1" si="47"/>
        <v>#N/A</v>
      </c>
      <c r="L113" s="152" t="e">
        <f t="shared" ca="1" si="48"/>
        <v>#N/A</v>
      </c>
      <c r="M113" s="152" t="e">
        <f t="shared" ca="1" si="49"/>
        <v>#N/A</v>
      </c>
      <c r="N113" s="153" t="e">
        <f t="shared" ca="1" si="50"/>
        <v>#N/A</v>
      </c>
      <c r="Q113" s="73"/>
      <c r="R113" s="147" t="str">
        <f t="shared" si="46"/>
        <v/>
      </c>
      <c r="S113" s="147" t="str">
        <f t="shared" si="46"/>
        <v/>
      </c>
      <c r="T113" s="147" t="str">
        <f t="shared" si="34"/>
        <v/>
      </c>
      <c r="U113" s="148" t="str">
        <f t="shared" si="34"/>
        <v/>
      </c>
      <c r="V113" s="131" t="str">
        <f t="shared" si="35"/>
        <v/>
      </c>
      <c r="W113" s="131" t="str">
        <f t="shared" si="36"/>
        <v/>
      </c>
      <c r="X113" s="131" t="str">
        <f t="shared" si="37"/>
        <v/>
      </c>
      <c r="Y113" s="131" t="str">
        <f t="shared" si="38"/>
        <v/>
      </c>
      <c r="Z113" s="131" t="str">
        <f t="shared" si="39"/>
        <v/>
      </c>
      <c r="AA113" s="130" t="str">
        <f t="shared" si="40"/>
        <v/>
      </c>
      <c r="AB113" s="130" t="str">
        <f t="shared" si="41"/>
        <v/>
      </c>
      <c r="AC113" s="130" t="str">
        <f t="shared" si="42"/>
        <v/>
      </c>
      <c r="AD113" s="131" t="str">
        <f t="shared" si="43"/>
        <v/>
      </c>
      <c r="AE113" s="131" t="str">
        <f t="shared" si="44"/>
        <v/>
      </c>
      <c r="AF113" s="131" t="str">
        <f t="shared" si="45"/>
        <v/>
      </c>
    </row>
    <row r="114" spans="1:32" ht="20.100000000000001" customHeight="1">
      <c r="A114" s="79" t="e">
        <f t="shared" ca="1" si="51"/>
        <v>#N/A</v>
      </c>
      <c r="B114" s="71"/>
      <c r="D114" s="149">
        <v>8</v>
      </c>
      <c r="E114" s="155" t="e">
        <f ca="1">IF(OR(8&gt;'AISC Angle Database'!$B$335,8&gt;$M$43),"",VLOOKUP(8,'AISC Angle Database'!$F$6:$Q$333,2,FALSE))</f>
        <v>#N/A</v>
      </c>
      <c r="F114" s="154"/>
      <c r="G114" s="150" t="e">
        <f ca="1">IF(E114="","",VLOOKUP(8,'AISC Angle Database'!$F$6:$Q$333,4,FALSE))</f>
        <v>#N/A</v>
      </c>
      <c r="H114" s="151" t="e">
        <f ca="1">IF(E114="","",VLOOKUP(8,'AISC Angle Database'!$F$6:$Q$333,7,FALSE))</f>
        <v>#N/A</v>
      </c>
      <c r="I114" s="147" t="e">
        <f ca="1">IF(E114="","",VLOOKUP(8,'AISC Angle Database'!$F$6:$Q$333,10,FALSE))</f>
        <v>#N/A</v>
      </c>
      <c r="J114" s="151" t="e">
        <f ca="1">IF(E114="","",VLOOKUP(8,'AISC Angle Database'!$F$6:$Q$333,9,FALSE))</f>
        <v>#N/A</v>
      </c>
      <c r="K114" s="152" t="e">
        <f t="shared" ca="1" si="47"/>
        <v>#N/A</v>
      </c>
      <c r="L114" s="152" t="e">
        <f t="shared" ca="1" si="48"/>
        <v>#N/A</v>
      </c>
      <c r="M114" s="152" t="e">
        <f t="shared" ca="1" si="49"/>
        <v>#N/A</v>
      </c>
      <c r="N114" s="153" t="e">
        <f t="shared" ca="1" si="50"/>
        <v>#N/A</v>
      </c>
      <c r="Q114" s="73"/>
      <c r="R114" s="147" t="str">
        <f t="shared" si="46"/>
        <v/>
      </c>
      <c r="S114" s="147" t="str">
        <f t="shared" si="46"/>
        <v/>
      </c>
      <c r="T114" s="147" t="str">
        <f t="shared" si="34"/>
        <v/>
      </c>
      <c r="U114" s="148" t="str">
        <f t="shared" si="34"/>
        <v/>
      </c>
      <c r="V114" s="131" t="str">
        <f t="shared" si="35"/>
        <v/>
      </c>
      <c r="W114" s="131" t="str">
        <f t="shared" si="36"/>
        <v/>
      </c>
      <c r="X114" s="131" t="str">
        <f t="shared" si="37"/>
        <v/>
      </c>
      <c r="Y114" s="131" t="str">
        <f t="shared" si="38"/>
        <v/>
      </c>
      <c r="Z114" s="131" t="str">
        <f t="shared" si="39"/>
        <v/>
      </c>
      <c r="AA114" s="130" t="str">
        <f t="shared" si="40"/>
        <v/>
      </c>
      <c r="AB114" s="130" t="str">
        <f t="shared" si="41"/>
        <v/>
      </c>
      <c r="AC114" s="130" t="str">
        <f t="shared" si="42"/>
        <v/>
      </c>
      <c r="AD114" s="131" t="str">
        <f t="shared" si="43"/>
        <v/>
      </c>
      <c r="AE114" s="131" t="str">
        <f t="shared" si="44"/>
        <v/>
      </c>
      <c r="AF114" s="131" t="str">
        <f t="shared" si="45"/>
        <v/>
      </c>
    </row>
    <row r="115" spans="1:32" ht="20.100000000000001" customHeight="1">
      <c r="A115" s="79" t="e">
        <f t="shared" ca="1" si="51"/>
        <v>#N/A</v>
      </c>
      <c r="B115" s="71"/>
      <c r="D115" s="149">
        <v>9</v>
      </c>
      <c r="E115" s="155" t="e">
        <f ca="1">IF(OR(9&gt;'AISC Angle Database'!$B$335,9&gt;$M$43),"",VLOOKUP(9,'AISC Angle Database'!$F$6:$Q$333,2,FALSE))</f>
        <v>#N/A</v>
      </c>
      <c r="F115" s="154"/>
      <c r="G115" s="150" t="e">
        <f ca="1">IF(E115="","",VLOOKUP(9,'AISC Angle Database'!$F$6:$Q$333,4,FALSE))</f>
        <v>#N/A</v>
      </c>
      <c r="H115" s="151" t="e">
        <f ca="1">IF(E115="","",VLOOKUP(9,'AISC Angle Database'!$F$6:$Q$333,7,FALSE))</f>
        <v>#N/A</v>
      </c>
      <c r="I115" s="147" t="e">
        <f ca="1">IF(E115="","",VLOOKUP(9,'AISC Angle Database'!$F$6:$Q$333,10,FALSE))</f>
        <v>#N/A</v>
      </c>
      <c r="J115" s="151" t="e">
        <f ca="1">IF(E115="","",VLOOKUP(9,'AISC Angle Database'!$F$6:$Q$333,9,FALSE))</f>
        <v>#N/A</v>
      </c>
      <c r="K115" s="152" t="e">
        <f t="shared" ca="1" si="47"/>
        <v>#N/A</v>
      </c>
      <c r="L115" s="152" t="e">
        <f t="shared" ca="1" si="48"/>
        <v>#N/A</v>
      </c>
      <c r="M115" s="152" t="e">
        <f t="shared" ca="1" si="49"/>
        <v>#N/A</v>
      </c>
      <c r="N115" s="153" t="e">
        <f t="shared" ca="1" si="50"/>
        <v>#N/A</v>
      </c>
      <c r="Q115" s="73"/>
      <c r="R115" s="147" t="str">
        <f t="shared" si="46"/>
        <v/>
      </c>
      <c r="S115" s="147" t="str">
        <f t="shared" si="46"/>
        <v/>
      </c>
      <c r="T115" s="147" t="str">
        <f t="shared" si="34"/>
        <v/>
      </c>
      <c r="U115" s="148" t="str">
        <f t="shared" si="34"/>
        <v/>
      </c>
      <c r="V115" s="131" t="str">
        <f t="shared" si="35"/>
        <v/>
      </c>
      <c r="W115" s="131" t="str">
        <f t="shared" si="36"/>
        <v/>
      </c>
      <c r="X115" s="131" t="str">
        <f t="shared" si="37"/>
        <v/>
      </c>
      <c r="Y115" s="131" t="str">
        <f t="shared" si="38"/>
        <v/>
      </c>
      <c r="Z115" s="131" t="str">
        <f t="shared" si="39"/>
        <v/>
      </c>
      <c r="AA115" s="130" t="str">
        <f t="shared" si="40"/>
        <v/>
      </c>
      <c r="AB115" s="130" t="str">
        <f t="shared" si="41"/>
        <v/>
      </c>
      <c r="AC115" s="130" t="str">
        <f t="shared" si="42"/>
        <v/>
      </c>
      <c r="AD115" s="131" t="str">
        <f t="shared" si="43"/>
        <v/>
      </c>
      <c r="AE115" s="131" t="str">
        <f t="shared" si="44"/>
        <v/>
      </c>
      <c r="AF115" s="131" t="str">
        <f t="shared" si="45"/>
        <v/>
      </c>
    </row>
    <row r="116" spans="1:32" ht="20.100000000000001" customHeight="1">
      <c r="A116" s="79" t="e">
        <f t="shared" ca="1" si="51"/>
        <v>#N/A</v>
      </c>
      <c r="B116" s="71"/>
      <c r="D116" s="149">
        <v>10</v>
      </c>
      <c r="E116" s="155" t="e">
        <f ca="1">IF(OR(10&gt;'AISC Angle Database'!$B$335,10&gt;$M$43),"",VLOOKUP(10,'AISC Angle Database'!$F$6:$Q$333,2,FALSE))</f>
        <v>#N/A</v>
      </c>
      <c r="F116" s="156"/>
      <c r="G116" s="150" t="e">
        <f ca="1">IF(E116="","",VLOOKUP(10,'AISC Angle Database'!$F$6:$Q$333,4,FALSE))</f>
        <v>#N/A</v>
      </c>
      <c r="H116" s="151" t="e">
        <f ca="1">IF(E116="","",VLOOKUP(10,'AISC Angle Database'!$F$6:$Q$333,7,FALSE))</f>
        <v>#N/A</v>
      </c>
      <c r="I116" s="147" t="e">
        <f ca="1">IF(E116="","",VLOOKUP(10,'AISC Angle Database'!$F$6:$Q$333,10,FALSE))</f>
        <v>#N/A</v>
      </c>
      <c r="J116" s="151" t="e">
        <f ca="1">IF(E116="","",VLOOKUP(10,'AISC Angle Database'!$F$6:$Q$333,9,FALSE))</f>
        <v>#N/A</v>
      </c>
      <c r="K116" s="152" t="e">
        <f t="shared" ca="1" si="47"/>
        <v>#N/A</v>
      </c>
      <c r="L116" s="152" t="e">
        <f t="shared" ca="1" si="48"/>
        <v>#N/A</v>
      </c>
      <c r="M116" s="152" t="e">
        <f t="shared" ca="1" si="49"/>
        <v>#N/A</v>
      </c>
      <c r="N116" s="153" t="e">
        <f t="shared" ca="1" si="50"/>
        <v>#N/A</v>
      </c>
      <c r="Q116" s="73"/>
      <c r="R116" s="147" t="str">
        <f t="shared" si="46"/>
        <v/>
      </c>
      <c r="S116" s="147" t="str">
        <f t="shared" si="46"/>
        <v/>
      </c>
      <c r="T116" s="147" t="str">
        <f t="shared" si="34"/>
        <v/>
      </c>
      <c r="U116" s="148" t="str">
        <f t="shared" si="34"/>
        <v/>
      </c>
      <c r="V116" s="131" t="str">
        <f t="shared" si="35"/>
        <v/>
      </c>
      <c r="W116" s="131" t="str">
        <f t="shared" si="36"/>
        <v/>
      </c>
      <c r="X116" s="131" t="str">
        <f t="shared" si="37"/>
        <v/>
      </c>
      <c r="Y116" s="131" t="str">
        <f t="shared" si="38"/>
        <v/>
      </c>
      <c r="Z116" s="131" t="str">
        <f t="shared" si="39"/>
        <v/>
      </c>
      <c r="AA116" s="130" t="str">
        <f t="shared" si="40"/>
        <v/>
      </c>
      <c r="AB116" s="130" t="str">
        <f t="shared" si="41"/>
        <v/>
      </c>
      <c r="AC116" s="130" t="str">
        <f t="shared" si="42"/>
        <v/>
      </c>
      <c r="AD116" s="131" t="str">
        <f t="shared" si="43"/>
        <v/>
      </c>
      <c r="AE116" s="131" t="str">
        <f t="shared" si="44"/>
        <v/>
      </c>
      <c r="AF116" s="131" t="str">
        <f t="shared" si="45"/>
        <v/>
      </c>
    </row>
    <row r="117" spans="1:32" ht="20.100000000000001" customHeight="1" thickBot="1">
      <c r="A117" s="79" t="e">
        <f t="shared" ref="A117:A128" ca="1" si="52">R25</f>
        <v>#N/A</v>
      </c>
      <c r="B117" s="71"/>
      <c r="D117" s="149">
        <v>11</v>
      </c>
      <c r="E117" s="155" t="e">
        <f ca="1">IF(OR(11&gt;'AISC Angle Database'!$B$335,11&gt;$M$43),"",VLOOKUP(11,'AISC Angle Database'!$F$6:$Q$333,2,FALSE))</f>
        <v>#N/A</v>
      </c>
      <c r="F117" s="154"/>
      <c r="G117" s="150" t="e">
        <f ca="1">IF(E117="","",VLOOKUP(11,'AISC Angle Database'!$F$6:$Q$333,4,FALSE))</f>
        <v>#N/A</v>
      </c>
      <c r="H117" s="151" t="e">
        <f ca="1">IF(E117="","",VLOOKUP(11,'AISC Angle Database'!$F$6:$Q$333,7,FALSE))</f>
        <v>#N/A</v>
      </c>
      <c r="I117" s="147" t="e">
        <f ca="1">IF(E117="","",VLOOKUP(11,'AISC Angle Database'!$F$6:$Q$333,10,FALSE))</f>
        <v>#N/A</v>
      </c>
      <c r="J117" s="151" t="e">
        <f ca="1">IF(E117="","",VLOOKUP(11,'AISC Angle Database'!$F$6:$Q$333,9,FALSE))</f>
        <v>#N/A</v>
      </c>
      <c r="K117" s="152" t="e">
        <f t="shared" ca="1" si="47"/>
        <v>#N/A</v>
      </c>
      <c r="L117" s="152" t="e">
        <f t="shared" ca="1" si="48"/>
        <v>#N/A</v>
      </c>
      <c r="M117" s="152" t="e">
        <f t="shared" ca="1" si="49"/>
        <v>#N/A</v>
      </c>
      <c r="N117" s="153" t="e">
        <f t="shared" ca="1" si="50"/>
        <v>#N/A</v>
      </c>
      <c r="Q117" s="73"/>
      <c r="R117" s="157" t="str">
        <f t="shared" si="46"/>
        <v/>
      </c>
      <c r="S117" s="157" t="str">
        <f t="shared" si="46"/>
        <v/>
      </c>
      <c r="T117" s="157">
        <f t="shared" si="34"/>
        <v>0</v>
      </c>
      <c r="U117" s="158">
        <f t="shared" si="34"/>
        <v>0</v>
      </c>
      <c r="V117" s="159" t="str">
        <f>IF(E126="","",IF(AND(R94=1,S94&gt;T94),AA94*COS(AB117-AD94),"NA"))</f>
        <v/>
      </c>
      <c r="W117" s="159" t="str">
        <f>IF(E126="","",IF(AND(R94=1,S94&gt;T94),AB94*SIN(AB117+AE94),"NA"))</f>
        <v/>
      </c>
      <c r="X117" s="159" t="str">
        <f>IF(E126="","",IF(AND(R94=1,S94&gt;T94),AC94*SIN(AB117+AF94),"NA"))</f>
        <v/>
      </c>
      <c r="Y117" s="159" t="str">
        <f>IF(E126="","",IF(AND(R94=1,S94&gt;T94),AB94*COS(AB117+AE94),"NA"))</f>
        <v/>
      </c>
      <c r="Z117" s="159" t="str">
        <f>IF(E126="","",IF(AND(R94=1,S94&gt;T94),AA94*SIN(AB117-AD94),"NA"))</f>
        <v/>
      </c>
      <c r="AA117" s="160" t="str">
        <f>IF(E126="","",IF(AND(R94=1,S94&gt;T94),ATAN(-2*Z94/(X94-Y94)),"NA"))</f>
        <v/>
      </c>
      <c r="AB117" s="160" t="str">
        <f>IF(E126="","",IF(AND(R94=1,S94&gt;T94),AA117/2,"NA"))</f>
        <v/>
      </c>
      <c r="AC117" s="160" t="str">
        <f>IF(E126="","",IF(AND(R94=1,S94&gt;T94),TAN(AB117),"NA"))</f>
        <v/>
      </c>
      <c r="AD117" s="159" t="str">
        <f>IF(E126="","",IF(AND(R94=1,S94&gt;T94),(X94+Y94)/2+SQRT(((X94-Y94)/2)^2+Z94^2),"NA"))</f>
        <v/>
      </c>
      <c r="AE117" s="159" t="str">
        <f>IF(E126="","",IF(AND(R94=1,S94&gt;T94),((X94+Y94)/2)-SQRT(((X94-Y94)/2)^2+Z94^2),"NA"))</f>
        <v/>
      </c>
      <c r="AF117" s="159" t="str">
        <f>IF(E126="","",IF(AND(R94=1,S94&gt;T94),AD117/(MAX(V117,W117)),"NA"))</f>
        <v/>
      </c>
    </row>
    <row r="118" spans="1:32" ht="20.100000000000001" customHeight="1">
      <c r="A118" s="79" t="e">
        <f t="shared" ca="1" si="52"/>
        <v>#N/A</v>
      </c>
      <c r="B118" s="71"/>
      <c r="D118" s="149">
        <v>12</v>
      </c>
      <c r="E118" s="155" t="str">
        <f>IF(OR(12&gt;'AISC Angle Database'!$B$335,12&gt;$M$43),"",VLOOKUP(12,'AISC Angle Database'!$F$6:$Q$333,2,FALSE))</f>
        <v/>
      </c>
      <c r="F118" s="154"/>
      <c r="G118" s="150" t="str">
        <f>IF(E118="","",VLOOKUP(12,'AISC Angle Database'!$F$6:$Q$333,4,FALSE))</f>
        <v/>
      </c>
      <c r="H118" s="151" t="str">
        <f>IF(E118="","",VLOOKUP(12,'AISC Angle Database'!$F$6:$Q$333,7,FALSE))</f>
        <v/>
      </c>
      <c r="I118" s="147" t="str">
        <f>IF(E118="","",VLOOKUP(12,'AISC Angle Database'!$F$6:$Q$333,10,FALSE))</f>
        <v/>
      </c>
      <c r="J118" s="151" t="str">
        <f>IF(E118="","",VLOOKUP(12,'AISC Angle Database'!$F$6:$Q$333,9,FALSE))</f>
        <v/>
      </c>
      <c r="K118" s="152" t="str">
        <f t="shared" si="47"/>
        <v/>
      </c>
      <c r="L118" s="152" t="str">
        <f t="shared" si="48"/>
        <v/>
      </c>
      <c r="M118" s="152" t="str">
        <f t="shared" si="49"/>
        <v/>
      </c>
      <c r="N118" s="153" t="str">
        <f t="shared" si="50"/>
        <v/>
      </c>
      <c r="Q118" s="73"/>
      <c r="R118" s="161"/>
      <c r="S118" s="162"/>
      <c r="T118" s="162"/>
      <c r="U118" s="163"/>
      <c r="V118" s="164"/>
      <c r="W118" s="164"/>
      <c r="X118" s="164"/>
      <c r="Y118" s="164"/>
      <c r="Z118" s="164"/>
      <c r="AA118" s="165"/>
      <c r="AB118" s="165"/>
      <c r="AC118" s="165"/>
      <c r="AD118" s="164"/>
      <c r="AE118" s="164"/>
      <c r="AF118" s="166"/>
    </row>
    <row r="119" spans="1:32" ht="20.100000000000001" customHeight="1">
      <c r="A119" s="79" t="e">
        <f t="shared" ca="1" si="52"/>
        <v>#N/A</v>
      </c>
      <c r="B119" s="71"/>
      <c r="D119" s="149">
        <v>13</v>
      </c>
      <c r="E119" s="155" t="str">
        <f>IF(OR(13&gt;'AISC Angle Database'!$B$335,13&gt;$M$43),"",VLOOKUP(13,'AISC Angle Database'!$F$6:$Q$333,2,FALSE))</f>
        <v/>
      </c>
      <c r="F119" s="154"/>
      <c r="G119" s="150" t="str">
        <f>IF(E119="","",VLOOKUP(13,'AISC Angle Database'!$F$6:$Q$333,4,FALSE))</f>
        <v/>
      </c>
      <c r="H119" s="151" t="str">
        <f>IF(E119="","",VLOOKUP(13,'AISC Angle Database'!$F$6:$Q$333,7,FALSE))</f>
        <v/>
      </c>
      <c r="I119" s="147" t="str">
        <f>IF(E119="","",VLOOKUP(13,'AISC Angle Database'!$F$6:$Q$333,10,FALSE))</f>
        <v/>
      </c>
      <c r="J119" s="151" t="str">
        <f>IF(E119="","",VLOOKUP(13,'AISC Angle Database'!$F$6:$Q$333,9,FALSE))</f>
        <v/>
      </c>
      <c r="K119" s="152" t="str">
        <f t="shared" si="47"/>
        <v/>
      </c>
      <c r="L119" s="152" t="str">
        <f t="shared" si="48"/>
        <v/>
      </c>
      <c r="M119" s="152" t="str">
        <f t="shared" si="49"/>
        <v/>
      </c>
      <c r="N119" s="153" t="str">
        <f t="shared" si="50"/>
        <v/>
      </c>
      <c r="Q119" s="73"/>
      <c r="R119" s="161"/>
      <c r="S119" s="162"/>
      <c r="T119" s="162"/>
      <c r="U119" s="163"/>
      <c r="V119" s="164"/>
      <c r="W119" s="164"/>
      <c r="X119" s="164"/>
      <c r="Y119" s="164"/>
      <c r="Z119" s="164"/>
      <c r="AA119" s="165"/>
      <c r="AB119" s="165"/>
      <c r="AC119" s="165"/>
      <c r="AD119" s="164"/>
      <c r="AE119" s="164"/>
      <c r="AF119" s="167"/>
    </row>
    <row r="120" spans="1:32" ht="20.100000000000001" customHeight="1">
      <c r="A120" s="79" t="e">
        <f t="shared" ca="1" si="52"/>
        <v>#N/A</v>
      </c>
      <c r="B120" s="71"/>
      <c r="D120" s="149">
        <v>14</v>
      </c>
      <c r="E120" s="155" t="str">
        <f>IF(OR(14&gt;'AISC Angle Database'!$B$335,14&gt;$M$43),"",VLOOKUP(14,'AISC Angle Database'!$F$6:$Q$333,2,FALSE))</f>
        <v/>
      </c>
      <c r="F120" s="154"/>
      <c r="G120" s="150" t="str">
        <f>IF(E120="","",VLOOKUP(14,'AISC Angle Database'!$F$6:$Q$333,4,FALSE))</f>
        <v/>
      </c>
      <c r="H120" s="151" t="str">
        <f>IF(E120="","",VLOOKUP(14,'AISC Angle Database'!$F$6:$Q$333,7,FALSE))</f>
        <v/>
      </c>
      <c r="I120" s="147" t="str">
        <f>IF(E120="","",VLOOKUP(14,'AISC Angle Database'!$F$6:$Q$333,10,FALSE))</f>
        <v/>
      </c>
      <c r="J120" s="151" t="str">
        <f>IF(E120="","",VLOOKUP(14,'AISC Angle Database'!$F$6:$Q$333,9,FALSE))</f>
        <v/>
      </c>
      <c r="K120" s="152" t="str">
        <f t="shared" si="47"/>
        <v/>
      </c>
      <c r="L120" s="152" t="str">
        <f t="shared" si="48"/>
        <v/>
      </c>
      <c r="M120" s="152" t="str">
        <f t="shared" si="49"/>
        <v/>
      </c>
      <c r="N120" s="153" t="str">
        <f t="shared" si="50"/>
        <v/>
      </c>
      <c r="Q120" s="73"/>
      <c r="R120" s="161"/>
      <c r="S120" s="162"/>
      <c r="T120" s="162"/>
      <c r="U120" s="163"/>
      <c r="V120" s="164"/>
      <c r="W120" s="164"/>
      <c r="X120" s="164"/>
      <c r="Y120" s="164"/>
      <c r="Z120" s="164"/>
      <c r="AA120" s="165"/>
      <c r="AB120" s="165"/>
      <c r="AC120" s="165"/>
      <c r="AD120" s="164"/>
      <c r="AE120" s="164"/>
      <c r="AF120" s="167"/>
    </row>
    <row r="121" spans="1:32" ht="20.100000000000001" customHeight="1">
      <c r="A121" s="79" t="str">
        <f t="shared" si="52"/>
        <v/>
      </c>
      <c r="B121" s="71"/>
      <c r="D121" s="149">
        <v>15</v>
      </c>
      <c r="E121" s="155" t="str">
        <f>IF(OR(15&gt;'AISC Angle Database'!$B$335,15&gt;$M$43),"",VLOOKUP(15,'AISC Angle Database'!$F$6:$Q$333,2,FALSE))</f>
        <v/>
      </c>
      <c r="F121" s="154"/>
      <c r="G121" s="150" t="str">
        <f>IF(E121="","",VLOOKUP(15,'AISC Angle Database'!$F$6:$Q$333,4,FALSE))</f>
        <v/>
      </c>
      <c r="H121" s="151" t="str">
        <f>IF(E121="","",VLOOKUP(15,'AISC Angle Database'!$F$6:$Q$333,7,FALSE))</f>
        <v/>
      </c>
      <c r="I121" s="147" t="str">
        <f>IF(E121="","",VLOOKUP(15,'AISC Angle Database'!$F$6:$Q$333,10,FALSE))</f>
        <v/>
      </c>
      <c r="J121" s="151" t="str">
        <f>IF(E121="","",VLOOKUP(15,'AISC Angle Database'!$F$6:$Q$333,9,FALSE))</f>
        <v/>
      </c>
      <c r="K121" s="152" t="str">
        <f t="shared" si="47"/>
        <v/>
      </c>
      <c r="L121" s="152" t="str">
        <f t="shared" si="48"/>
        <v/>
      </c>
      <c r="M121" s="152" t="str">
        <f t="shared" si="49"/>
        <v/>
      </c>
      <c r="N121" s="153" t="str">
        <f t="shared" si="50"/>
        <v/>
      </c>
      <c r="Q121" s="73"/>
      <c r="R121" s="161"/>
      <c r="S121" s="162"/>
      <c r="T121" s="162"/>
      <c r="U121" s="163"/>
      <c r="V121" s="164"/>
      <c r="W121" s="164"/>
      <c r="X121" s="164"/>
      <c r="Y121" s="164"/>
      <c r="Z121" s="164"/>
      <c r="AA121" s="165"/>
      <c r="AB121" s="165"/>
      <c r="AC121" s="165"/>
      <c r="AD121" s="164"/>
      <c r="AE121" s="164"/>
      <c r="AF121" s="167"/>
    </row>
    <row r="122" spans="1:32" ht="20.100000000000001" customHeight="1">
      <c r="A122" s="79" t="str">
        <f t="shared" si="52"/>
        <v/>
      </c>
      <c r="B122" s="71"/>
      <c r="D122" s="149">
        <v>16</v>
      </c>
      <c r="E122" s="155" t="str">
        <f>IF(OR(16&gt;'AISC Angle Database'!$B$335,16&gt;$M$43),"",VLOOKUP(16,'AISC Angle Database'!$F$6:$Q$333,2,FALSE))</f>
        <v/>
      </c>
      <c r="F122" s="154"/>
      <c r="G122" s="150" t="str">
        <f>IF(E122="","",VLOOKUP(16,'AISC Angle Database'!$F$6:$Q$333,4,FALSE))</f>
        <v/>
      </c>
      <c r="H122" s="151" t="str">
        <f>IF(E122="","",VLOOKUP(16,'AISC Angle Database'!$F$6:$Q$333,7,FALSE))</f>
        <v/>
      </c>
      <c r="I122" s="147" t="str">
        <f>IF(E122="","",VLOOKUP(16,'AISC Angle Database'!$F$6:$Q$333,10,FALSE))</f>
        <v/>
      </c>
      <c r="J122" s="151" t="str">
        <f>IF(E122="","",VLOOKUP(16,'AISC Angle Database'!$F$6:$Q$333,9,FALSE))</f>
        <v/>
      </c>
      <c r="K122" s="152" t="str">
        <f t="shared" si="47"/>
        <v/>
      </c>
      <c r="L122" s="152" t="str">
        <f t="shared" si="48"/>
        <v/>
      </c>
      <c r="M122" s="152" t="str">
        <f t="shared" si="49"/>
        <v/>
      </c>
      <c r="N122" s="153" t="str">
        <f t="shared" si="50"/>
        <v/>
      </c>
      <c r="P122" s="62"/>
      <c r="Q122" s="73"/>
      <c r="R122" s="161"/>
      <c r="S122" s="162"/>
      <c r="T122" s="162"/>
      <c r="U122" s="163"/>
      <c r="V122" s="164"/>
      <c r="W122" s="164"/>
      <c r="X122" s="164"/>
      <c r="Y122" s="164"/>
      <c r="Z122" s="164"/>
      <c r="AA122" s="165"/>
      <c r="AB122" s="165"/>
      <c r="AC122" s="165"/>
      <c r="AD122" s="164"/>
      <c r="AE122" s="164"/>
      <c r="AF122" s="167"/>
    </row>
    <row r="123" spans="1:32" ht="20.100000000000001" customHeight="1">
      <c r="A123" s="79" t="str">
        <f t="shared" si="52"/>
        <v/>
      </c>
      <c r="B123" s="71"/>
      <c r="D123" s="149">
        <v>17</v>
      </c>
      <c r="E123" s="155" t="str">
        <f>IF(OR(17&gt;'AISC Angle Database'!$B$335,17&gt;$M$43),"",VLOOKUP(17,'AISC Angle Database'!$F$6:$Q$333,2,FALSE))</f>
        <v/>
      </c>
      <c r="F123" s="154"/>
      <c r="G123" s="150" t="str">
        <f>IF(E123="","",VLOOKUP(17,'AISC Angle Database'!$F$6:$Q$333,4,FALSE))</f>
        <v/>
      </c>
      <c r="H123" s="151" t="str">
        <f>IF(E123="","",VLOOKUP(17,'AISC Angle Database'!$F$6:$Q$333,7,FALSE))</f>
        <v/>
      </c>
      <c r="I123" s="147" t="str">
        <f>IF(E123="","",VLOOKUP(17,'AISC Angle Database'!$F$6:$Q$333,10,FALSE))</f>
        <v/>
      </c>
      <c r="J123" s="151" t="str">
        <f>IF(E123="","",VLOOKUP(17,'AISC Angle Database'!$F$6:$Q$333,9,FALSE))</f>
        <v/>
      </c>
      <c r="K123" s="152" t="str">
        <f t="shared" si="47"/>
        <v/>
      </c>
      <c r="L123" s="152" t="str">
        <f t="shared" si="48"/>
        <v/>
      </c>
      <c r="M123" s="152" t="str">
        <f t="shared" si="49"/>
        <v/>
      </c>
      <c r="N123" s="153" t="str">
        <f t="shared" si="50"/>
        <v/>
      </c>
      <c r="P123" s="62"/>
      <c r="Q123" s="73"/>
      <c r="R123" s="161"/>
      <c r="S123" s="162"/>
      <c r="T123" s="162"/>
      <c r="U123" s="163"/>
      <c r="V123" s="164"/>
      <c r="W123" s="164"/>
      <c r="X123" s="164"/>
      <c r="Y123" s="164"/>
      <c r="Z123" s="164"/>
      <c r="AA123" s="165"/>
      <c r="AB123" s="165"/>
      <c r="AC123" s="165"/>
      <c r="AD123" s="164"/>
      <c r="AE123" s="164"/>
      <c r="AF123" s="167"/>
    </row>
    <row r="124" spans="1:32" ht="20.100000000000001" customHeight="1">
      <c r="A124" s="79" t="str">
        <f t="shared" si="52"/>
        <v/>
      </c>
      <c r="B124" s="71"/>
      <c r="D124" s="149">
        <v>18</v>
      </c>
      <c r="E124" s="155" t="str">
        <f>IF(OR(18&gt;'AISC Angle Database'!$B$335,18&gt;$M$43),"",VLOOKUP(18,'AISC Angle Database'!$F$6:$Q$333,2,FALSE))</f>
        <v/>
      </c>
      <c r="F124" s="154"/>
      <c r="G124" s="150" t="str">
        <f>IF(E124="","",VLOOKUP(18,'AISC Angle Database'!$F$6:$Q$333,4,FALSE))</f>
        <v/>
      </c>
      <c r="H124" s="151" t="str">
        <f>IF(E124="","",VLOOKUP(18,'AISC Angle Database'!$F$6:$Q$333,7,FALSE))</f>
        <v/>
      </c>
      <c r="I124" s="147" t="str">
        <f>IF(E124="","",VLOOKUP(18,'AISC Angle Database'!$F$6:$Q$333,10,FALSE))</f>
        <v/>
      </c>
      <c r="J124" s="151" t="str">
        <f>IF(E124="","",VLOOKUP(18,'AISC Angle Database'!$F$6:$Q$333,9,FALSE))</f>
        <v/>
      </c>
      <c r="K124" s="152" t="str">
        <f t="shared" si="47"/>
        <v/>
      </c>
      <c r="L124" s="152" t="str">
        <f t="shared" si="48"/>
        <v/>
      </c>
      <c r="M124" s="152" t="str">
        <f t="shared" si="49"/>
        <v/>
      </c>
      <c r="N124" s="153" t="str">
        <f t="shared" si="50"/>
        <v/>
      </c>
      <c r="P124" s="62"/>
      <c r="Q124" s="73"/>
      <c r="R124" s="161"/>
      <c r="S124" s="162"/>
      <c r="T124" s="162"/>
      <c r="U124" s="163"/>
      <c r="V124" s="164"/>
      <c r="W124" s="164"/>
      <c r="X124" s="164"/>
      <c r="Y124" s="164"/>
      <c r="Z124" s="164"/>
      <c r="AA124" s="165"/>
      <c r="AB124" s="165"/>
      <c r="AC124" s="165"/>
      <c r="AD124" s="164"/>
      <c r="AE124" s="164"/>
      <c r="AF124" s="167"/>
    </row>
    <row r="125" spans="1:32" ht="20.100000000000001" customHeight="1">
      <c r="A125" s="79" t="str">
        <f t="shared" si="52"/>
        <v/>
      </c>
      <c r="B125" s="71"/>
      <c r="D125" s="149">
        <v>19</v>
      </c>
      <c r="E125" s="155" t="str">
        <f>IF(OR(19&gt;'AISC Angle Database'!$B$335,19&gt;$M$43),"",VLOOKUP(19,'AISC Angle Database'!$F$6:$Q$333,2,FALSE))</f>
        <v/>
      </c>
      <c r="F125" s="154"/>
      <c r="G125" s="150" t="str">
        <f>IF(E125="","",VLOOKUP(19,'AISC Angle Database'!$F$6:$Q$333,4,FALSE))</f>
        <v/>
      </c>
      <c r="H125" s="151" t="str">
        <f>IF(E125="","",VLOOKUP(19,'AISC Angle Database'!$F$6:$Q$333,7,FALSE))</f>
        <v/>
      </c>
      <c r="I125" s="147" t="str">
        <f>IF(E125="","",VLOOKUP(19,'AISC Angle Database'!$F$6:$Q$333,10,FALSE))</f>
        <v/>
      </c>
      <c r="J125" s="151" t="str">
        <f>IF(E125="","",VLOOKUP(19,'AISC Angle Database'!$F$6:$Q$333,9,FALSE))</f>
        <v/>
      </c>
      <c r="K125" s="152" t="str">
        <f t="shared" si="47"/>
        <v/>
      </c>
      <c r="L125" s="152" t="str">
        <f t="shared" si="48"/>
        <v/>
      </c>
      <c r="M125" s="152" t="str">
        <f t="shared" si="49"/>
        <v/>
      </c>
      <c r="N125" s="153" t="str">
        <f t="shared" si="50"/>
        <v/>
      </c>
      <c r="P125" s="62"/>
      <c r="Q125" s="73"/>
      <c r="R125" s="161"/>
      <c r="S125" s="162"/>
      <c r="T125" s="162"/>
      <c r="U125" s="163"/>
      <c r="V125" s="164"/>
      <c r="W125" s="164"/>
      <c r="X125" s="164"/>
      <c r="Y125" s="164"/>
      <c r="Z125" s="164"/>
      <c r="AA125" s="165"/>
      <c r="AB125" s="165"/>
      <c r="AC125" s="165"/>
      <c r="AD125" s="164"/>
      <c r="AE125" s="164"/>
      <c r="AF125" s="167"/>
    </row>
    <row r="126" spans="1:32" ht="20.100000000000001" customHeight="1" thickBot="1">
      <c r="A126" s="106" t="str">
        <f t="shared" si="52"/>
        <v/>
      </c>
      <c r="B126" s="71"/>
      <c r="D126" s="168">
        <v>20</v>
      </c>
      <c r="E126" s="169" t="str">
        <f>IF(OR(20&gt;'AISC Angle Database'!$B$335,20&gt;$M$43),"",VLOOKUP(20,'AISC Angle Database'!$F$6:$Q$333,2,FALSE))</f>
        <v/>
      </c>
      <c r="F126" s="170"/>
      <c r="G126" s="171" t="str">
        <f>IF(E126="","",VLOOKUP(20,'AISC Angle Database'!$F$6:$Q$333,4,FALSE))</f>
        <v/>
      </c>
      <c r="H126" s="172" t="str">
        <f>IF(E126="","",VLOOKUP(20,'AISC Angle Database'!$F$6:$Q$333,7,FALSE))</f>
        <v/>
      </c>
      <c r="I126" s="157" t="str">
        <f>IF(E126="","",VLOOKUP(20,'AISC Angle Database'!$F$6:$Q$333,10,FALSE))</f>
        <v/>
      </c>
      <c r="J126" s="172" t="str">
        <f>IF(E126="","",VLOOKUP(20,'AISC Angle Database'!$F$6:$Q$333,9,FALSE))</f>
        <v/>
      </c>
      <c r="K126" s="173" t="str">
        <f t="shared" si="47"/>
        <v/>
      </c>
      <c r="L126" s="173" t="str">
        <f t="shared" si="48"/>
        <v/>
      </c>
      <c r="M126" s="173" t="str">
        <f t="shared" si="49"/>
        <v/>
      </c>
      <c r="N126" s="174" t="str">
        <f t="shared" si="50"/>
        <v/>
      </c>
      <c r="P126" s="62"/>
      <c r="Q126" s="73"/>
      <c r="R126" s="161"/>
      <c r="S126" s="162"/>
      <c r="T126" s="162"/>
      <c r="U126" s="163"/>
      <c r="V126" s="164"/>
      <c r="W126" s="164"/>
      <c r="X126" s="164"/>
      <c r="Y126" s="164"/>
      <c r="Z126" s="164"/>
      <c r="AA126" s="165"/>
      <c r="AB126" s="165"/>
      <c r="AC126" s="165"/>
      <c r="AD126" s="164"/>
      <c r="AE126" s="164"/>
      <c r="AF126" s="167"/>
    </row>
    <row r="127" spans="1:32" ht="20.100000000000001" customHeight="1">
      <c r="A127" s="79" t="str">
        <f t="shared" si="52"/>
        <v/>
      </c>
      <c r="B127" s="74"/>
      <c r="C127" s="105"/>
      <c r="D127" s="105"/>
      <c r="E127" s="105"/>
      <c r="F127" s="105"/>
      <c r="G127" s="105"/>
      <c r="H127" s="105"/>
      <c r="I127" s="105"/>
      <c r="J127" s="105"/>
      <c r="K127" s="105"/>
      <c r="L127" s="105"/>
      <c r="M127" s="105"/>
      <c r="N127" s="105"/>
      <c r="O127" s="105"/>
      <c r="P127" s="105"/>
      <c r="Q127" s="112"/>
      <c r="R127" s="175"/>
      <c r="S127" s="176"/>
      <c r="T127" s="176"/>
      <c r="U127" s="177"/>
      <c r="V127" s="178"/>
      <c r="W127" s="178"/>
      <c r="X127" s="178"/>
      <c r="Y127" s="178"/>
      <c r="Z127" s="178"/>
      <c r="AA127" s="179"/>
      <c r="AB127" s="179"/>
      <c r="AC127" s="179"/>
      <c r="AD127" s="178"/>
      <c r="AE127" s="178"/>
      <c r="AF127" s="180"/>
    </row>
    <row r="128" spans="1:32" ht="20.100000000000001" customHeight="1">
      <c r="A128" s="79" t="str">
        <f t="shared" si="52"/>
        <v/>
      </c>
      <c r="B128" s="71"/>
      <c r="C128" s="181"/>
      <c r="D128" s="181"/>
      <c r="E128" s="181"/>
      <c r="F128" s="181"/>
      <c r="G128" s="181"/>
      <c r="H128" s="181"/>
      <c r="I128" s="181"/>
      <c r="J128" s="181"/>
      <c r="K128" s="181"/>
      <c r="L128" s="181"/>
      <c r="M128" s="181"/>
      <c r="N128" s="181"/>
      <c r="O128" s="181"/>
      <c r="P128" s="181"/>
      <c r="Q128" s="182"/>
      <c r="R128" s="183"/>
      <c r="S128" s="184"/>
      <c r="T128" s="184"/>
      <c r="U128" s="185"/>
      <c r="V128" s="186"/>
      <c r="W128" s="186"/>
      <c r="X128" s="186"/>
      <c r="Y128" s="186"/>
      <c r="Z128" s="186"/>
      <c r="AA128" s="187"/>
      <c r="AB128" s="187"/>
      <c r="AC128" s="187"/>
      <c r="AD128" s="186"/>
      <c r="AE128" s="186"/>
      <c r="AF128" s="188"/>
    </row>
    <row r="129" spans="2:32" ht="20.100000000000001" customHeight="1" thickBot="1">
      <c r="B129" s="71"/>
      <c r="C129" s="181"/>
      <c r="D129" s="181"/>
      <c r="E129" s="181"/>
      <c r="F129" s="181"/>
      <c r="G129" s="181"/>
      <c r="H129" s="181"/>
      <c r="I129" s="181"/>
      <c r="J129" s="181"/>
      <c r="K129" s="181"/>
      <c r="L129" s="181"/>
      <c r="M129" s="181"/>
      <c r="N129" s="181"/>
      <c r="O129" s="181"/>
      <c r="P129" s="181"/>
      <c r="Q129" s="182"/>
      <c r="R129" s="71"/>
      <c r="S129" s="62"/>
      <c r="T129" s="62"/>
      <c r="U129" s="62"/>
      <c r="V129" s="62"/>
      <c r="W129" s="62"/>
      <c r="X129" s="78"/>
      <c r="Y129" s="78"/>
      <c r="Z129" s="62"/>
      <c r="AA129" s="62"/>
      <c r="AB129" s="62"/>
      <c r="AC129" s="62"/>
      <c r="AD129" s="62"/>
      <c r="AE129" s="62"/>
      <c r="AF129" s="73"/>
    </row>
    <row r="130" spans="2:32" ht="20.100000000000001" customHeight="1">
      <c r="B130" s="71"/>
      <c r="C130" s="330" t="s">
        <v>949</v>
      </c>
      <c r="D130" s="305"/>
      <c r="E130" s="305"/>
      <c r="F130" s="305"/>
      <c r="G130" s="305"/>
      <c r="H130" s="305"/>
      <c r="I130" s="305"/>
      <c r="J130" s="305"/>
      <c r="K130" s="305"/>
      <c r="L130" s="305"/>
      <c r="M130" s="305"/>
      <c r="N130" s="305"/>
      <c r="O130" s="305"/>
      <c r="P130" s="306"/>
      <c r="Q130" s="73"/>
      <c r="R130" s="374" t="s">
        <v>910</v>
      </c>
      <c r="S130" s="374"/>
      <c r="T130" s="374"/>
      <c r="U130" s="374"/>
      <c r="V130" s="374"/>
      <c r="W130" s="374"/>
      <c r="X130" s="374"/>
      <c r="Y130" s="374"/>
      <c r="Z130" s="374"/>
      <c r="AA130" s="374"/>
      <c r="AB130" s="374"/>
      <c r="AC130" s="374"/>
      <c r="AD130" s="374"/>
      <c r="AE130" s="374"/>
      <c r="AF130" s="374"/>
    </row>
    <row r="131" spans="2:32" ht="20.100000000000001" customHeight="1" thickBot="1">
      <c r="B131" s="71"/>
      <c r="C131" s="331"/>
      <c r="D131" s="332"/>
      <c r="E131" s="332"/>
      <c r="F131" s="332"/>
      <c r="G131" s="332"/>
      <c r="H131" s="332"/>
      <c r="I131" s="332"/>
      <c r="J131" s="332"/>
      <c r="K131" s="332"/>
      <c r="L131" s="332"/>
      <c r="M131" s="332"/>
      <c r="N131" s="332"/>
      <c r="O131" s="332"/>
      <c r="P131" s="333"/>
      <c r="Q131" s="73"/>
      <c r="R131" s="375"/>
      <c r="S131" s="375"/>
      <c r="T131" s="375"/>
      <c r="U131" s="375"/>
      <c r="V131" s="375"/>
      <c r="W131" s="375"/>
      <c r="X131" s="375"/>
      <c r="Y131" s="375"/>
      <c r="Z131" s="375"/>
      <c r="AA131" s="375"/>
      <c r="AB131" s="375"/>
      <c r="AC131" s="375"/>
      <c r="AD131" s="375"/>
      <c r="AE131" s="375"/>
      <c r="AF131" s="375"/>
    </row>
    <row r="132" spans="2:32" ht="20.100000000000001" customHeight="1">
      <c r="B132" s="71"/>
      <c r="C132" s="330" t="s">
        <v>702</v>
      </c>
      <c r="D132" s="305"/>
      <c r="E132" s="334"/>
      <c r="F132" s="296" t="s">
        <v>934</v>
      </c>
      <c r="G132" s="296"/>
      <c r="H132" s="296"/>
      <c r="I132" s="304" t="s">
        <v>935</v>
      </c>
      <c r="J132" s="305"/>
      <c r="K132" s="305"/>
      <c r="L132" s="305"/>
      <c r="M132" s="305"/>
      <c r="N132" s="305"/>
      <c r="O132" s="305"/>
      <c r="P132" s="306"/>
      <c r="Q132" s="73"/>
      <c r="R132" s="375" t="s">
        <v>918</v>
      </c>
      <c r="S132" s="375"/>
      <c r="T132" s="375"/>
      <c r="U132" s="375"/>
      <c r="V132" s="375"/>
      <c r="W132" s="375"/>
      <c r="X132" s="375" t="s">
        <v>869</v>
      </c>
      <c r="Y132" s="375"/>
      <c r="Z132" s="375"/>
      <c r="AA132" s="375"/>
      <c r="AB132" s="295" t="s">
        <v>938</v>
      </c>
      <c r="AC132" s="297" t="s">
        <v>942</v>
      </c>
      <c r="AD132" s="297"/>
      <c r="AE132" s="297"/>
      <c r="AF132" s="297"/>
    </row>
    <row r="133" spans="2:32" ht="20.100000000000001" customHeight="1">
      <c r="B133" s="71"/>
      <c r="C133" s="335"/>
      <c r="D133" s="336"/>
      <c r="E133" s="337"/>
      <c r="F133" s="297"/>
      <c r="G133" s="297"/>
      <c r="H133" s="297"/>
      <c r="I133" s="307"/>
      <c r="J133" s="308"/>
      <c r="K133" s="308"/>
      <c r="L133" s="308"/>
      <c r="M133" s="308"/>
      <c r="N133" s="308"/>
      <c r="O133" s="308"/>
      <c r="P133" s="309"/>
      <c r="Q133" s="73"/>
      <c r="R133" s="375"/>
      <c r="S133" s="375"/>
      <c r="T133" s="375"/>
      <c r="U133" s="375"/>
      <c r="V133" s="375"/>
      <c r="W133" s="375"/>
      <c r="X133" s="375"/>
      <c r="Y133" s="375"/>
      <c r="Z133" s="375"/>
      <c r="AA133" s="375"/>
      <c r="AB133" s="295"/>
      <c r="AC133" s="297"/>
      <c r="AD133" s="297"/>
      <c r="AE133" s="297"/>
      <c r="AF133" s="297"/>
    </row>
    <row r="134" spans="2:32" ht="20.100000000000001" customHeight="1">
      <c r="B134" s="71"/>
      <c r="C134" s="335"/>
      <c r="D134" s="336"/>
      <c r="E134" s="337"/>
      <c r="F134" s="340" t="s">
        <v>971</v>
      </c>
      <c r="G134" s="343" t="s">
        <v>789</v>
      </c>
      <c r="H134" s="346" t="s">
        <v>974</v>
      </c>
      <c r="I134" s="295" t="s">
        <v>907</v>
      </c>
      <c r="J134" s="295"/>
      <c r="K134" s="295"/>
      <c r="L134" s="295"/>
      <c r="M134" s="298" t="s">
        <v>933</v>
      </c>
      <c r="N134" s="299"/>
      <c r="O134" s="299"/>
      <c r="P134" s="300"/>
      <c r="Q134" s="73"/>
      <c r="R134" s="289" t="s">
        <v>970</v>
      </c>
      <c r="S134" s="397" t="s">
        <v>944</v>
      </c>
      <c r="T134" s="398"/>
      <c r="U134" s="397" t="s">
        <v>863</v>
      </c>
      <c r="V134" s="399"/>
      <c r="W134" s="398"/>
      <c r="X134" s="400" t="s">
        <v>913</v>
      </c>
      <c r="Y134" s="403" t="s">
        <v>945</v>
      </c>
      <c r="Z134" s="289" t="s">
        <v>914</v>
      </c>
      <c r="AA134" s="289" t="s">
        <v>915</v>
      </c>
      <c r="AB134" s="292" t="s">
        <v>5</v>
      </c>
      <c r="AC134" s="292" t="s">
        <v>939</v>
      </c>
      <c r="AD134" s="292" t="s">
        <v>940</v>
      </c>
      <c r="AE134" s="292" t="s">
        <v>941</v>
      </c>
      <c r="AF134" s="292" t="s">
        <v>955</v>
      </c>
    </row>
    <row r="135" spans="2:32" ht="20.100000000000001" customHeight="1">
      <c r="B135" s="71"/>
      <c r="C135" s="335"/>
      <c r="D135" s="336"/>
      <c r="E135" s="337"/>
      <c r="F135" s="341"/>
      <c r="G135" s="344"/>
      <c r="H135" s="347"/>
      <c r="I135" s="295"/>
      <c r="J135" s="295"/>
      <c r="K135" s="295"/>
      <c r="L135" s="295"/>
      <c r="M135" s="301"/>
      <c r="N135" s="302"/>
      <c r="O135" s="302"/>
      <c r="P135" s="303"/>
      <c r="Q135" s="73"/>
      <c r="R135" s="290"/>
      <c r="S135" s="292" t="s">
        <v>824</v>
      </c>
      <c r="T135" s="292" t="s">
        <v>825</v>
      </c>
      <c r="U135" s="292" t="s">
        <v>852</v>
      </c>
      <c r="V135" s="292" t="s">
        <v>861</v>
      </c>
      <c r="W135" s="292" t="s">
        <v>862</v>
      </c>
      <c r="X135" s="401"/>
      <c r="Y135" s="404"/>
      <c r="Z135" s="290"/>
      <c r="AA135" s="290"/>
      <c r="AB135" s="293"/>
      <c r="AC135" s="293"/>
      <c r="AD135" s="293"/>
      <c r="AE135" s="293"/>
      <c r="AF135" s="293"/>
    </row>
    <row r="136" spans="2:32" ht="20.100000000000001" customHeight="1">
      <c r="B136" s="71"/>
      <c r="C136" s="335"/>
      <c r="D136" s="336"/>
      <c r="E136" s="337"/>
      <c r="F136" s="341"/>
      <c r="G136" s="344"/>
      <c r="H136" s="347"/>
      <c r="I136" s="273" t="s">
        <v>13</v>
      </c>
      <c r="J136" s="276" t="s">
        <v>14</v>
      </c>
      <c r="K136" s="276" t="s">
        <v>15</v>
      </c>
      <c r="L136" s="349" t="s">
        <v>972</v>
      </c>
      <c r="M136" s="273" t="s">
        <v>13</v>
      </c>
      <c r="N136" s="276" t="s">
        <v>14</v>
      </c>
      <c r="O136" s="276" t="s">
        <v>15</v>
      </c>
      <c r="P136" s="279" t="s">
        <v>973</v>
      </c>
      <c r="Q136" s="73"/>
      <c r="R136" s="290"/>
      <c r="S136" s="293"/>
      <c r="T136" s="293"/>
      <c r="U136" s="293"/>
      <c r="V136" s="293"/>
      <c r="W136" s="293"/>
      <c r="X136" s="401"/>
      <c r="Y136" s="404"/>
      <c r="Z136" s="290"/>
      <c r="AA136" s="290"/>
      <c r="AB136" s="293"/>
      <c r="AC136" s="293"/>
      <c r="AD136" s="293"/>
      <c r="AE136" s="293"/>
      <c r="AF136" s="293"/>
    </row>
    <row r="137" spans="2:32" ht="20.100000000000001" customHeight="1">
      <c r="B137" s="71"/>
      <c r="C137" s="335"/>
      <c r="D137" s="336"/>
      <c r="E137" s="337"/>
      <c r="F137" s="341"/>
      <c r="G137" s="344"/>
      <c r="H137" s="347"/>
      <c r="I137" s="274"/>
      <c r="J137" s="277"/>
      <c r="K137" s="277"/>
      <c r="L137" s="350"/>
      <c r="M137" s="274"/>
      <c r="N137" s="277"/>
      <c r="O137" s="277"/>
      <c r="P137" s="280"/>
      <c r="Q137" s="73"/>
      <c r="R137" s="290"/>
      <c r="S137" s="293"/>
      <c r="T137" s="293"/>
      <c r="U137" s="293"/>
      <c r="V137" s="293"/>
      <c r="W137" s="293"/>
      <c r="X137" s="401"/>
      <c r="Y137" s="404"/>
      <c r="Z137" s="290"/>
      <c r="AA137" s="290"/>
      <c r="AB137" s="293"/>
      <c r="AC137" s="293"/>
      <c r="AD137" s="293"/>
      <c r="AE137" s="293"/>
      <c r="AF137" s="293"/>
    </row>
    <row r="138" spans="2:32" ht="20.100000000000001" customHeight="1">
      <c r="B138" s="71"/>
      <c r="C138" s="335"/>
      <c r="D138" s="336"/>
      <c r="E138" s="337"/>
      <c r="F138" s="341"/>
      <c r="G138" s="344"/>
      <c r="H138" s="347"/>
      <c r="I138" s="274"/>
      <c r="J138" s="277"/>
      <c r="K138" s="277"/>
      <c r="L138" s="350"/>
      <c r="M138" s="274"/>
      <c r="N138" s="277"/>
      <c r="O138" s="277"/>
      <c r="P138" s="280"/>
      <c r="Q138" s="189"/>
      <c r="R138" s="291"/>
      <c r="S138" s="294"/>
      <c r="T138" s="294"/>
      <c r="U138" s="294"/>
      <c r="V138" s="294"/>
      <c r="W138" s="294"/>
      <c r="X138" s="402"/>
      <c r="Y138" s="405"/>
      <c r="Z138" s="291"/>
      <c r="AA138" s="291"/>
      <c r="AB138" s="294"/>
      <c r="AC138" s="294"/>
      <c r="AD138" s="294"/>
      <c r="AE138" s="294"/>
      <c r="AF138" s="294"/>
    </row>
    <row r="139" spans="2:32" ht="20.100000000000001" customHeight="1">
      <c r="B139" s="71"/>
      <c r="C139" s="338"/>
      <c r="D139" s="308"/>
      <c r="E139" s="339"/>
      <c r="F139" s="342"/>
      <c r="G139" s="345"/>
      <c r="H139" s="348"/>
      <c r="I139" s="275"/>
      <c r="J139" s="278"/>
      <c r="K139" s="278"/>
      <c r="L139" s="351"/>
      <c r="M139" s="275"/>
      <c r="N139" s="278"/>
      <c r="O139" s="278"/>
      <c r="P139" s="281"/>
      <c r="Q139" s="189"/>
      <c r="R139" s="151" t="e">
        <f t="shared" ref="R139:R158" ca="1" si="53">R98</f>
        <v>#N/A</v>
      </c>
      <c r="S139" s="151" t="e">
        <f t="shared" ref="S139:T145" ca="1" si="54">S15</f>
        <v>#N/A</v>
      </c>
      <c r="T139" s="151" t="e">
        <f t="shared" ca="1" si="54"/>
        <v>#N/A</v>
      </c>
      <c r="U139" s="145" t="e">
        <f t="shared" ref="U139:U157" ca="1" si="55">IF(E107="","",IF(AND(R73=1,S73&gt;T73),AE98/MAX(X98,Y98,Z98),"NA"))</f>
        <v>#N/A</v>
      </c>
      <c r="V139" s="145" t="e">
        <f t="shared" ref="V139:V157" ca="1" si="56">IF(E107="","",IF(AND(R73=1,S73&gt;T73),X73/(S73-W73),"NA"))</f>
        <v>#N/A</v>
      </c>
      <c r="W139" s="145" t="e">
        <f t="shared" ref="W139:W157" ca="1" si="57">IF(E107="","",IF(AND(R73=1,S73&gt;T73),Y73/(T73-V73),"NA"))</f>
        <v>#N/A</v>
      </c>
      <c r="X139" s="196" t="e">
        <f t="shared" ref="X139:X157" ca="1" si="58">IF(E107="","",IF(AND(R73=1,S73&gt;T73),$I$98/12,"NA"))</f>
        <v>#N/A</v>
      </c>
      <c r="Y139" s="196" t="e">
        <f t="shared" ref="Y139:Y157" ca="1" si="59">IF(E107="","",IF(AND(R73=1,S73&gt;T73),5*X139*($H$28*12)^4*(COS(AB98)^2/AD98+SIN(AB98)^2/AE98)/(384*$H$32),"NA"))</f>
        <v>#N/A</v>
      </c>
      <c r="Z139" s="196" t="e">
        <f t="shared" ref="Z139:Z157" ca="1" si="60">IF(E107="","",IF(AND(R73=1,S73&gt;T73),5*X139*($H$28*12)^4/(384*$H$32*X73),"NA"))</f>
        <v>#N/A</v>
      </c>
      <c r="AA139" s="152" t="e">
        <f t="shared" ref="AA139:AA157" ca="1" si="61">IF(E107="","",IF(AND(R73=1,S73&gt;T73),Y139/Z139,"NA"))</f>
        <v>#N/A</v>
      </c>
      <c r="AB139" s="150" t="e">
        <f t="shared" ref="AB139:AB157" ca="1" si="62">IF(E107="","",IF(AND($H$23="ASD",R73=1,S73&gt;T73),1.5*$H$31/(1.67*(COS(AB98)/AF98)+(SIN(AB98)/W139)),IF(AND($H$23="LRFD",R73=1,S73&gt;T73),0.9*1.5*$H$31/(COS(AB98)/AF98)+(SIN(AB98)/W139),"NA")))</f>
        <v>#N/A</v>
      </c>
      <c r="AC139" s="151" t="e">
        <f t="shared" ref="AC139:AC157" ca="1" si="63">IF(E107="","",IF(AND(R139=1,S139&gt;T139),X73/(S73-W73),"NA"))</f>
        <v>#N/A</v>
      </c>
      <c r="AD139" s="151" t="e">
        <f t="shared" ref="AD139:AD157" ca="1" si="64">IF(E107="","",IF(AND(R139=1,S139&gt;T139),(AA73*SIN(AB98-AD73))/U73,"NA"))</f>
        <v>#N/A</v>
      </c>
      <c r="AE139" s="151" t="e">
        <f t="shared" ref="AE139:AE158" ca="1" si="65">IF(E107="","",IF(AND(R139=1,S139&gt;T139),SQRT(H$32/$H$31),"NA"))</f>
        <v>#N/A</v>
      </c>
      <c r="AF139" s="151" t="e">
        <f t="shared" ref="AF139:AF145" ca="1" si="66">IF(E107="","",IF(AND($H$23="ASD",R139=1,V15="N",S139&gt;T139),$H$31*AC139*(2.43-172*AD139*AE139)/1.67,IF(AND($H$23="ASD",R139=1,V15="N",S139&gt;T139),0.9*$H$31*AC139*(2.43-172*AD139*AE139),"NA")))</f>
        <v>#N/A</v>
      </c>
    </row>
    <row r="140" spans="2:32" ht="20.100000000000001" customHeight="1">
      <c r="B140" s="71"/>
      <c r="C140" s="190">
        <f t="shared" ref="C140:D159" si="67">D107</f>
        <v>1</v>
      </c>
      <c r="D140" s="326" t="e">
        <f t="shared" ca="1" si="67"/>
        <v>#N/A</v>
      </c>
      <c r="E140" s="327"/>
      <c r="F140" s="191" t="e">
        <f t="shared" ref="F140:F159" ca="1" si="68">IF(E107="","",$M$95)</f>
        <v>#N/A</v>
      </c>
      <c r="G140" s="191" t="e">
        <f t="shared" ref="G140:G146" ca="1" si="69">IF(E107="","",MIN(AF15,AB139,AF139,AF169))</f>
        <v>#N/A</v>
      </c>
      <c r="H140" s="192" t="e">
        <f t="shared" ref="H140:H159" ca="1" si="70">IF(E107="","",F140/G140)</f>
        <v>#N/A</v>
      </c>
      <c r="I140" s="148" t="e">
        <f t="shared" ref="I140:I146" ca="1" si="71">IF(E107="","",IF(AND(S15=T15,R15=1),1.56*5*($O$82/12)*($H$28*12)^4/(384*$H$32*H107),IF(R15=2,5*($O$82/12)*($H$28*12)^4/(384*$H$32*H107),($O$82/$I$98)*Y139)))</f>
        <v>#N/A</v>
      </c>
      <c r="J140" s="148" t="e">
        <f t="shared" ref="J140:J146" ca="1" si="72">IF(E107="","",IF(AND(S15=T15,R15=1),1.56*5*($O$88/12)*($H$28*12)^4/(384*$H$32*H107),IF(R15=2,5*($O$88/12)*($H$28*12)^4/(384*$H$32*H107),($O$88/$I$98)*Y139)))</f>
        <v>#N/A</v>
      </c>
      <c r="K140" s="192" t="e">
        <f t="shared" ref="K140:K146" ca="1" si="73">IF(E107="","",IF(AND(S15=T15,R15=1),1.56*5*($I$98/12)*($H$28*12)^4/(384*$H$32*H107),IF(R15=2,5*($I$98/12)*($H$28*12)^4/(384*$H$32*H107),Y139)))</f>
        <v>#N/A</v>
      </c>
      <c r="L140" s="192" t="e">
        <f t="shared" ref="L140:L158" ca="1" si="74">IF(D140="","",IF(AND(R73=1,S73&gt;T73),AA139,IF(S73=T73,1.56,1)))</f>
        <v>#N/A</v>
      </c>
      <c r="M140" s="147" t="e">
        <f t="shared" ref="M140:M158" ca="1" si="75">IF(D140="","",IF(AND(R73=1,S73&gt;T73),(5*($O$82/12)*(H$28*12)^4*COS(AB98)*SIN(AB98)*(1/AD98-1/AE98))/(384*$H$32),IF(AND(R73=1,S73=T73),0.94*5*($O$82/12)*(H$28*12)^4/(384*$H$32*H107),"NA")))</f>
        <v>#N/A</v>
      </c>
      <c r="N140" s="193" t="e">
        <f t="shared" ref="N140:N158" ca="1" si="76">IF(D140="","",IF(AND(R73=1,S73&gt;T73),(5*($O$88/12)*(H$28*12)^4*COS(AB98)*SIN(AB98)*(1/AD98-1/AE98))/(384*$H$32),IF(AND(R73=1,S73=T73),0.94*5*($O$88/12)*(H$28*12)^4/(384*$H$32*H107),"NA")))</f>
        <v>#N/A</v>
      </c>
      <c r="O140" s="193" t="e">
        <f t="shared" ref="O140:O158" ca="1" si="77">IF(D140="","",IF(R73=2,"NA",M140+N140))</f>
        <v>#N/A</v>
      </c>
      <c r="P140" s="194" t="e">
        <f t="shared" ref="P140:P159" ca="1" si="78">IF(E107="","",IF(O140="NA","NA",ABS(384*$H$32*I107*O140/(10*($H$28*12)^3))))</f>
        <v>#N/A</v>
      </c>
      <c r="Q140" s="195"/>
      <c r="R140" s="151" t="e">
        <f t="shared" ca="1" si="53"/>
        <v>#N/A</v>
      </c>
      <c r="S140" s="151" t="e">
        <f t="shared" ca="1" si="54"/>
        <v>#N/A</v>
      </c>
      <c r="T140" s="151" t="e">
        <f t="shared" ca="1" si="54"/>
        <v>#N/A</v>
      </c>
      <c r="U140" s="145" t="e">
        <f t="shared" ca="1" si="55"/>
        <v>#N/A</v>
      </c>
      <c r="V140" s="145" t="e">
        <f t="shared" ca="1" si="56"/>
        <v>#N/A</v>
      </c>
      <c r="W140" s="145" t="e">
        <f t="shared" ca="1" si="57"/>
        <v>#N/A</v>
      </c>
      <c r="X140" s="196" t="e">
        <f t="shared" ca="1" si="58"/>
        <v>#N/A</v>
      </c>
      <c r="Y140" s="196" t="e">
        <f t="shared" ca="1" si="59"/>
        <v>#N/A</v>
      </c>
      <c r="Z140" s="196" t="e">
        <f t="shared" ca="1" si="60"/>
        <v>#N/A</v>
      </c>
      <c r="AA140" s="152" t="e">
        <f t="shared" ca="1" si="61"/>
        <v>#N/A</v>
      </c>
      <c r="AB140" s="150" t="e">
        <f t="shared" ca="1" si="62"/>
        <v>#N/A</v>
      </c>
      <c r="AC140" s="151" t="e">
        <f t="shared" ca="1" si="63"/>
        <v>#N/A</v>
      </c>
      <c r="AD140" s="151" t="e">
        <f t="shared" ca="1" si="64"/>
        <v>#N/A</v>
      </c>
      <c r="AE140" s="151" t="e">
        <f t="shared" ca="1" si="65"/>
        <v>#N/A</v>
      </c>
      <c r="AF140" s="151" t="e">
        <f t="shared" ca="1" si="66"/>
        <v>#N/A</v>
      </c>
    </row>
    <row r="141" spans="2:32" ht="20.100000000000001" customHeight="1">
      <c r="B141" s="71"/>
      <c r="C141" s="149">
        <f t="shared" si="67"/>
        <v>2</v>
      </c>
      <c r="D141" s="326" t="e">
        <f t="shared" ca="1" si="67"/>
        <v>#N/A</v>
      </c>
      <c r="E141" s="327"/>
      <c r="F141" s="191" t="e">
        <f t="shared" ca="1" si="68"/>
        <v>#N/A</v>
      </c>
      <c r="G141" s="191" t="e">
        <f t="shared" ca="1" si="69"/>
        <v>#N/A</v>
      </c>
      <c r="H141" s="192" t="e">
        <f t="shared" ca="1" si="70"/>
        <v>#N/A</v>
      </c>
      <c r="I141" s="148" t="e">
        <f t="shared" ca="1" si="71"/>
        <v>#N/A</v>
      </c>
      <c r="J141" s="148" t="e">
        <f t="shared" ca="1" si="72"/>
        <v>#N/A</v>
      </c>
      <c r="K141" s="192" t="e">
        <f t="shared" ca="1" si="73"/>
        <v>#N/A</v>
      </c>
      <c r="L141" s="152" t="e">
        <f t="shared" ca="1" si="74"/>
        <v>#N/A</v>
      </c>
      <c r="M141" s="147" t="e">
        <f t="shared" ca="1" si="75"/>
        <v>#N/A</v>
      </c>
      <c r="N141" s="193" t="e">
        <f t="shared" ca="1" si="76"/>
        <v>#N/A</v>
      </c>
      <c r="O141" s="193" t="e">
        <f t="shared" ca="1" si="77"/>
        <v>#N/A</v>
      </c>
      <c r="P141" s="194" t="e">
        <f t="shared" ca="1" si="78"/>
        <v>#N/A</v>
      </c>
      <c r="Q141" s="195"/>
      <c r="R141" s="151" t="e">
        <f t="shared" ca="1" si="53"/>
        <v>#N/A</v>
      </c>
      <c r="S141" s="151" t="e">
        <f t="shared" ca="1" si="54"/>
        <v>#N/A</v>
      </c>
      <c r="T141" s="151" t="e">
        <f t="shared" ca="1" si="54"/>
        <v>#N/A</v>
      </c>
      <c r="U141" s="145" t="e">
        <f t="shared" ca="1" si="55"/>
        <v>#N/A</v>
      </c>
      <c r="V141" s="145" t="e">
        <f t="shared" ca="1" si="56"/>
        <v>#N/A</v>
      </c>
      <c r="W141" s="145" t="e">
        <f t="shared" ca="1" si="57"/>
        <v>#N/A</v>
      </c>
      <c r="X141" s="196" t="e">
        <f t="shared" ca="1" si="58"/>
        <v>#N/A</v>
      </c>
      <c r="Y141" s="196" t="e">
        <f t="shared" ca="1" si="59"/>
        <v>#N/A</v>
      </c>
      <c r="Z141" s="196" t="e">
        <f t="shared" ca="1" si="60"/>
        <v>#N/A</v>
      </c>
      <c r="AA141" s="152" t="e">
        <f t="shared" ca="1" si="61"/>
        <v>#N/A</v>
      </c>
      <c r="AB141" s="150" t="e">
        <f t="shared" ca="1" si="62"/>
        <v>#N/A</v>
      </c>
      <c r="AC141" s="151" t="e">
        <f t="shared" ca="1" si="63"/>
        <v>#N/A</v>
      </c>
      <c r="AD141" s="151" t="e">
        <f t="shared" ca="1" si="64"/>
        <v>#N/A</v>
      </c>
      <c r="AE141" s="151" t="e">
        <f t="shared" ca="1" si="65"/>
        <v>#N/A</v>
      </c>
      <c r="AF141" s="151" t="e">
        <f t="shared" ca="1" si="66"/>
        <v>#N/A</v>
      </c>
    </row>
    <row r="142" spans="2:32" ht="20.100000000000001" customHeight="1">
      <c r="B142" s="71"/>
      <c r="C142" s="149">
        <f t="shared" si="67"/>
        <v>3</v>
      </c>
      <c r="D142" s="326" t="e">
        <f t="shared" ca="1" si="67"/>
        <v>#N/A</v>
      </c>
      <c r="E142" s="327"/>
      <c r="F142" s="191" t="e">
        <f t="shared" ca="1" si="68"/>
        <v>#N/A</v>
      </c>
      <c r="G142" s="191" t="e">
        <f t="shared" ca="1" si="69"/>
        <v>#N/A</v>
      </c>
      <c r="H142" s="192" t="e">
        <f t="shared" ca="1" si="70"/>
        <v>#N/A</v>
      </c>
      <c r="I142" s="148" t="e">
        <f t="shared" ca="1" si="71"/>
        <v>#N/A</v>
      </c>
      <c r="J142" s="148" t="e">
        <f t="shared" ca="1" si="72"/>
        <v>#N/A</v>
      </c>
      <c r="K142" s="192" t="e">
        <f t="shared" ca="1" si="73"/>
        <v>#N/A</v>
      </c>
      <c r="L142" s="152" t="e">
        <f t="shared" ca="1" si="74"/>
        <v>#N/A</v>
      </c>
      <c r="M142" s="147" t="e">
        <f t="shared" ca="1" si="75"/>
        <v>#N/A</v>
      </c>
      <c r="N142" s="193" t="e">
        <f t="shared" ca="1" si="76"/>
        <v>#N/A</v>
      </c>
      <c r="O142" s="193" t="e">
        <f t="shared" ca="1" si="77"/>
        <v>#N/A</v>
      </c>
      <c r="P142" s="194" t="e">
        <f t="shared" ca="1" si="78"/>
        <v>#N/A</v>
      </c>
      <c r="Q142" s="195"/>
      <c r="R142" s="151" t="e">
        <f t="shared" ca="1" si="53"/>
        <v>#N/A</v>
      </c>
      <c r="S142" s="151" t="e">
        <f t="shared" ca="1" si="54"/>
        <v>#N/A</v>
      </c>
      <c r="T142" s="151" t="e">
        <f t="shared" ca="1" si="54"/>
        <v>#N/A</v>
      </c>
      <c r="U142" s="145" t="e">
        <f t="shared" ca="1" si="55"/>
        <v>#N/A</v>
      </c>
      <c r="V142" s="145" t="e">
        <f t="shared" ca="1" si="56"/>
        <v>#N/A</v>
      </c>
      <c r="W142" s="145" t="e">
        <f t="shared" ca="1" si="57"/>
        <v>#N/A</v>
      </c>
      <c r="X142" s="196" t="e">
        <f t="shared" ca="1" si="58"/>
        <v>#N/A</v>
      </c>
      <c r="Y142" s="196" t="e">
        <f t="shared" ca="1" si="59"/>
        <v>#N/A</v>
      </c>
      <c r="Z142" s="196" t="e">
        <f t="shared" ca="1" si="60"/>
        <v>#N/A</v>
      </c>
      <c r="AA142" s="152" t="e">
        <f t="shared" ca="1" si="61"/>
        <v>#N/A</v>
      </c>
      <c r="AB142" s="150" t="e">
        <f t="shared" ca="1" si="62"/>
        <v>#N/A</v>
      </c>
      <c r="AC142" s="151" t="e">
        <f t="shared" ca="1" si="63"/>
        <v>#N/A</v>
      </c>
      <c r="AD142" s="151" t="e">
        <f t="shared" ca="1" si="64"/>
        <v>#N/A</v>
      </c>
      <c r="AE142" s="151" t="e">
        <f t="shared" ca="1" si="65"/>
        <v>#N/A</v>
      </c>
      <c r="AF142" s="151" t="e">
        <f t="shared" ca="1" si="66"/>
        <v>#N/A</v>
      </c>
    </row>
    <row r="143" spans="2:32" ht="20.100000000000001" customHeight="1">
      <c r="B143" s="71"/>
      <c r="C143" s="149">
        <f t="shared" si="67"/>
        <v>4</v>
      </c>
      <c r="D143" s="326" t="e">
        <f t="shared" ca="1" si="67"/>
        <v>#N/A</v>
      </c>
      <c r="E143" s="327"/>
      <c r="F143" s="191" t="e">
        <f t="shared" ca="1" si="68"/>
        <v>#N/A</v>
      </c>
      <c r="G143" s="191" t="e">
        <f t="shared" ca="1" si="69"/>
        <v>#N/A</v>
      </c>
      <c r="H143" s="192" t="e">
        <f t="shared" ca="1" si="70"/>
        <v>#N/A</v>
      </c>
      <c r="I143" s="148" t="e">
        <f t="shared" ca="1" si="71"/>
        <v>#N/A</v>
      </c>
      <c r="J143" s="148" t="e">
        <f t="shared" ca="1" si="72"/>
        <v>#N/A</v>
      </c>
      <c r="K143" s="192" t="e">
        <f t="shared" ca="1" si="73"/>
        <v>#N/A</v>
      </c>
      <c r="L143" s="152" t="e">
        <f t="shared" ca="1" si="74"/>
        <v>#N/A</v>
      </c>
      <c r="M143" s="147" t="e">
        <f t="shared" ca="1" si="75"/>
        <v>#N/A</v>
      </c>
      <c r="N143" s="193" t="e">
        <f t="shared" ca="1" si="76"/>
        <v>#N/A</v>
      </c>
      <c r="O143" s="193" t="e">
        <f t="shared" ca="1" si="77"/>
        <v>#N/A</v>
      </c>
      <c r="P143" s="194" t="e">
        <f t="shared" ca="1" si="78"/>
        <v>#N/A</v>
      </c>
      <c r="Q143" s="195"/>
      <c r="R143" s="151" t="e">
        <f t="shared" ca="1" si="53"/>
        <v>#N/A</v>
      </c>
      <c r="S143" s="151" t="e">
        <f t="shared" ca="1" si="54"/>
        <v>#N/A</v>
      </c>
      <c r="T143" s="151" t="e">
        <f t="shared" ca="1" si="54"/>
        <v>#N/A</v>
      </c>
      <c r="U143" s="145" t="e">
        <f t="shared" ca="1" si="55"/>
        <v>#N/A</v>
      </c>
      <c r="V143" s="145" t="e">
        <f t="shared" ca="1" si="56"/>
        <v>#N/A</v>
      </c>
      <c r="W143" s="145" t="e">
        <f t="shared" ca="1" si="57"/>
        <v>#N/A</v>
      </c>
      <c r="X143" s="196" t="e">
        <f t="shared" ca="1" si="58"/>
        <v>#N/A</v>
      </c>
      <c r="Y143" s="196" t="e">
        <f t="shared" ca="1" si="59"/>
        <v>#N/A</v>
      </c>
      <c r="Z143" s="196" t="e">
        <f t="shared" ca="1" si="60"/>
        <v>#N/A</v>
      </c>
      <c r="AA143" s="152" t="e">
        <f t="shared" ca="1" si="61"/>
        <v>#N/A</v>
      </c>
      <c r="AB143" s="150" t="e">
        <f t="shared" ca="1" si="62"/>
        <v>#N/A</v>
      </c>
      <c r="AC143" s="151" t="e">
        <f t="shared" ca="1" si="63"/>
        <v>#N/A</v>
      </c>
      <c r="AD143" s="151" t="e">
        <f t="shared" ca="1" si="64"/>
        <v>#N/A</v>
      </c>
      <c r="AE143" s="151" t="e">
        <f t="shared" ca="1" si="65"/>
        <v>#N/A</v>
      </c>
      <c r="AF143" s="151" t="e">
        <f t="shared" ca="1" si="66"/>
        <v>#N/A</v>
      </c>
    </row>
    <row r="144" spans="2:32" ht="20.100000000000001" customHeight="1">
      <c r="B144" s="71"/>
      <c r="C144" s="149">
        <f t="shared" si="67"/>
        <v>5</v>
      </c>
      <c r="D144" s="326" t="e">
        <f t="shared" ca="1" si="67"/>
        <v>#N/A</v>
      </c>
      <c r="E144" s="327"/>
      <c r="F144" s="191" t="e">
        <f t="shared" ca="1" si="68"/>
        <v>#N/A</v>
      </c>
      <c r="G144" s="191" t="e">
        <f t="shared" ca="1" si="69"/>
        <v>#N/A</v>
      </c>
      <c r="H144" s="192" t="e">
        <f t="shared" ca="1" si="70"/>
        <v>#N/A</v>
      </c>
      <c r="I144" s="148" t="e">
        <f t="shared" ca="1" si="71"/>
        <v>#N/A</v>
      </c>
      <c r="J144" s="148" t="e">
        <f t="shared" ca="1" si="72"/>
        <v>#N/A</v>
      </c>
      <c r="K144" s="192" t="e">
        <f t="shared" ca="1" si="73"/>
        <v>#N/A</v>
      </c>
      <c r="L144" s="152" t="e">
        <f t="shared" ca="1" si="74"/>
        <v>#N/A</v>
      </c>
      <c r="M144" s="147" t="e">
        <f t="shared" ca="1" si="75"/>
        <v>#N/A</v>
      </c>
      <c r="N144" s="193" t="e">
        <f t="shared" ca="1" si="76"/>
        <v>#N/A</v>
      </c>
      <c r="O144" s="193" t="e">
        <f t="shared" ca="1" si="77"/>
        <v>#N/A</v>
      </c>
      <c r="P144" s="194" t="e">
        <f t="shared" ca="1" si="78"/>
        <v>#N/A</v>
      </c>
      <c r="Q144" s="195"/>
      <c r="R144" s="151" t="e">
        <f t="shared" ca="1" si="53"/>
        <v>#N/A</v>
      </c>
      <c r="S144" s="151" t="e">
        <f t="shared" ca="1" si="54"/>
        <v>#N/A</v>
      </c>
      <c r="T144" s="151" t="e">
        <f t="shared" ca="1" si="54"/>
        <v>#N/A</v>
      </c>
      <c r="U144" s="145" t="e">
        <f t="shared" ca="1" si="55"/>
        <v>#N/A</v>
      </c>
      <c r="V144" s="145" t="e">
        <f t="shared" ca="1" si="56"/>
        <v>#N/A</v>
      </c>
      <c r="W144" s="145" t="e">
        <f t="shared" ca="1" si="57"/>
        <v>#N/A</v>
      </c>
      <c r="X144" s="196" t="e">
        <f t="shared" ca="1" si="58"/>
        <v>#N/A</v>
      </c>
      <c r="Y144" s="196" t="e">
        <f t="shared" ca="1" si="59"/>
        <v>#N/A</v>
      </c>
      <c r="Z144" s="196" t="e">
        <f t="shared" ca="1" si="60"/>
        <v>#N/A</v>
      </c>
      <c r="AA144" s="152" t="e">
        <f t="shared" ca="1" si="61"/>
        <v>#N/A</v>
      </c>
      <c r="AB144" s="150" t="e">
        <f t="shared" ca="1" si="62"/>
        <v>#N/A</v>
      </c>
      <c r="AC144" s="151" t="e">
        <f t="shared" ca="1" si="63"/>
        <v>#N/A</v>
      </c>
      <c r="AD144" s="151" t="e">
        <f t="shared" ca="1" si="64"/>
        <v>#N/A</v>
      </c>
      <c r="AE144" s="151" t="e">
        <f t="shared" ca="1" si="65"/>
        <v>#N/A</v>
      </c>
      <c r="AF144" s="151" t="e">
        <f t="shared" ca="1" si="66"/>
        <v>#N/A</v>
      </c>
    </row>
    <row r="145" spans="1:32" ht="20.100000000000001" customHeight="1">
      <c r="B145" s="71"/>
      <c r="C145" s="149">
        <f t="shared" si="67"/>
        <v>6</v>
      </c>
      <c r="D145" s="326" t="e">
        <f t="shared" ca="1" si="67"/>
        <v>#N/A</v>
      </c>
      <c r="E145" s="327"/>
      <c r="F145" s="191" t="e">
        <f t="shared" ca="1" si="68"/>
        <v>#N/A</v>
      </c>
      <c r="G145" s="191" t="e">
        <f t="shared" ca="1" si="69"/>
        <v>#N/A</v>
      </c>
      <c r="H145" s="192" t="e">
        <f t="shared" ca="1" si="70"/>
        <v>#N/A</v>
      </c>
      <c r="I145" s="148" t="e">
        <f t="shared" ca="1" si="71"/>
        <v>#N/A</v>
      </c>
      <c r="J145" s="148" t="e">
        <f t="shared" ca="1" si="72"/>
        <v>#N/A</v>
      </c>
      <c r="K145" s="192" t="e">
        <f t="shared" ca="1" si="73"/>
        <v>#N/A</v>
      </c>
      <c r="L145" s="152" t="e">
        <f t="shared" ca="1" si="74"/>
        <v>#N/A</v>
      </c>
      <c r="M145" s="147" t="e">
        <f t="shared" ca="1" si="75"/>
        <v>#N/A</v>
      </c>
      <c r="N145" s="193" t="e">
        <f t="shared" ca="1" si="76"/>
        <v>#N/A</v>
      </c>
      <c r="O145" s="193" t="e">
        <f t="shared" ca="1" si="77"/>
        <v>#N/A</v>
      </c>
      <c r="P145" s="194" t="e">
        <f t="shared" ca="1" si="78"/>
        <v>#N/A</v>
      </c>
      <c r="Q145" s="195"/>
      <c r="R145" s="151" t="e">
        <f t="shared" ca="1" si="53"/>
        <v>#N/A</v>
      </c>
      <c r="S145" s="151" t="e">
        <f t="shared" ca="1" si="54"/>
        <v>#N/A</v>
      </c>
      <c r="T145" s="151" t="e">
        <f t="shared" ca="1" si="54"/>
        <v>#N/A</v>
      </c>
      <c r="U145" s="145" t="e">
        <f t="shared" ca="1" si="55"/>
        <v>#N/A</v>
      </c>
      <c r="V145" s="145" t="e">
        <f t="shared" ca="1" si="56"/>
        <v>#N/A</v>
      </c>
      <c r="W145" s="145" t="e">
        <f t="shared" ca="1" si="57"/>
        <v>#N/A</v>
      </c>
      <c r="X145" s="196" t="e">
        <f t="shared" ca="1" si="58"/>
        <v>#N/A</v>
      </c>
      <c r="Y145" s="196" t="e">
        <f t="shared" ca="1" si="59"/>
        <v>#N/A</v>
      </c>
      <c r="Z145" s="196" t="e">
        <f t="shared" ca="1" si="60"/>
        <v>#N/A</v>
      </c>
      <c r="AA145" s="152" t="e">
        <f t="shared" ca="1" si="61"/>
        <v>#N/A</v>
      </c>
      <c r="AB145" s="150" t="e">
        <f t="shared" ca="1" si="62"/>
        <v>#N/A</v>
      </c>
      <c r="AC145" s="151" t="e">
        <f t="shared" ca="1" si="63"/>
        <v>#N/A</v>
      </c>
      <c r="AD145" s="151" t="e">
        <f t="shared" ca="1" si="64"/>
        <v>#N/A</v>
      </c>
      <c r="AE145" s="151" t="e">
        <f t="shared" ca="1" si="65"/>
        <v>#N/A</v>
      </c>
      <c r="AF145" s="151" t="e">
        <f t="shared" ca="1" si="66"/>
        <v>#N/A</v>
      </c>
    </row>
    <row r="146" spans="1:32" ht="20.100000000000001" customHeight="1">
      <c r="B146" s="71"/>
      <c r="C146" s="149">
        <f t="shared" si="67"/>
        <v>7</v>
      </c>
      <c r="D146" s="326" t="e">
        <f t="shared" ca="1" si="67"/>
        <v>#N/A</v>
      </c>
      <c r="E146" s="327"/>
      <c r="F146" s="191" t="e">
        <f t="shared" ca="1" si="68"/>
        <v>#N/A</v>
      </c>
      <c r="G146" s="191" t="e">
        <f t="shared" ca="1" si="69"/>
        <v>#N/A</v>
      </c>
      <c r="H146" s="192" t="e">
        <f t="shared" ca="1" si="70"/>
        <v>#N/A</v>
      </c>
      <c r="I146" s="148" t="e">
        <f t="shared" ca="1" si="71"/>
        <v>#N/A</v>
      </c>
      <c r="J146" s="148" t="e">
        <f t="shared" ca="1" si="72"/>
        <v>#N/A</v>
      </c>
      <c r="K146" s="192" t="e">
        <f t="shared" ca="1" si="73"/>
        <v>#N/A</v>
      </c>
      <c r="L146" s="152" t="e">
        <f t="shared" ca="1" si="74"/>
        <v>#N/A</v>
      </c>
      <c r="M146" s="147" t="e">
        <f t="shared" ca="1" si="75"/>
        <v>#N/A</v>
      </c>
      <c r="N146" s="193" t="e">
        <f t="shared" ca="1" si="76"/>
        <v>#N/A</v>
      </c>
      <c r="O146" s="193" t="e">
        <f t="shared" ca="1" si="77"/>
        <v>#N/A</v>
      </c>
      <c r="P146" s="194" t="e">
        <f t="shared" ca="1" si="78"/>
        <v>#N/A</v>
      </c>
      <c r="Q146" s="195"/>
      <c r="R146" s="151" t="e">
        <f t="shared" ca="1" si="53"/>
        <v>#N/A</v>
      </c>
      <c r="S146" s="151" t="e">
        <f t="shared" ref="S146:T158" ca="1" si="79">S25</f>
        <v>#N/A</v>
      </c>
      <c r="T146" s="151" t="e">
        <f t="shared" ca="1" si="79"/>
        <v>#N/A</v>
      </c>
      <c r="U146" s="145" t="e">
        <f t="shared" ca="1" si="55"/>
        <v>#N/A</v>
      </c>
      <c r="V146" s="145" t="e">
        <f t="shared" ca="1" si="56"/>
        <v>#N/A</v>
      </c>
      <c r="W146" s="145" t="e">
        <f t="shared" ca="1" si="57"/>
        <v>#N/A</v>
      </c>
      <c r="X146" s="196" t="e">
        <f t="shared" ca="1" si="58"/>
        <v>#N/A</v>
      </c>
      <c r="Y146" s="196" t="e">
        <f t="shared" ca="1" si="59"/>
        <v>#N/A</v>
      </c>
      <c r="Z146" s="196" t="e">
        <f t="shared" ca="1" si="60"/>
        <v>#N/A</v>
      </c>
      <c r="AA146" s="152" t="e">
        <f t="shared" ca="1" si="61"/>
        <v>#N/A</v>
      </c>
      <c r="AB146" s="150" t="e">
        <f t="shared" ca="1" si="62"/>
        <v>#N/A</v>
      </c>
      <c r="AC146" s="151" t="e">
        <f t="shared" ca="1" si="63"/>
        <v>#N/A</v>
      </c>
      <c r="AD146" s="151" t="e">
        <f t="shared" ca="1" si="64"/>
        <v>#N/A</v>
      </c>
      <c r="AE146" s="151" t="e">
        <f t="shared" ca="1" si="65"/>
        <v>#N/A</v>
      </c>
      <c r="AF146" s="151" t="e">
        <f t="shared" ref="AF146:AF158" ca="1" si="80">IF(E114="","",IF(AND($H$23="ASD",R146=1,V25="N",S146&gt;T146),$H$31*AC146*(2.43-172*AD146*AE146)/1.67,IF(AND($H$23="ASD",R146=1,V25="N",S146&gt;T146),0.9*$H$31*AC146*(2.43-172*AD146*AE146),"NA")))</f>
        <v>#N/A</v>
      </c>
    </row>
    <row r="147" spans="1:32" ht="20.100000000000001" customHeight="1">
      <c r="B147" s="71"/>
      <c r="C147" s="149">
        <f t="shared" si="67"/>
        <v>8</v>
      </c>
      <c r="D147" s="326" t="e">
        <f t="shared" ca="1" si="67"/>
        <v>#N/A</v>
      </c>
      <c r="E147" s="327"/>
      <c r="F147" s="191" t="e">
        <f t="shared" ca="1" si="68"/>
        <v>#N/A</v>
      </c>
      <c r="G147" s="191" t="e">
        <f t="shared" ref="G147:G159" ca="1" si="81">IF(E114="","",MIN(AF25,AB146,AF146,AF176))</f>
        <v>#N/A</v>
      </c>
      <c r="H147" s="192" t="e">
        <f t="shared" ca="1" si="70"/>
        <v>#N/A</v>
      </c>
      <c r="I147" s="148" t="e">
        <f t="shared" ref="I147:I159" ca="1" si="82">IF(E114="","",IF(AND(S25=T25,R25=1),1.56*5*($O$82/12)*($H$28*12)^4/(384*$H$32*H114),IF(R25=2,5*($O$82/12)*($H$28*12)^4/(384*$H$32*H114),($O$82/$I$98)*Y146)))</f>
        <v>#N/A</v>
      </c>
      <c r="J147" s="148" t="e">
        <f t="shared" ref="J147:J159" ca="1" si="83">IF(E114="","",IF(AND(S25=T25,R25=1),1.56*5*($O$88/12)*($H$28*12)^4/(384*$H$32*H114),IF(R25=2,5*($O$88/12)*($H$28*12)^4/(384*$H$32*H114),($O$88/$I$98)*Y146)))</f>
        <v>#N/A</v>
      </c>
      <c r="K147" s="192" t="e">
        <f t="shared" ref="K147:K159" ca="1" si="84">IF(E114="","",IF(AND(S25=T25,R25=1),1.56*5*($I$98/12)*($H$28*12)^4/(384*$H$32*H114),IF(R25=2,5*($I$98/12)*($H$28*12)^4/(384*$H$32*H114),Y146)))</f>
        <v>#N/A</v>
      </c>
      <c r="L147" s="152" t="e">
        <f t="shared" ca="1" si="74"/>
        <v>#N/A</v>
      </c>
      <c r="M147" s="147" t="e">
        <f t="shared" ca="1" si="75"/>
        <v>#N/A</v>
      </c>
      <c r="N147" s="193" t="e">
        <f t="shared" ca="1" si="76"/>
        <v>#N/A</v>
      </c>
      <c r="O147" s="193" t="e">
        <f t="shared" ca="1" si="77"/>
        <v>#N/A</v>
      </c>
      <c r="P147" s="194" t="e">
        <f t="shared" ca="1" si="78"/>
        <v>#N/A</v>
      </c>
      <c r="Q147" s="195"/>
      <c r="R147" s="151" t="e">
        <f t="shared" ca="1" si="53"/>
        <v>#N/A</v>
      </c>
      <c r="S147" s="151" t="e">
        <f t="shared" ca="1" si="79"/>
        <v>#N/A</v>
      </c>
      <c r="T147" s="151" t="e">
        <f t="shared" ca="1" si="79"/>
        <v>#N/A</v>
      </c>
      <c r="U147" s="145" t="e">
        <f t="shared" ca="1" si="55"/>
        <v>#N/A</v>
      </c>
      <c r="V147" s="145" t="e">
        <f t="shared" ca="1" si="56"/>
        <v>#N/A</v>
      </c>
      <c r="W147" s="145" t="e">
        <f t="shared" ca="1" si="57"/>
        <v>#N/A</v>
      </c>
      <c r="X147" s="196" t="e">
        <f t="shared" ca="1" si="58"/>
        <v>#N/A</v>
      </c>
      <c r="Y147" s="196" t="e">
        <f t="shared" ca="1" si="59"/>
        <v>#N/A</v>
      </c>
      <c r="Z147" s="196" t="e">
        <f t="shared" ca="1" si="60"/>
        <v>#N/A</v>
      </c>
      <c r="AA147" s="152" t="e">
        <f t="shared" ca="1" si="61"/>
        <v>#N/A</v>
      </c>
      <c r="AB147" s="150" t="e">
        <f t="shared" ca="1" si="62"/>
        <v>#N/A</v>
      </c>
      <c r="AC147" s="151" t="e">
        <f t="shared" ca="1" si="63"/>
        <v>#N/A</v>
      </c>
      <c r="AD147" s="151" t="e">
        <f t="shared" ca="1" si="64"/>
        <v>#N/A</v>
      </c>
      <c r="AE147" s="151" t="e">
        <f t="shared" ca="1" si="65"/>
        <v>#N/A</v>
      </c>
      <c r="AF147" s="151" t="e">
        <f t="shared" ca="1" si="80"/>
        <v>#N/A</v>
      </c>
    </row>
    <row r="148" spans="1:32" ht="20.100000000000001" customHeight="1">
      <c r="B148" s="71"/>
      <c r="C148" s="149">
        <f t="shared" si="67"/>
        <v>9</v>
      </c>
      <c r="D148" s="326" t="e">
        <f t="shared" ca="1" si="67"/>
        <v>#N/A</v>
      </c>
      <c r="E148" s="327"/>
      <c r="F148" s="191" t="e">
        <f t="shared" ca="1" si="68"/>
        <v>#N/A</v>
      </c>
      <c r="G148" s="191" t="e">
        <f t="shared" ca="1" si="81"/>
        <v>#N/A</v>
      </c>
      <c r="H148" s="192" t="e">
        <f t="shared" ca="1" si="70"/>
        <v>#N/A</v>
      </c>
      <c r="I148" s="148" t="e">
        <f t="shared" ca="1" si="82"/>
        <v>#N/A</v>
      </c>
      <c r="J148" s="148" t="e">
        <f t="shared" ca="1" si="83"/>
        <v>#N/A</v>
      </c>
      <c r="K148" s="192" t="e">
        <f t="shared" ca="1" si="84"/>
        <v>#N/A</v>
      </c>
      <c r="L148" s="152" t="e">
        <f t="shared" ca="1" si="74"/>
        <v>#N/A</v>
      </c>
      <c r="M148" s="147" t="e">
        <f t="shared" ca="1" si="75"/>
        <v>#N/A</v>
      </c>
      <c r="N148" s="193" t="e">
        <f t="shared" ca="1" si="76"/>
        <v>#N/A</v>
      </c>
      <c r="O148" s="193" t="e">
        <f t="shared" ca="1" si="77"/>
        <v>#N/A</v>
      </c>
      <c r="P148" s="194" t="e">
        <f t="shared" ca="1" si="78"/>
        <v>#N/A</v>
      </c>
      <c r="Q148" s="195"/>
      <c r="R148" s="151" t="e">
        <f t="shared" ca="1" si="53"/>
        <v>#N/A</v>
      </c>
      <c r="S148" s="151" t="e">
        <f t="shared" ca="1" si="79"/>
        <v>#N/A</v>
      </c>
      <c r="T148" s="151" t="e">
        <f t="shared" ca="1" si="79"/>
        <v>#N/A</v>
      </c>
      <c r="U148" s="145" t="e">
        <f t="shared" ca="1" si="55"/>
        <v>#N/A</v>
      </c>
      <c r="V148" s="145" t="e">
        <f t="shared" ca="1" si="56"/>
        <v>#N/A</v>
      </c>
      <c r="W148" s="145" t="e">
        <f t="shared" ca="1" si="57"/>
        <v>#N/A</v>
      </c>
      <c r="X148" s="196" t="e">
        <f t="shared" ca="1" si="58"/>
        <v>#N/A</v>
      </c>
      <c r="Y148" s="196" t="e">
        <f t="shared" ca="1" si="59"/>
        <v>#N/A</v>
      </c>
      <c r="Z148" s="196" t="e">
        <f t="shared" ca="1" si="60"/>
        <v>#N/A</v>
      </c>
      <c r="AA148" s="152" t="e">
        <f t="shared" ca="1" si="61"/>
        <v>#N/A</v>
      </c>
      <c r="AB148" s="150" t="e">
        <f t="shared" ca="1" si="62"/>
        <v>#N/A</v>
      </c>
      <c r="AC148" s="151" t="e">
        <f t="shared" ca="1" si="63"/>
        <v>#N/A</v>
      </c>
      <c r="AD148" s="151" t="e">
        <f t="shared" ca="1" si="64"/>
        <v>#N/A</v>
      </c>
      <c r="AE148" s="151" t="e">
        <f t="shared" ca="1" si="65"/>
        <v>#N/A</v>
      </c>
      <c r="AF148" s="151" t="e">
        <f t="shared" ca="1" si="80"/>
        <v>#N/A</v>
      </c>
    </row>
    <row r="149" spans="1:32" ht="20.100000000000001" customHeight="1">
      <c r="B149" s="71"/>
      <c r="C149" s="149">
        <f t="shared" si="67"/>
        <v>10</v>
      </c>
      <c r="D149" s="326" t="e">
        <f t="shared" ca="1" si="67"/>
        <v>#N/A</v>
      </c>
      <c r="E149" s="327"/>
      <c r="F149" s="191" t="e">
        <f t="shared" ca="1" si="68"/>
        <v>#N/A</v>
      </c>
      <c r="G149" s="191" t="e">
        <f t="shared" ca="1" si="81"/>
        <v>#N/A</v>
      </c>
      <c r="H149" s="192" t="e">
        <f t="shared" ca="1" si="70"/>
        <v>#N/A</v>
      </c>
      <c r="I149" s="148" t="e">
        <f t="shared" ca="1" si="82"/>
        <v>#N/A</v>
      </c>
      <c r="J149" s="148" t="e">
        <f t="shared" ca="1" si="83"/>
        <v>#N/A</v>
      </c>
      <c r="K149" s="192" t="e">
        <f t="shared" ca="1" si="84"/>
        <v>#N/A</v>
      </c>
      <c r="L149" s="152" t="e">
        <f t="shared" ca="1" si="74"/>
        <v>#N/A</v>
      </c>
      <c r="M149" s="147" t="e">
        <f t="shared" ca="1" si="75"/>
        <v>#N/A</v>
      </c>
      <c r="N149" s="193" t="e">
        <f t="shared" ca="1" si="76"/>
        <v>#N/A</v>
      </c>
      <c r="O149" s="193" t="e">
        <f t="shared" ca="1" si="77"/>
        <v>#N/A</v>
      </c>
      <c r="P149" s="194" t="e">
        <f t="shared" ca="1" si="78"/>
        <v>#N/A</v>
      </c>
      <c r="Q149" s="195"/>
      <c r="R149" s="151" t="e">
        <f t="shared" ca="1" si="53"/>
        <v>#N/A</v>
      </c>
      <c r="S149" s="151" t="e">
        <f t="shared" ca="1" si="79"/>
        <v>#N/A</v>
      </c>
      <c r="T149" s="151" t="e">
        <f t="shared" ca="1" si="79"/>
        <v>#N/A</v>
      </c>
      <c r="U149" s="145" t="e">
        <f t="shared" ca="1" si="55"/>
        <v>#N/A</v>
      </c>
      <c r="V149" s="145" t="e">
        <f t="shared" ca="1" si="56"/>
        <v>#N/A</v>
      </c>
      <c r="W149" s="145" t="e">
        <f t="shared" ca="1" si="57"/>
        <v>#N/A</v>
      </c>
      <c r="X149" s="196" t="e">
        <f t="shared" ca="1" si="58"/>
        <v>#N/A</v>
      </c>
      <c r="Y149" s="196" t="e">
        <f t="shared" ca="1" si="59"/>
        <v>#N/A</v>
      </c>
      <c r="Z149" s="196" t="e">
        <f t="shared" ca="1" si="60"/>
        <v>#N/A</v>
      </c>
      <c r="AA149" s="151" t="e">
        <f t="shared" ca="1" si="61"/>
        <v>#N/A</v>
      </c>
      <c r="AB149" s="150" t="e">
        <f t="shared" ca="1" si="62"/>
        <v>#N/A</v>
      </c>
      <c r="AC149" s="151" t="e">
        <f t="shared" ca="1" si="63"/>
        <v>#N/A</v>
      </c>
      <c r="AD149" s="151" t="e">
        <f t="shared" ca="1" si="64"/>
        <v>#N/A</v>
      </c>
      <c r="AE149" s="151" t="e">
        <f t="shared" ca="1" si="65"/>
        <v>#N/A</v>
      </c>
      <c r="AF149" s="151" t="e">
        <f t="shared" ca="1" si="80"/>
        <v>#N/A</v>
      </c>
    </row>
    <row r="150" spans="1:32" ht="20.100000000000001" customHeight="1">
      <c r="B150" s="71"/>
      <c r="C150" s="149">
        <f t="shared" si="67"/>
        <v>11</v>
      </c>
      <c r="D150" s="326" t="e">
        <f t="shared" ca="1" si="67"/>
        <v>#N/A</v>
      </c>
      <c r="E150" s="327"/>
      <c r="F150" s="191" t="e">
        <f t="shared" ca="1" si="68"/>
        <v>#N/A</v>
      </c>
      <c r="G150" s="191" t="e">
        <f t="shared" ca="1" si="81"/>
        <v>#N/A</v>
      </c>
      <c r="H150" s="192" t="e">
        <f t="shared" ca="1" si="70"/>
        <v>#N/A</v>
      </c>
      <c r="I150" s="148" t="e">
        <f t="shared" ca="1" si="82"/>
        <v>#N/A</v>
      </c>
      <c r="J150" s="148" t="e">
        <f t="shared" ca="1" si="83"/>
        <v>#N/A</v>
      </c>
      <c r="K150" s="192" t="e">
        <f t="shared" ca="1" si="84"/>
        <v>#N/A</v>
      </c>
      <c r="L150" s="197" t="e">
        <f t="shared" ca="1" si="74"/>
        <v>#N/A</v>
      </c>
      <c r="M150" s="147" t="e">
        <f t="shared" ca="1" si="75"/>
        <v>#N/A</v>
      </c>
      <c r="N150" s="193" t="e">
        <f t="shared" ca="1" si="76"/>
        <v>#N/A</v>
      </c>
      <c r="O150" s="193" t="e">
        <f t="shared" ca="1" si="77"/>
        <v>#N/A</v>
      </c>
      <c r="P150" s="194" t="e">
        <f t="shared" ca="1" si="78"/>
        <v>#N/A</v>
      </c>
      <c r="Q150" s="195"/>
      <c r="R150" s="151" t="str">
        <f t="shared" si="53"/>
        <v/>
      </c>
      <c r="S150" s="151" t="str">
        <f t="shared" si="79"/>
        <v/>
      </c>
      <c r="T150" s="151" t="str">
        <f t="shared" si="79"/>
        <v/>
      </c>
      <c r="U150" s="145" t="str">
        <f t="shared" si="55"/>
        <v/>
      </c>
      <c r="V150" s="145" t="str">
        <f t="shared" si="56"/>
        <v/>
      </c>
      <c r="W150" s="145" t="str">
        <f t="shared" si="57"/>
        <v/>
      </c>
      <c r="X150" s="196" t="str">
        <f t="shared" si="58"/>
        <v/>
      </c>
      <c r="Y150" s="196" t="str">
        <f t="shared" si="59"/>
        <v/>
      </c>
      <c r="Z150" s="196" t="str">
        <f t="shared" si="60"/>
        <v/>
      </c>
      <c r="AA150" s="151" t="str">
        <f t="shared" si="61"/>
        <v/>
      </c>
      <c r="AB150" s="150" t="str">
        <f t="shared" si="62"/>
        <v/>
      </c>
      <c r="AC150" s="151" t="str">
        <f t="shared" si="63"/>
        <v/>
      </c>
      <c r="AD150" s="151" t="str">
        <f t="shared" si="64"/>
        <v/>
      </c>
      <c r="AE150" s="151" t="str">
        <f t="shared" si="65"/>
        <v/>
      </c>
      <c r="AF150" s="151" t="str">
        <f t="shared" si="80"/>
        <v/>
      </c>
    </row>
    <row r="151" spans="1:32" ht="20.100000000000001" customHeight="1">
      <c r="B151" s="71"/>
      <c r="C151" s="149">
        <f t="shared" si="67"/>
        <v>12</v>
      </c>
      <c r="D151" s="326" t="str">
        <f t="shared" si="67"/>
        <v/>
      </c>
      <c r="E151" s="327"/>
      <c r="F151" s="191" t="str">
        <f t="shared" si="68"/>
        <v/>
      </c>
      <c r="G151" s="191" t="str">
        <f t="shared" si="81"/>
        <v/>
      </c>
      <c r="H151" s="192" t="str">
        <f t="shared" si="70"/>
        <v/>
      </c>
      <c r="I151" s="148" t="str">
        <f t="shared" si="82"/>
        <v/>
      </c>
      <c r="J151" s="148" t="str">
        <f t="shared" si="83"/>
        <v/>
      </c>
      <c r="K151" s="192" t="str">
        <f t="shared" si="84"/>
        <v/>
      </c>
      <c r="L151" s="197" t="str">
        <f t="shared" si="74"/>
        <v/>
      </c>
      <c r="M151" s="147" t="str">
        <f t="shared" si="75"/>
        <v/>
      </c>
      <c r="N151" s="193" t="str">
        <f t="shared" si="76"/>
        <v/>
      </c>
      <c r="O151" s="193" t="str">
        <f t="shared" si="77"/>
        <v/>
      </c>
      <c r="P151" s="194" t="str">
        <f t="shared" si="78"/>
        <v/>
      </c>
      <c r="Q151" s="195"/>
      <c r="R151" s="151" t="str">
        <f t="shared" si="53"/>
        <v/>
      </c>
      <c r="S151" s="151" t="str">
        <f t="shared" si="79"/>
        <v/>
      </c>
      <c r="T151" s="151" t="str">
        <f t="shared" si="79"/>
        <v/>
      </c>
      <c r="U151" s="145" t="str">
        <f t="shared" si="55"/>
        <v/>
      </c>
      <c r="V151" s="145" t="str">
        <f t="shared" si="56"/>
        <v/>
      </c>
      <c r="W151" s="145" t="str">
        <f t="shared" si="57"/>
        <v/>
      </c>
      <c r="X151" s="196" t="str">
        <f t="shared" si="58"/>
        <v/>
      </c>
      <c r="Y151" s="196" t="str">
        <f t="shared" si="59"/>
        <v/>
      </c>
      <c r="Z151" s="196" t="str">
        <f t="shared" si="60"/>
        <v/>
      </c>
      <c r="AA151" s="151" t="str">
        <f t="shared" si="61"/>
        <v/>
      </c>
      <c r="AB151" s="150" t="str">
        <f t="shared" si="62"/>
        <v/>
      </c>
      <c r="AC151" s="151" t="str">
        <f t="shared" si="63"/>
        <v/>
      </c>
      <c r="AD151" s="151" t="str">
        <f t="shared" si="64"/>
        <v/>
      </c>
      <c r="AE151" s="151" t="str">
        <f t="shared" si="65"/>
        <v/>
      </c>
      <c r="AF151" s="151" t="str">
        <f t="shared" si="80"/>
        <v/>
      </c>
    </row>
    <row r="152" spans="1:32" ht="20.100000000000001" customHeight="1">
      <c r="B152" s="71"/>
      <c r="C152" s="149">
        <f t="shared" si="67"/>
        <v>13</v>
      </c>
      <c r="D152" s="326" t="str">
        <f t="shared" si="67"/>
        <v/>
      </c>
      <c r="E152" s="327"/>
      <c r="F152" s="191" t="str">
        <f t="shared" si="68"/>
        <v/>
      </c>
      <c r="G152" s="191" t="str">
        <f t="shared" si="81"/>
        <v/>
      </c>
      <c r="H152" s="192" t="str">
        <f t="shared" si="70"/>
        <v/>
      </c>
      <c r="I152" s="148" t="str">
        <f t="shared" si="82"/>
        <v/>
      </c>
      <c r="J152" s="148" t="str">
        <f t="shared" si="83"/>
        <v/>
      </c>
      <c r="K152" s="192" t="str">
        <f t="shared" si="84"/>
        <v/>
      </c>
      <c r="L152" s="197" t="str">
        <f t="shared" si="74"/>
        <v/>
      </c>
      <c r="M152" s="147" t="str">
        <f t="shared" si="75"/>
        <v/>
      </c>
      <c r="N152" s="193" t="str">
        <f t="shared" si="76"/>
        <v/>
      </c>
      <c r="O152" s="193" t="str">
        <f t="shared" si="77"/>
        <v/>
      </c>
      <c r="P152" s="194" t="str">
        <f t="shared" si="78"/>
        <v/>
      </c>
      <c r="Q152" s="195"/>
      <c r="R152" s="151" t="str">
        <f t="shared" si="53"/>
        <v/>
      </c>
      <c r="S152" s="151" t="str">
        <f t="shared" si="79"/>
        <v/>
      </c>
      <c r="T152" s="151" t="str">
        <f t="shared" si="79"/>
        <v/>
      </c>
      <c r="U152" s="145" t="str">
        <f t="shared" si="55"/>
        <v/>
      </c>
      <c r="V152" s="145" t="str">
        <f t="shared" si="56"/>
        <v/>
      </c>
      <c r="W152" s="145" t="str">
        <f t="shared" si="57"/>
        <v/>
      </c>
      <c r="X152" s="196" t="str">
        <f t="shared" si="58"/>
        <v/>
      </c>
      <c r="Y152" s="196" t="str">
        <f t="shared" si="59"/>
        <v/>
      </c>
      <c r="Z152" s="196" t="str">
        <f t="shared" si="60"/>
        <v/>
      </c>
      <c r="AA152" s="151" t="str">
        <f t="shared" si="61"/>
        <v/>
      </c>
      <c r="AB152" s="150" t="str">
        <f t="shared" si="62"/>
        <v/>
      </c>
      <c r="AC152" s="151" t="str">
        <f t="shared" si="63"/>
        <v/>
      </c>
      <c r="AD152" s="151" t="str">
        <f t="shared" si="64"/>
        <v/>
      </c>
      <c r="AE152" s="151" t="str">
        <f t="shared" si="65"/>
        <v/>
      </c>
      <c r="AF152" s="151" t="str">
        <f t="shared" si="80"/>
        <v/>
      </c>
    </row>
    <row r="153" spans="1:32" ht="20.100000000000001" customHeight="1">
      <c r="B153" s="71"/>
      <c r="C153" s="149">
        <f t="shared" si="67"/>
        <v>14</v>
      </c>
      <c r="D153" s="326" t="str">
        <f t="shared" si="67"/>
        <v/>
      </c>
      <c r="E153" s="327"/>
      <c r="F153" s="191" t="str">
        <f t="shared" si="68"/>
        <v/>
      </c>
      <c r="G153" s="191" t="str">
        <f t="shared" si="81"/>
        <v/>
      </c>
      <c r="H153" s="192" t="str">
        <f t="shared" si="70"/>
        <v/>
      </c>
      <c r="I153" s="148" t="str">
        <f t="shared" si="82"/>
        <v/>
      </c>
      <c r="J153" s="148" t="str">
        <f t="shared" si="83"/>
        <v/>
      </c>
      <c r="K153" s="192" t="str">
        <f t="shared" si="84"/>
        <v/>
      </c>
      <c r="L153" s="197" t="str">
        <f t="shared" si="74"/>
        <v/>
      </c>
      <c r="M153" s="147" t="str">
        <f t="shared" si="75"/>
        <v/>
      </c>
      <c r="N153" s="193" t="str">
        <f t="shared" si="76"/>
        <v/>
      </c>
      <c r="O153" s="193" t="str">
        <f t="shared" si="77"/>
        <v/>
      </c>
      <c r="P153" s="194" t="str">
        <f t="shared" si="78"/>
        <v/>
      </c>
      <c r="Q153" s="195"/>
      <c r="R153" s="151" t="str">
        <f t="shared" si="53"/>
        <v/>
      </c>
      <c r="S153" s="151" t="str">
        <f t="shared" si="79"/>
        <v/>
      </c>
      <c r="T153" s="151" t="str">
        <f t="shared" si="79"/>
        <v/>
      </c>
      <c r="U153" s="145" t="str">
        <f t="shared" si="55"/>
        <v/>
      </c>
      <c r="V153" s="145" t="str">
        <f t="shared" si="56"/>
        <v/>
      </c>
      <c r="W153" s="145" t="str">
        <f t="shared" si="57"/>
        <v/>
      </c>
      <c r="X153" s="196" t="str">
        <f t="shared" si="58"/>
        <v/>
      </c>
      <c r="Y153" s="196" t="str">
        <f t="shared" si="59"/>
        <v/>
      </c>
      <c r="Z153" s="196" t="str">
        <f t="shared" si="60"/>
        <v/>
      </c>
      <c r="AA153" s="151" t="str">
        <f t="shared" si="61"/>
        <v/>
      </c>
      <c r="AB153" s="150" t="str">
        <f t="shared" si="62"/>
        <v/>
      </c>
      <c r="AC153" s="151" t="str">
        <f t="shared" si="63"/>
        <v/>
      </c>
      <c r="AD153" s="151" t="str">
        <f t="shared" si="64"/>
        <v/>
      </c>
      <c r="AE153" s="151" t="str">
        <f t="shared" si="65"/>
        <v/>
      </c>
      <c r="AF153" s="151" t="str">
        <f t="shared" si="80"/>
        <v/>
      </c>
    </row>
    <row r="154" spans="1:32" ht="20.100000000000001" customHeight="1">
      <c r="B154" s="71"/>
      <c r="C154" s="149">
        <f t="shared" si="67"/>
        <v>15</v>
      </c>
      <c r="D154" s="326" t="str">
        <f t="shared" si="67"/>
        <v/>
      </c>
      <c r="E154" s="327"/>
      <c r="F154" s="191" t="str">
        <f t="shared" si="68"/>
        <v/>
      </c>
      <c r="G154" s="191" t="str">
        <f t="shared" si="81"/>
        <v/>
      </c>
      <c r="H154" s="192" t="str">
        <f t="shared" si="70"/>
        <v/>
      </c>
      <c r="I154" s="148" t="str">
        <f t="shared" si="82"/>
        <v/>
      </c>
      <c r="J154" s="148" t="str">
        <f t="shared" si="83"/>
        <v/>
      </c>
      <c r="K154" s="192" t="str">
        <f t="shared" si="84"/>
        <v/>
      </c>
      <c r="L154" s="197" t="str">
        <f t="shared" si="74"/>
        <v/>
      </c>
      <c r="M154" s="147" t="str">
        <f t="shared" si="75"/>
        <v/>
      </c>
      <c r="N154" s="193" t="str">
        <f t="shared" si="76"/>
        <v/>
      </c>
      <c r="O154" s="193" t="str">
        <f t="shared" si="77"/>
        <v/>
      </c>
      <c r="P154" s="194" t="str">
        <f t="shared" si="78"/>
        <v/>
      </c>
      <c r="Q154" s="195"/>
      <c r="R154" s="151" t="str">
        <f t="shared" si="53"/>
        <v/>
      </c>
      <c r="S154" s="151" t="str">
        <f t="shared" si="79"/>
        <v/>
      </c>
      <c r="T154" s="151" t="str">
        <f t="shared" si="79"/>
        <v/>
      </c>
      <c r="U154" s="145" t="str">
        <f t="shared" si="55"/>
        <v/>
      </c>
      <c r="V154" s="145" t="str">
        <f t="shared" si="56"/>
        <v/>
      </c>
      <c r="W154" s="145" t="str">
        <f t="shared" si="57"/>
        <v/>
      </c>
      <c r="X154" s="196" t="str">
        <f t="shared" si="58"/>
        <v/>
      </c>
      <c r="Y154" s="196" t="str">
        <f t="shared" si="59"/>
        <v/>
      </c>
      <c r="Z154" s="196" t="str">
        <f t="shared" si="60"/>
        <v/>
      </c>
      <c r="AA154" s="151" t="str">
        <f t="shared" si="61"/>
        <v/>
      </c>
      <c r="AB154" s="150" t="str">
        <f t="shared" si="62"/>
        <v/>
      </c>
      <c r="AC154" s="151" t="str">
        <f t="shared" si="63"/>
        <v/>
      </c>
      <c r="AD154" s="151" t="str">
        <f t="shared" si="64"/>
        <v/>
      </c>
      <c r="AE154" s="151" t="str">
        <f t="shared" si="65"/>
        <v/>
      </c>
      <c r="AF154" s="151" t="str">
        <f t="shared" si="80"/>
        <v/>
      </c>
    </row>
    <row r="155" spans="1:32" ht="20.100000000000001" customHeight="1">
      <c r="B155" s="71"/>
      <c r="C155" s="149">
        <f t="shared" si="67"/>
        <v>16</v>
      </c>
      <c r="D155" s="326" t="str">
        <f t="shared" si="67"/>
        <v/>
      </c>
      <c r="E155" s="327"/>
      <c r="F155" s="191" t="str">
        <f t="shared" si="68"/>
        <v/>
      </c>
      <c r="G155" s="191" t="str">
        <f t="shared" si="81"/>
        <v/>
      </c>
      <c r="H155" s="192" t="str">
        <f t="shared" si="70"/>
        <v/>
      </c>
      <c r="I155" s="148" t="str">
        <f t="shared" si="82"/>
        <v/>
      </c>
      <c r="J155" s="148" t="str">
        <f t="shared" si="83"/>
        <v/>
      </c>
      <c r="K155" s="192" t="str">
        <f t="shared" si="84"/>
        <v/>
      </c>
      <c r="L155" s="197" t="str">
        <f t="shared" si="74"/>
        <v/>
      </c>
      <c r="M155" s="147" t="str">
        <f t="shared" si="75"/>
        <v/>
      </c>
      <c r="N155" s="193" t="str">
        <f t="shared" si="76"/>
        <v/>
      </c>
      <c r="O155" s="193" t="str">
        <f t="shared" si="77"/>
        <v/>
      </c>
      <c r="P155" s="194" t="str">
        <f t="shared" si="78"/>
        <v/>
      </c>
      <c r="Q155" s="195"/>
      <c r="R155" s="151" t="str">
        <f t="shared" si="53"/>
        <v/>
      </c>
      <c r="S155" s="151" t="str">
        <f t="shared" si="79"/>
        <v/>
      </c>
      <c r="T155" s="151" t="str">
        <f t="shared" si="79"/>
        <v/>
      </c>
      <c r="U155" s="145" t="str">
        <f t="shared" si="55"/>
        <v/>
      </c>
      <c r="V155" s="145" t="str">
        <f t="shared" si="56"/>
        <v/>
      </c>
      <c r="W155" s="145" t="str">
        <f t="shared" si="57"/>
        <v/>
      </c>
      <c r="X155" s="196" t="str">
        <f t="shared" si="58"/>
        <v/>
      </c>
      <c r="Y155" s="196" t="str">
        <f t="shared" si="59"/>
        <v/>
      </c>
      <c r="Z155" s="196" t="str">
        <f t="shared" si="60"/>
        <v/>
      </c>
      <c r="AA155" s="151" t="str">
        <f t="shared" si="61"/>
        <v/>
      </c>
      <c r="AB155" s="150" t="str">
        <f t="shared" si="62"/>
        <v/>
      </c>
      <c r="AC155" s="151" t="str">
        <f t="shared" si="63"/>
        <v/>
      </c>
      <c r="AD155" s="151" t="str">
        <f t="shared" si="64"/>
        <v/>
      </c>
      <c r="AE155" s="151" t="str">
        <f t="shared" si="65"/>
        <v/>
      </c>
      <c r="AF155" s="151" t="str">
        <f t="shared" si="80"/>
        <v/>
      </c>
    </row>
    <row r="156" spans="1:32" ht="20.100000000000001" customHeight="1">
      <c r="B156" s="71"/>
      <c r="C156" s="149">
        <f t="shared" si="67"/>
        <v>17</v>
      </c>
      <c r="D156" s="326" t="str">
        <f t="shared" si="67"/>
        <v/>
      </c>
      <c r="E156" s="327"/>
      <c r="F156" s="191" t="str">
        <f t="shared" si="68"/>
        <v/>
      </c>
      <c r="G156" s="191" t="str">
        <f t="shared" si="81"/>
        <v/>
      </c>
      <c r="H156" s="192" t="str">
        <f t="shared" si="70"/>
        <v/>
      </c>
      <c r="I156" s="148" t="str">
        <f t="shared" si="82"/>
        <v/>
      </c>
      <c r="J156" s="148" t="str">
        <f t="shared" si="83"/>
        <v/>
      </c>
      <c r="K156" s="192" t="str">
        <f t="shared" si="84"/>
        <v/>
      </c>
      <c r="L156" s="197" t="str">
        <f t="shared" si="74"/>
        <v/>
      </c>
      <c r="M156" s="147" t="str">
        <f t="shared" si="75"/>
        <v/>
      </c>
      <c r="N156" s="193" t="str">
        <f t="shared" si="76"/>
        <v/>
      </c>
      <c r="O156" s="193" t="str">
        <f t="shared" si="77"/>
        <v/>
      </c>
      <c r="P156" s="194" t="str">
        <f t="shared" si="78"/>
        <v/>
      </c>
      <c r="Q156" s="195"/>
      <c r="R156" s="151" t="str">
        <f t="shared" si="53"/>
        <v/>
      </c>
      <c r="S156" s="151" t="str">
        <f t="shared" si="79"/>
        <v/>
      </c>
      <c r="T156" s="151" t="str">
        <f t="shared" si="79"/>
        <v/>
      </c>
      <c r="U156" s="145" t="str">
        <f t="shared" si="55"/>
        <v/>
      </c>
      <c r="V156" s="145" t="str">
        <f t="shared" si="56"/>
        <v/>
      </c>
      <c r="W156" s="145" t="str">
        <f t="shared" si="57"/>
        <v/>
      </c>
      <c r="X156" s="196" t="str">
        <f t="shared" si="58"/>
        <v/>
      </c>
      <c r="Y156" s="196" t="str">
        <f t="shared" si="59"/>
        <v/>
      </c>
      <c r="Z156" s="196" t="str">
        <f t="shared" si="60"/>
        <v/>
      </c>
      <c r="AA156" s="151" t="str">
        <f t="shared" si="61"/>
        <v/>
      </c>
      <c r="AB156" s="150" t="str">
        <f t="shared" si="62"/>
        <v/>
      </c>
      <c r="AC156" s="151" t="str">
        <f t="shared" si="63"/>
        <v/>
      </c>
      <c r="AD156" s="151" t="str">
        <f t="shared" si="64"/>
        <v/>
      </c>
      <c r="AE156" s="151" t="str">
        <f t="shared" si="65"/>
        <v/>
      </c>
      <c r="AF156" s="151" t="str">
        <f t="shared" si="80"/>
        <v/>
      </c>
    </row>
    <row r="157" spans="1:32" ht="20.100000000000001" customHeight="1">
      <c r="B157" s="71"/>
      <c r="C157" s="149">
        <f t="shared" si="67"/>
        <v>18</v>
      </c>
      <c r="D157" s="326" t="str">
        <f t="shared" si="67"/>
        <v/>
      </c>
      <c r="E157" s="327"/>
      <c r="F157" s="191" t="str">
        <f t="shared" si="68"/>
        <v/>
      </c>
      <c r="G157" s="191" t="str">
        <f t="shared" si="81"/>
        <v/>
      </c>
      <c r="H157" s="192" t="str">
        <f t="shared" si="70"/>
        <v/>
      </c>
      <c r="I157" s="148" t="str">
        <f t="shared" si="82"/>
        <v/>
      </c>
      <c r="J157" s="148" t="str">
        <f t="shared" si="83"/>
        <v/>
      </c>
      <c r="K157" s="192" t="str">
        <f t="shared" si="84"/>
        <v/>
      </c>
      <c r="L157" s="197" t="str">
        <f t="shared" si="74"/>
        <v/>
      </c>
      <c r="M157" s="147" t="str">
        <f t="shared" si="75"/>
        <v/>
      </c>
      <c r="N157" s="193" t="str">
        <f t="shared" si="76"/>
        <v/>
      </c>
      <c r="O157" s="193" t="str">
        <f t="shared" si="77"/>
        <v/>
      </c>
      <c r="P157" s="194" t="str">
        <f t="shared" si="78"/>
        <v/>
      </c>
      <c r="Q157" s="195"/>
      <c r="R157" s="151" t="str">
        <f t="shared" si="53"/>
        <v/>
      </c>
      <c r="S157" s="151" t="str">
        <f t="shared" si="79"/>
        <v/>
      </c>
      <c r="T157" s="151" t="str">
        <f t="shared" si="79"/>
        <v/>
      </c>
      <c r="U157" s="145" t="str">
        <f t="shared" si="55"/>
        <v/>
      </c>
      <c r="V157" s="145" t="str">
        <f t="shared" si="56"/>
        <v/>
      </c>
      <c r="W157" s="145" t="str">
        <f t="shared" si="57"/>
        <v/>
      </c>
      <c r="X157" s="196" t="str">
        <f t="shared" si="58"/>
        <v/>
      </c>
      <c r="Y157" s="196" t="str">
        <f t="shared" si="59"/>
        <v/>
      </c>
      <c r="Z157" s="196" t="str">
        <f t="shared" si="60"/>
        <v/>
      </c>
      <c r="AA157" s="151" t="str">
        <f t="shared" si="61"/>
        <v/>
      </c>
      <c r="AB157" s="150" t="str">
        <f t="shared" si="62"/>
        <v/>
      </c>
      <c r="AC157" s="151" t="str">
        <f t="shared" si="63"/>
        <v/>
      </c>
      <c r="AD157" s="151" t="str">
        <f t="shared" si="64"/>
        <v/>
      </c>
      <c r="AE157" s="151" t="str">
        <f t="shared" si="65"/>
        <v/>
      </c>
      <c r="AF157" s="151" t="str">
        <f t="shared" si="80"/>
        <v/>
      </c>
    </row>
    <row r="158" spans="1:32" ht="20.100000000000001" customHeight="1" thickBot="1">
      <c r="B158" s="71"/>
      <c r="C158" s="149">
        <f t="shared" si="67"/>
        <v>19</v>
      </c>
      <c r="D158" s="326" t="str">
        <f t="shared" si="67"/>
        <v/>
      </c>
      <c r="E158" s="327"/>
      <c r="F158" s="191" t="str">
        <f t="shared" si="68"/>
        <v/>
      </c>
      <c r="G158" s="191" t="str">
        <f t="shared" si="81"/>
        <v/>
      </c>
      <c r="H158" s="192" t="str">
        <f t="shared" si="70"/>
        <v/>
      </c>
      <c r="I158" s="148" t="str">
        <f t="shared" si="82"/>
        <v/>
      </c>
      <c r="J158" s="148" t="str">
        <f t="shared" si="83"/>
        <v/>
      </c>
      <c r="K158" s="192" t="str">
        <f t="shared" si="84"/>
        <v/>
      </c>
      <c r="L158" s="197" t="str">
        <f t="shared" si="74"/>
        <v/>
      </c>
      <c r="M158" s="147" t="str">
        <f t="shared" si="75"/>
        <v/>
      </c>
      <c r="N158" s="193" t="str">
        <f t="shared" si="76"/>
        <v/>
      </c>
      <c r="O158" s="193" t="str">
        <f t="shared" si="77"/>
        <v/>
      </c>
      <c r="P158" s="194" t="str">
        <f t="shared" si="78"/>
        <v/>
      </c>
      <c r="Q158" s="195"/>
      <c r="R158" s="172" t="str">
        <f t="shared" si="53"/>
        <v/>
      </c>
      <c r="S158" s="172" t="str">
        <f t="shared" si="79"/>
        <v/>
      </c>
      <c r="T158" s="172" t="str">
        <f t="shared" si="79"/>
        <v/>
      </c>
      <c r="U158" s="203" t="str">
        <f>IF(E126="","",IF(AND(R94=1,S94&gt;T94),AE117/MAX(X117,Y117,Z117),"NA"))</f>
        <v/>
      </c>
      <c r="V158" s="203" t="str">
        <f>IF(E126="","",IF(AND(R94=1,S94&gt;T94),X94/(S94-W94),"NA"))</f>
        <v/>
      </c>
      <c r="W158" s="203" t="str">
        <f>IF(E126="","",IF(AND(R94=1,S94&gt;T94),Y94/(T94-V94),"NA"))</f>
        <v/>
      </c>
      <c r="X158" s="204" t="str">
        <f>IF(E126="","",IF(AND(R94=1,S94&gt;T94),$I$98/12,"NA"))</f>
        <v/>
      </c>
      <c r="Y158" s="204" t="str">
        <f>IF(E126="","",IF(AND(R94=1,S94&gt;T94),5*X158*($H$28*12)^4*(COS(AB117)^2/AD117+SIN(AB117)^2/AE117)/(384*$H$32),"NA"))</f>
        <v/>
      </c>
      <c r="Z158" s="204" t="str">
        <f>IF(E126="","",IF(AND(R94=1,S94&gt;T94),5*X158*($H$28*12)^4/(384*$H$32*X94),"NA"))</f>
        <v/>
      </c>
      <c r="AA158" s="172" t="str">
        <f>IF(E126="","",IF(AND(R94=1,S94&gt;T94),Y158/Z158,"NA"))</f>
        <v/>
      </c>
      <c r="AB158" s="171" t="str">
        <f>IF(E126="","",IF(AND($H$23="ASD",R94=1,S94&gt;T94),1.5*$H$31/(1.67*(COS(AB117)/AF117)+(SIN(AB117)/W158)),IF(AND($H$23="LRFD",R94=1,S94&gt;T94),0.9*1.5*$H$31/(COS(AB117)/AF117)+(SIN(AB117)/W158),"NA")))</f>
        <v/>
      </c>
      <c r="AC158" s="172" t="str">
        <f>IF(E126="","",IF(AND(R158=1,S158&gt;T158),X94/(S94-W94),"NA"))</f>
        <v/>
      </c>
      <c r="AD158" s="172" t="str">
        <f>IF(E126="","",IF(AND(R158=1,S158&gt;T158),(AA94*SIN(AB117-AD94))/U94,"NA"))</f>
        <v/>
      </c>
      <c r="AE158" s="172" t="str">
        <f t="shared" si="65"/>
        <v/>
      </c>
      <c r="AF158" s="172" t="str">
        <f t="shared" si="80"/>
        <v/>
      </c>
    </row>
    <row r="159" spans="1:32" ht="20.100000000000001" customHeight="1" thickBot="1">
      <c r="B159" s="71"/>
      <c r="C159" s="168">
        <f t="shared" si="67"/>
        <v>20</v>
      </c>
      <c r="D159" s="361" t="str">
        <f t="shared" si="67"/>
        <v/>
      </c>
      <c r="E159" s="362"/>
      <c r="F159" s="198" t="str">
        <f t="shared" si="68"/>
        <v/>
      </c>
      <c r="G159" s="198" t="str">
        <f t="shared" si="81"/>
        <v/>
      </c>
      <c r="H159" s="199" t="str">
        <f t="shared" si="70"/>
        <v/>
      </c>
      <c r="I159" s="158" t="str">
        <f t="shared" si="82"/>
        <v/>
      </c>
      <c r="J159" s="158" t="str">
        <f t="shared" si="83"/>
        <v/>
      </c>
      <c r="K159" s="199" t="str">
        <f t="shared" si="84"/>
        <v/>
      </c>
      <c r="L159" s="200" t="str">
        <f>IF(D159="","",IF(AND(R94=1,S94&gt;T94),AA158,IF(S94=T94,1.56,1)))</f>
        <v/>
      </c>
      <c r="M159" s="157" t="str">
        <f>IF(D159="","",IF(AND(R94=1,S94&gt;T94),(5*($O$82/12)*(H$28*12)^4*COS(AB117)*SIN(AB117)*(1/AD117-1/AE117))/(384*$H$32),IF(AND(R94=1,S94=T94),0.94*5*($O$82/12)*(H$28*12)^4/(384*$H$32*H126),"NA")))</f>
        <v/>
      </c>
      <c r="N159" s="201" t="str">
        <f>IF(D159="","",IF(AND(R94=1,S94&gt;T94),(5*($O$88/12)*(H$28*12)^4*COS(AB117)*SIN(AB117)*(1/AD117-1/AE117))/(384*$H$32),IF(AND(R94=1,S94=T94),0.94*5*($O$88/12)*(H$28*12)^4/(384*$H$32*H126),"NA")))</f>
        <v/>
      </c>
      <c r="O159" s="201" t="str">
        <f>IF(D159="","",IF(R94=2,"NA",M159+N159))</f>
        <v/>
      </c>
      <c r="P159" s="202" t="str">
        <f t="shared" si="78"/>
        <v/>
      </c>
      <c r="Q159" s="195"/>
      <c r="R159" s="161"/>
      <c r="S159" s="162"/>
      <c r="T159" s="162"/>
      <c r="U159" s="164"/>
      <c r="V159" s="164"/>
      <c r="W159" s="164"/>
      <c r="X159" s="163"/>
      <c r="Y159" s="163"/>
      <c r="Z159" s="163"/>
      <c r="AA159" s="162"/>
      <c r="AB159" s="206"/>
      <c r="AC159" s="162"/>
      <c r="AD159" s="162"/>
      <c r="AE159" s="162"/>
      <c r="AF159" s="207"/>
    </row>
    <row r="160" spans="1:32" ht="20.100000000000001" customHeight="1">
      <c r="A160" s="105"/>
      <c r="B160" s="71"/>
      <c r="C160" s="181"/>
      <c r="D160" s="181"/>
      <c r="E160" s="181"/>
      <c r="F160" s="181"/>
      <c r="G160" s="163"/>
      <c r="H160" s="163"/>
      <c r="I160" s="205"/>
      <c r="J160" s="62"/>
      <c r="K160" s="181"/>
      <c r="L160" s="181"/>
      <c r="M160" s="181"/>
      <c r="N160" s="181"/>
      <c r="O160" s="181"/>
      <c r="P160" s="181"/>
      <c r="Q160" s="182"/>
      <c r="R160" s="161"/>
      <c r="S160" s="162"/>
      <c r="T160" s="162"/>
      <c r="U160" s="164"/>
      <c r="V160" s="164"/>
      <c r="W160" s="164"/>
      <c r="X160" s="163"/>
      <c r="Y160" s="163"/>
      <c r="Z160" s="163"/>
      <c r="AA160" s="162"/>
      <c r="AB160" s="206"/>
      <c r="AC160" s="162"/>
      <c r="AD160" s="162"/>
      <c r="AE160" s="162"/>
      <c r="AF160" s="207"/>
    </row>
    <row r="161" spans="2:32" ht="20.100000000000001" customHeight="1">
      <c r="B161" s="74"/>
      <c r="C161" s="208"/>
      <c r="D161" s="208"/>
      <c r="E161" s="208"/>
      <c r="F161" s="208"/>
      <c r="G161" s="177"/>
      <c r="H161" s="177"/>
      <c r="I161" s="209"/>
      <c r="J161" s="105"/>
      <c r="K161" s="208"/>
      <c r="L161" s="208"/>
      <c r="M161" s="208"/>
      <c r="N161" s="208"/>
      <c r="O161" s="208"/>
      <c r="P161" s="208"/>
      <c r="Q161" s="210"/>
      <c r="R161" s="175"/>
      <c r="S161" s="176"/>
      <c r="T161" s="176"/>
      <c r="U161" s="178"/>
      <c r="V161" s="178"/>
      <c r="W161" s="178"/>
      <c r="X161" s="177"/>
      <c r="Y161" s="177"/>
      <c r="Z161" s="177"/>
      <c r="AA161" s="176"/>
      <c r="AB161" s="211"/>
      <c r="AC161" s="176"/>
      <c r="AD161" s="176"/>
      <c r="AE161" s="176"/>
      <c r="AF161" s="212"/>
    </row>
    <row r="162" spans="2:32" ht="20.100000000000001" customHeight="1" thickBot="1">
      <c r="B162" s="71"/>
      <c r="C162" s="96" t="s">
        <v>961</v>
      </c>
      <c r="D162" s="62"/>
      <c r="E162" s="62"/>
      <c r="F162" s="62"/>
      <c r="G162" s="62"/>
      <c r="H162" s="62"/>
      <c r="I162" s="62"/>
      <c r="J162" s="62"/>
      <c r="K162" s="62"/>
      <c r="L162" s="62"/>
      <c r="M162" s="62"/>
      <c r="N162" s="62"/>
      <c r="O162" s="62"/>
      <c r="P162" s="62"/>
      <c r="Q162" s="73"/>
      <c r="R162" s="68"/>
      <c r="S162" s="69"/>
      <c r="T162" s="69"/>
      <c r="U162" s="69"/>
      <c r="V162" s="69"/>
      <c r="W162" s="69"/>
      <c r="X162" s="213"/>
      <c r="Y162" s="213"/>
      <c r="Z162" s="69"/>
      <c r="AA162" s="69"/>
      <c r="AB162" s="69"/>
      <c r="AC162" s="69"/>
      <c r="AD162" s="69"/>
      <c r="AE162" s="69"/>
      <c r="AF162" s="70"/>
    </row>
    <row r="163" spans="2:32" ht="20.100000000000001" customHeight="1">
      <c r="B163" s="71"/>
      <c r="C163" s="62"/>
      <c r="D163" s="162">
        <v>1</v>
      </c>
      <c r="E163" s="62" t="s">
        <v>730</v>
      </c>
      <c r="F163" s="62"/>
      <c r="G163" s="62"/>
      <c r="H163" s="62"/>
      <c r="I163" s="62"/>
      <c r="J163" s="62"/>
      <c r="K163" s="62"/>
      <c r="L163" s="62"/>
      <c r="M163" s="62"/>
      <c r="N163" s="62"/>
      <c r="O163" s="62"/>
      <c r="P163" s="62"/>
      <c r="Q163" s="73"/>
      <c r="R163" s="374" t="s">
        <v>751</v>
      </c>
      <c r="S163" s="374"/>
      <c r="T163" s="374"/>
      <c r="U163" s="374"/>
      <c r="V163" s="374"/>
      <c r="W163" s="374"/>
      <c r="X163" s="374"/>
      <c r="Y163" s="374"/>
      <c r="Z163" s="374"/>
      <c r="AA163" s="374"/>
      <c r="AB163" s="374"/>
      <c r="AC163" s="374"/>
      <c r="AD163" s="374"/>
      <c r="AE163" s="374"/>
      <c r="AF163" s="374"/>
    </row>
    <row r="164" spans="2:32" ht="20.100000000000001" customHeight="1">
      <c r="B164" s="71"/>
      <c r="C164" s="62"/>
      <c r="D164" s="162">
        <v>2</v>
      </c>
      <c r="E164" s="104" t="s">
        <v>801</v>
      </c>
      <c r="F164" s="62"/>
      <c r="G164" s="62"/>
      <c r="H164" s="62"/>
      <c r="I164" s="62"/>
      <c r="J164" s="62"/>
      <c r="K164" s="62"/>
      <c r="L164" s="62"/>
      <c r="M164" s="62"/>
      <c r="N164" s="62"/>
      <c r="O164" s="62"/>
      <c r="P164" s="62"/>
      <c r="Q164" s="73"/>
      <c r="R164" s="375"/>
      <c r="S164" s="375"/>
      <c r="T164" s="375"/>
      <c r="U164" s="375"/>
      <c r="V164" s="375"/>
      <c r="W164" s="375"/>
      <c r="X164" s="375"/>
      <c r="Y164" s="375"/>
      <c r="Z164" s="375"/>
      <c r="AA164" s="375"/>
      <c r="AB164" s="375"/>
      <c r="AC164" s="375"/>
      <c r="AD164" s="375"/>
      <c r="AE164" s="375"/>
      <c r="AF164" s="375"/>
    </row>
    <row r="165" spans="2:32" ht="20.100000000000001" customHeight="1">
      <c r="B165" s="71"/>
      <c r="C165" s="62"/>
      <c r="D165" s="162">
        <v>3</v>
      </c>
      <c r="E165" s="390" t="s">
        <v>864</v>
      </c>
      <c r="F165" s="390"/>
      <c r="G165" s="390"/>
      <c r="H165" s="390"/>
      <c r="I165" s="390"/>
      <c r="J165" s="390"/>
      <c r="K165" s="390"/>
      <c r="L165" s="390"/>
      <c r="M165" s="390"/>
      <c r="N165" s="390"/>
      <c r="O165" s="390"/>
      <c r="P165" s="390"/>
      <c r="Q165" s="214"/>
      <c r="R165" s="316" t="s">
        <v>786</v>
      </c>
      <c r="S165" s="316"/>
      <c r="T165" s="316"/>
      <c r="U165" s="363" t="s">
        <v>771</v>
      </c>
      <c r="V165" s="363"/>
      <c r="W165" s="363"/>
      <c r="X165" s="363"/>
      <c r="Y165" s="363"/>
      <c r="Z165" s="363"/>
      <c r="AA165" s="363"/>
      <c r="AB165" s="363"/>
      <c r="AC165" s="316" t="s">
        <v>787</v>
      </c>
      <c r="AD165" s="316"/>
      <c r="AE165" s="295" t="s">
        <v>741</v>
      </c>
      <c r="AF165" s="295"/>
    </row>
    <row r="166" spans="2:32" ht="20.100000000000001" customHeight="1">
      <c r="B166" s="71"/>
      <c r="C166" s="62"/>
      <c r="D166" s="162"/>
      <c r="E166" s="390"/>
      <c r="F166" s="390"/>
      <c r="G166" s="390"/>
      <c r="H166" s="390"/>
      <c r="I166" s="390"/>
      <c r="J166" s="390"/>
      <c r="K166" s="390"/>
      <c r="L166" s="390"/>
      <c r="M166" s="390"/>
      <c r="N166" s="390"/>
      <c r="O166" s="390"/>
      <c r="P166" s="390"/>
      <c r="Q166" s="214"/>
      <c r="R166" s="316"/>
      <c r="S166" s="316"/>
      <c r="T166" s="316"/>
      <c r="U166" s="363"/>
      <c r="V166" s="363"/>
      <c r="W166" s="363"/>
      <c r="X166" s="363"/>
      <c r="Y166" s="363"/>
      <c r="Z166" s="363"/>
      <c r="AA166" s="363"/>
      <c r="AB166" s="363"/>
      <c r="AC166" s="316"/>
      <c r="AD166" s="316"/>
      <c r="AE166" s="295"/>
      <c r="AF166" s="295"/>
    </row>
    <row r="167" spans="2:32" ht="14.25" customHeight="1">
      <c r="B167" s="71"/>
      <c r="C167" s="62"/>
      <c r="D167" s="162">
        <v>4</v>
      </c>
      <c r="E167" s="215" t="s">
        <v>906</v>
      </c>
      <c r="F167" s="248"/>
      <c r="G167" s="248"/>
      <c r="H167" s="248"/>
      <c r="I167" s="248"/>
      <c r="J167" s="248"/>
      <c r="K167" s="248"/>
      <c r="L167" s="248"/>
      <c r="M167" s="248"/>
      <c r="N167" s="248"/>
      <c r="O167" s="248"/>
      <c r="P167" s="248"/>
      <c r="Q167" s="214"/>
      <c r="R167" s="408" t="s">
        <v>782</v>
      </c>
      <c r="S167" s="408" t="s">
        <v>784</v>
      </c>
      <c r="T167" s="408" t="s">
        <v>785</v>
      </c>
      <c r="U167" s="408" t="s">
        <v>774</v>
      </c>
      <c r="V167" s="408"/>
      <c r="W167" s="408"/>
      <c r="X167" s="408"/>
      <c r="Y167" s="325" t="s">
        <v>742</v>
      </c>
      <c r="Z167" s="325" t="s">
        <v>783</v>
      </c>
      <c r="AA167" s="325" t="s">
        <v>749</v>
      </c>
      <c r="AB167" s="325" t="s">
        <v>752</v>
      </c>
      <c r="AC167" s="325" t="s">
        <v>750</v>
      </c>
      <c r="AD167" s="325" t="s">
        <v>753</v>
      </c>
      <c r="AE167" s="408" t="s">
        <v>775</v>
      </c>
      <c r="AF167" s="408" t="s">
        <v>956</v>
      </c>
    </row>
    <row r="168" spans="2:32" ht="14.25" customHeight="1">
      <c r="B168" s="71"/>
      <c r="C168" s="62"/>
      <c r="D168" s="162">
        <v>5</v>
      </c>
      <c r="E168" s="215" t="s">
        <v>917</v>
      </c>
      <c r="F168" s="248"/>
      <c r="G168" s="248"/>
      <c r="H168" s="248"/>
      <c r="I168" s="248"/>
      <c r="J168" s="248"/>
      <c r="K168" s="248"/>
      <c r="L168" s="248"/>
      <c r="M168" s="248"/>
      <c r="N168" s="248"/>
      <c r="O168" s="248"/>
      <c r="P168" s="248"/>
      <c r="Q168" s="214"/>
      <c r="R168" s="408"/>
      <c r="S168" s="408"/>
      <c r="T168" s="408"/>
      <c r="U168" s="216" t="s">
        <v>746</v>
      </c>
      <c r="V168" s="216" t="s">
        <v>745</v>
      </c>
      <c r="W168" s="217" t="s">
        <v>780</v>
      </c>
      <c r="X168" s="217" t="s">
        <v>781</v>
      </c>
      <c r="Y168" s="325"/>
      <c r="Z168" s="325"/>
      <c r="AA168" s="325"/>
      <c r="AB168" s="325"/>
      <c r="AC168" s="325"/>
      <c r="AD168" s="325"/>
      <c r="AE168" s="408"/>
      <c r="AF168" s="408"/>
    </row>
    <row r="169" spans="2:32" ht="14.25" customHeight="1">
      <c r="B169" s="71"/>
      <c r="C169" s="62"/>
      <c r="D169" s="162">
        <v>6</v>
      </c>
      <c r="E169" s="218" t="s">
        <v>916</v>
      </c>
      <c r="F169" s="248"/>
      <c r="G169" s="248"/>
      <c r="H169" s="248"/>
      <c r="I169" s="248"/>
      <c r="J169" s="248"/>
      <c r="K169" s="248"/>
      <c r="L169" s="248"/>
      <c r="M169" s="248"/>
      <c r="N169" s="248"/>
      <c r="O169" s="248"/>
      <c r="P169" s="248"/>
      <c r="Q169" s="214"/>
      <c r="R169" s="90" t="e">
        <f ca="1">IF(E107="","",IF(R15=1,"NA",VLOOKUP(1,'AISC Angle Database'!$F$6:$T$333,8,FALSE)))</f>
        <v>#N/A</v>
      </c>
      <c r="S169" s="91" t="e">
        <f t="shared" ref="S169:S175" ca="1" si="85">IF(E107="","",IF(R15=1,"NA",$H$31*W15))</f>
        <v>#N/A</v>
      </c>
      <c r="T169" s="91" t="e">
        <f t="shared" ref="T169:T175" ca="1" si="86">IF(E107="","",IF(R15=1,"NA",IF($H$31*R169&lt;=S169,$H$31*R169,S169)))</f>
        <v>#N/A</v>
      </c>
      <c r="U169" s="219" t="e">
        <f t="shared" ref="U169:U175" ca="1" si="87">IF(E107="","",IF(R15=1,"NA",S15/U15))</f>
        <v>#N/A</v>
      </c>
      <c r="V169" s="219" t="e">
        <f t="shared" ref="V169:V175" ca="1" si="88">IF(E107="","",IF(R15=1,"NA",T15/U15))</f>
        <v>#N/A</v>
      </c>
      <c r="W169" s="89" t="e">
        <f ca="1">IF(E107="","",IF(R15=1,"NA",IF(AND(U169&gt;=$W$213,U169&lt;$W$214),$X$213+((U169-$W$213)/$Y$213)*$Z$213,IF(AND(U169&gt;=$W$214,U169&lt;$W$215),$X$213+((U169-$W$214)/$Y$214)*$Z$214,IF(AND(U169&gt;=$W$215,U169&lt;$W$216),$X$215+((U169-$W$215)/$Y$215)*$Z$215,IF(AND(U169&gt;=$W$216,U169&lt;$W$217),$X$216+((U169-$W$216)/$Y$216)*$Z$216,IF(AND(U169&gt;=$W$217,U169&lt;$W$218),$X$217+((U169-$W$217)/$Y$217)*$Z$217,IF(AND(U169&gt;=$W$218,U169&lt;$W$219),$X$218+((U169-$W$218)/$Y$218)*$Z$218,IF(AND(U169&gt;=$W$219,U169&lt;$W$220),$X$219+((U169-$W$219)/$Y$219)*$Z$219,IF(AND(U169&gt;=$W$220,U169&lt;$W$221),$X$220+((U169-$W$220)/$Y$220)*$Z$220,IF(AND(U169&gt;=$W$221,U169&lt;$W222),$X$221+((U169-$W$221)/$Y$221)*$Z$221,IF(AND(U169&gt;=$W$222,U169&lt;$W$223),$X$222+((U169-$W$222)/$Y$222)*$Z$222,0.333))))))))))))</f>
        <v>#N/A</v>
      </c>
      <c r="X169" s="89" t="e">
        <f t="shared" ref="X169:X175" ca="1" si="89">IF(E107="","",IF(R15=1,"NA",IF(AND(V169&gt;=$W$213,V169&lt;$W$214),$X$213+((V169-$W$213)/$Y$213)*$Z$213,IF(AND(V169&gt;=$W$214,V169&lt;$W$215),$X$213+((V169-$W$214)/$Y$214)*$Z$214,IF(AND(V169&gt;=$W$215,V169&lt;$W$216),$X$215+((V169-$W$215)/$Y$215)*$Z$215,IF(AND(V169&gt;=$W$216,V169&lt;$W$217),$X$216+((V169-$W$216)/$Y$216)*$Z$216,IF(AND(V169&gt;=$W$217,V169&lt;$W$218),$X$217+((V169-$W$217)/$Y$217)*$Z$217,IF(AND(V169&gt;=$W$218,V169&lt;$W$219),$X$218+((V169-$W$218)/$Y$218)*$Z$218,IF(AND(V169&gt;=$W$219,V169&lt;$W$220),$X$219+((V169-$W$219)/$Y$219)*$Z$219,IF(AND(V169&gt;=$W$220,V169&lt;$W$221),$X$220+((V169-$W$220)/$Y$220)*$Z$220,IF(AND(V169&gt;=$W$221,V169&lt;$W$222),$X$221+((V169-$W$221)/$Y$221)*$Z$221,IF(AND(V169&gt;=$W$222,V169&lt;$W$223),$X$222+((V169-$W$222)/$Y$222)*$Z$222,0.333))))))))))))</f>
        <v>#N/A</v>
      </c>
      <c r="Y169" s="89" t="e">
        <f t="shared" ref="Y169:Y175" ca="1" si="90">IF(E107="","",IF(R15=1,"NA",(S15*U15^3*W169+(T15-U15)*U15^3*X169)*2))</f>
        <v>#N/A</v>
      </c>
      <c r="Z169" s="219" t="e">
        <f ca="1">IF(E107="","",IF(R15=1,"NA",VLOOKUP(1,'AISC Angle Database'!$F$6:$T$333,10,FALSE)))</f>
        <v>#N/A</v>
      </c>
      <c r="AA169" s="89" t="e">
        <f t="shared" ref="AA169:AA175" ca="1" si="91">IF(E107="","",IF(R15=1,"NA",-2.3*(S15/($H$29*12)*SQRT(Z169/Y169))))</f>
        <v>#N/A</v>
      </c>
      <c r="AB169" s="91" t="e">
        <f t="shared" ref="AB169:AB175" ca="1" si="92">IF(E107="","",IF(R15=1,"NA",(3.14159*SQRT(29000*Z169*11500*Y169)/($H$29*12))*(AA169+SQRT(1+AA169^2))))</f>
        <v>#N/A</v>
      </c>
      <c r="AC169" s="219" t="e">
        <f t="shared" ref="AC169:AC175" ca="1" si="93">IF(E107="","",IF(R15=1,"NA",$H$31*(1.19-0.5*(S15/(2*U15))*SQRT($H$31/29000))))</f>
        <v>#N/A</v>
      </c>
      <c r="AD169" s="91" t="e">
        <f t="shared" ref="AD169:AD175" ca="1" si="94">IF(E107="","",IF(R15=1,"NA",IF(V15="Y","NA",AC169*W15)))</f>
        <v>#N/A</v>
      </c>
      <c r="AE169" s="91" t="e">
        <f t="shared" ref="AE169:AE175" ca="1" si="95">IF(E107="","",IF(R15=1,"NA",MIN(AD169,AB169,T169)))</f>
        <v>#N/A</v>
      </c>
      <c r="AF169" s="91" t="e">
        <f t="shared" ref="AF169:AF175" ca="1" si="96">IF(E107="","",IF(R15=1,"NA",IF(AND($H$23="ASD",R15=2),AE169/1.67,IF(AND($H$23="LRFD",R15=2),0.9*AE169,"NA"))))</f>
        <v>#N/A</v>
      </c>
    </row>
    <row r="170" spans="2:32">
      <c r="B170" s="71"/>
      <c r="C170" s="62"/>
      <c r="D170" s="162">
        <v>7</v>
      </c>
      <c r="E170" s="218" t="s">
        <v>920</v>
      </c>
      <c r="F170" s="248"/>
      <c r="G170" s="248"/>
      <c r="H170" s="248"/>
      <c r="I170" s="248"/>
      <c r="J170" s="248"/>
      <c r="K170" s="248"/>
      <c r="L170" s="248"/>
      <c r="M170" s="248"/>
      <c r="N170" s="248"/>
      <c r="O170" s="248"/>
      <c r="P170" s="248"/>
      <c r="Q170" s="214"/>
      <c r="R170" s="88" t="e">
        <f ca="1">IF(E108="","",IF(R16=1,"NA",VLOOKUP(2,'AISC Angle Database'!$F$6:$T$333,8,FALSE)))</f>
        <v>#N/A</v>
      </c>
      <c r="S170" s="91" t="e">
        <f t="shared" ca="1" si="85"/>
        <v>#N/A</v>
      </c>
      <c r="T170" s="91" t="e">
        <f t="shared" ca="1" si="86"/>
        <v>#N/A</v>
      </c>
      <c r="U170" s="219" t="e">
        <f t="shared" ca="1" si="87"/>
        <v>#N/A</v>
      </c>
      <c r="V170" s="219" t="e">
        <f t="shared" ca="1" si="88"/>
        <v>#N/A</v>
      </c>
      <c r="W170" s="89" t="e">
        <f ca="1">IF(E108="","",IF(R16=1,"NA",IF(AND(U170&gt;=$W$213,U170&lt;$W$214),$X$213+((U170-$W$213)/$Y$213)*$Z$213,IF(AND(U170&gt;=$W$214,U170&lt;$W$215),$X$213+((U170-$W$214)/$Y$214)*$Z$214,IF(AND(U170&gt;=$W$215,U170&lt;$W$216),$X$215+((U170-$W$215)/$Y$215)*$Z$215,IF(AND(U170&gt;=$W$216,U170&lt;$W$217),$X$216+((U170-$W$216)/$Y$216)*$Z$216,IF(AND(U170&gt;=$W$217,U170&lt;$W$218),$X$217+((U170-$W$217)/$Y$217)*$Z$217,IF(AND(U170&gt;=$W$218,U170&lt;$W$219),$X$218+((U170-$W$218)/$Y$218)*$Z$218,IF(AND(U170&gt;=$W$219,U170&lt;$W$220),$X$219+((U170-$W$219)/$Y$219)*$Z$219,IF(AND(U170&gt;=$W$220,U170&lt;$W$221),$X$220+((U170-$W$220)/$Y$220)*$Z$220,IF(AND(U170&gt;=$W$221,U170&lt;$W222),$X$221+((U170-$W$221)/$Y$221)*$Z$221,IF(AND(U170&gt;=$W$222,U170&lt;$W$223),$X$222+((U170-$W$222)/$Y$222)*$Z$222,0.333))))))))))))</f>
        <v>#N/A</v>
      </c>
      <c r="X170" s="89" t="e">
        <f t="shared" ca="1" si="89"/>
        <v>#N/A</v>
      </c>
      <c r="Y170" s="89" t="e">
        <f t="shared" ca="1" si="90"/>
        <v>#N/A</v>
      </c>
      <c r="Z170" s="219" t="e">
        <f ca="1">IF(E108="","",IF(R16=1,"NA",VLOOKUP(2,'AISC Angle Database'!$F$6:$T$333,10,FALSE)))</f>
        <v>#N/A</v>
      </c>
      <c r="AA170" s="89" t="e">
        <f t="shared" ca="1" si="91"/>
        <v>#N/A</v>
      </c>
      <c r="AB170" s="91" t="e">
        <f t="shared" ca="1" si="92"/>
        <v>#N/A</v>
      </c>
      <c r="AC170" s="219" t="e">
        <f t="shared" ca="1" si="93"/>
        <v>#N/A</v>
      </c>
      <c r="AD170" s="91" t="e">
        <f t="shared" ca="1" si="94"/>
        <v>#N/A</v>
      </c>
      <c r="AE170" s="91" t="e">
        <f t="shared" ca="1" si="95"/>
        <v>#N/A</v>
      </c>
      <c r="AF170" s="91" t="e">
        <f t="shared" ca="1" si="96"/>
        <v>#N/A</v>
      </c>
    </row>
    <row r="171" spans="2:32">
      <c r="B171" s="71"/>
      <c r="C171" s="62"/>
      <c r="D171" s="162"/>
      <c r="E171" s="218"/>
      <c r="F171" s="248"/>
      <c r="G171" s="248"/>
      <c r="H171" s="248"/>
      <c r="I171" s="248"/>
      <c r="J171" s="248"/>
      <c r="K171" s="248"/>
      <c r="L171" s="248"/>
      <c r="M171" s="248"/>
      <c r="N171" s="248"/>
      <c r="O171" s="248"/>
      <c r="P171" s="248"/>
      <c r="Q171" s="214"/>
      <c r="R171" s="88" t="e">
        <f ca="1">IF(E109="","",IF(R17=1,"NA",VLOOKUP(3,'AISC Angle Database'!$F$6:$T$333,8,FALSE)))</f>
        <v>#N/A</v>
      </c>
      <c r="S171" s="91" t="e">
        <f t="shared" ca="1" si="85"/>
        <v>#N/A</v>
      </c>
      <c r="T171" s="91" t="e">
        <f t="shared" ca="1" si="86"/>
        <v>#N/A</v>
      </c>
      <c r="U171" s="219" t="e">
        <f t="shared" ca="1" si="87"/>
        <v>#N/A</v>
      </c>
      <c r="V171" s="219" t="e">
        <f t="shared" ca="1" si="88"/>
        <v>#N/A</v>
      </c>
      <c r="W171" s="89" t="e">
        <f ca="1">IF(E109="","",IF(R17=1,"NA",IF(AND(U171&gt;=$W$213,U171&lt;$W$214),$X$213+((U171-$W$213)/$Y$213)*$Z$213,IF(AND(U171&gt;=$W$214,U171&lt;$W$215),$X$213+((U171-$W$214)/$Y$214)*$Z$214,IF(AND(U171&gt;=$W$215,U171&lt;$W$216),$X$215+((U171-$W$215)/$Y$215)*$Z$215,IF(AND(U171&gt;=$W$216,U171&lt;$W$217),$X$216+((U171-$W$216)/$Y$216)*$Z$216,IF(AND(U171&gt;=$W$217,U171&lt;$W$218),$X$217+((U171-$W$217)/$Y$217)*$Z$217,IF(AND(U171&gt;=$W$218,U171&lt;$W$219),$X$218+((U171-$W$218)/$Y$218)*$Z$218,IF(AND(U171&gt;=$W$219,U171&lt;$W$220),$X$219+((U171-$W$219)/$Y$219)*$Z$219,IF(AND(U171&gt;=$W$220,U171&lt;$W$221),$X$220+((U171-$W$220)/$Y$220)*$Z$220,IF(AND(U171&gt;=$W$221,U171&lt;$W$222),$X$221+((U171-$W$221)/$Y$221)*$Z$221,IF(AND(U171&gt;=$W$222,U171&lt;$W$223),$X$222+((U171-$W$222)/$Y$222)*$Z$222,0.333))))))))))))</f>
        <v>#N/A</v>
      </c>
      <c r="X171" s="89" t="e">
        <f t="shared" ca="1" si="89"/>
        <v>#N/A</v>
      </c>
      <c r="Y171" s="89" t="e">
        <f t="shared" ca="1" si="90"/>
        <v>#N/A</v>
      </c>
      <c r="Z171" s="219" t="e">
        <f ca="1">IF(E109="","",IF(R17=1,"NA",VLOOKUP(3,'AISC Angle Database'!$F$6:$T$333,10,FALSE)))</f>
        <v>#N/A</v>
      </c>
      <c r="AA171" s="89" t="e">
        <f t="shared" ca="1" si="91"/>
        <v>#N/A</v>
      </c>
      <c r="AB171" s="91" t="e">
        <f t="shared" ca="1" si="92"/>
        <v>#N/A</v>
      </c>
      <c r="AC171" s="219" t="e">
        <f t="shared" ca="1" si="93"/>
        <v>#N/A</v>
      </c>
      <c r="AD171" s="91" t="e">
        <f t="shared" ca="1" si="94"/>
        <v>#N/A</v>
      </c>
      <c r="AE171" s="91" t="e">
        <f t="shared" ca="1" si="95"/>
        <v>#N/A</v>
      </c>
      <c r="AF171" s="91" t="e">
        <f t="shared" ca="1" si="96"/>
        <v>#N/A</v>
      </c>
    </row>
    <row r="172" spans="2:32" ht="15.75">
      <c r="B172" s="71"/>
      <c r="C172" s="96" t="s">
        <v>733</v>
      </c>
      <c r="D172" s="62"/>
      <c r="E172" s="104"/>
      <c r="F172" s="62"/>
      <c r="G172" s="62"/>
      <c r="H172" s="62"/>
      <c r="I172" s="62"/>
      <c r="J172" s="62"/>
      <c r="K172" s="62"/>
      <c r="L172" s="62"/>
      <c r="M172" s="62"/>
      <c r="N172" s="62"/>
      <c r="O172" s="62"/>
      <c r="P172" s="62"/>
      <c r="Q172" s="73"/>
      <c r="R172" s="88" t="e">
        <f ca="1">IF(E110="","",IF(R18=1,"NA",VLOOKUP(4,'AISC Angle Database'!$F$6:$T$333,8,FALSE)))</f>
        <v>#N/A</v>
      </c>
      <c r="S172" s="91" t="e">
        <f t="shared" ca="1" si="85"/>
        <v>#N/A</v>
      </c>
      <c r="T172" s="91" t="e">
        <f t="shared" ca="1" si="86"/>
        <v>#N/A</v>
      </c>
      <c r="U172" s="219" t="e">
        <f t="shared" ca="1" si="87"/>
        <v>#N/A</v>
      </c>
      <c r="V172" s="219" t="e">
        <f t="shared" ca="1" si="88"/>
        <v>#N/A</v>
      </c>
      <c r="W172" s="89" t="e">
        <f ca="1">IF(E110="","",IF(R18=1,"NA",IF(AND(U172&gt;=$W$213,U172&lt;$W$214),$X$213+((U172-$W$213)/$Y$213)*$Z$213,IF(AND(U172&gt;=$W$214,U172&lt;$W$215),$X$213+((U172-$W$214)/$Y$214)*$Z$214,IF(AND(U172&gt;=$W$215,U172&lt;$W$216),$X$215+((U172-$W$215)/$Y$215)*$Z$215,IF(AND(U172&gt;=$W$216,U172&lt;$W$217),$X$216+((U172-$W$216)/$Y$216)*$Z$216,IF(AND(U172&gt;=$W$217,U172&lt;$W$218),$X$217+((U172-$W$217)/$Y$217)*$Z$217,IF(AND(U172&gt;=$W$218,U172&lt;$W$219),$X$218+((U172-$W$218)/$Y$218)*$Z$218,IF(AND(U172&gt;=$W$219,U172&lt;$W$220),$X$219+((U172-$W$219)/$Y$219)*$Z$219,IF(AND(U172&gt;=$W$220,U172&lt;$W$221),$X$220+((U172-$W$220)/$Y$220)*$Z$220,IF(AND(U172&gt;=$W$221,U172&lt;$W$222),$X$221+((U172-$W$221)/$Y$221)*$Z$221,IF(AND(U172&gt;=$W$222,U172&lt;$W$223),$X$222+((U172-$W$222)/$Y$222)*$Z$222,0.333))))))))))))</f>
        <v>#N/A</v>
      </c>
      <c r="X172" s="89" t="e">
        <f t="shared" ca="1" si="89"/>
        <v>#N/A</v>
      </c>
      <c r="Y172" s="89" t="e">
        <f t="shared" ca="1" si="90"/>
        <v>#N/A</v>
      </c>
      <c r="Z172" s="219" t="e">
        <f ca="1">IF(E110="","",IF(R18=1,"NA",VLOOKUP(4,'AISC Angle Database'!$F$6:$T$333,10,FALSE)))</f>
        <v>#N/A</v>
      </c>
      <c r="AA172" s="89" t="e">
        <f t="shared" ca="1" si="91"/>
        <v>#N/A</v>
      </c>
      <c r="AB172" s="91" t="e">
        <f t="shared" ca="1" si="92"/>
        <v>#N/A</v>
      </c>
      <c r="AC172" s="219" t="e">
        <f t="shared" ca="1" si="93"/>
        <v>#N/A</v>
      </c>
      <c r="AD172" s="91" t="e">
        <f t="shared" ca="1" si="94"/>
        <v>#N/A</v>
      </c>
      <c r="AE172" s="91" t="e">
        <f t="shared" ca="1" si="95"/>
        <v>#N/A</v>
      </c>
      <c r="AF172" s="91" t="e">
        <f t="shared" ca="1" si="96"/>
        <v>#N/A</v>
      </c>
    </row>
    <row r="173" spans="2:32" ht="15" customHeight="1">
      <c r="B173" s="71"/>
      <c r="C173" s="220" t="s">
        <v>922</v>
      </c>
      <c r="D173" s="62"/>
      <c r="E173" s="104"/>
      <c r="F173" s="62"/>
      <c r="H173" s="62"/>
      <c r="I173" s="107" t="s">
        <v>734</v>
      </c>
      <c r="J173" s="62"/>
      <c r="K173" s="62"/>
      <c r="L173" s="62"/>
      <c r="M173" s="62"/>
      <c r="N173" s="62"/>
      <c r="O173" s="62"/>
      <c r="P173" s="62"/>
      <c r="Q173" s="73"/>
      <c r="R173" s="88" t="e">
        <f ca="1">IF(E111="","",IF(R19=1,"NA",VLOOKUP(5,'AISC Angle Database'!$F$6:$T$333,8,FALSE)))</f>
        <v>#N/A</v>
      </c>
      <c r="S173" s="91" t="e">
        <f t="shared" ca="1" si="85"/>
        <v>#N/A</v>
      </c>
      <c r="T173" s="91" t="e">
        <f t="shared" ca="1" si="86"/>
        <v>#N/A</v>
      </c>
      <c r="U173" s="219" t="e">
        <f t="shared" ca="1" si="87"/>
        <v>#N/A</v>
      </c>
      <c r="V173" s="219" t="e">
        <f t="shared" ca="1" si="88"/>
        <v>#N/A</v>
      </c>
      <c r="W173" s="89" t="e">
        <f ca="1">IF(E111="","",IF(R19=1,"NA",IF(AND(U173&gt;=$W$213,U173&lt;$W$214),$X$213+((U173-$W$213)/$Y$213)*$Z$213,IF(AND(U173&gt;=$W$214,U173&lt;$W$215),$X$213+((U173-$W$214)/$Y$214)*$Z$214,IF(AND(U173&gt;=$W$215,U173&lt;$W$216),$X$215+((U173-$W$215)/$Y$215)*$Z$215,IF(AND(U173&gt;=$W$216,U173&lt;$W$217),$X$216+((U173-$W$216)/$Y$216)*$Z$216,IF(AND(U173&gt;=$W$217,U173&lt;$W$218),$X$217+((U173-$W$217)/$Y$217)*$Z$217,IF(AND(U173&gt;=$W$218,U173&lt;$W$219),$X$218+((U173-$W$218)/$Y$218)*$Z$218,IF(AND(U173&gt;=$W$219,U173&lt;$W$220),$X$219+((U173-$W$219)/$Y$219)*$Z$219,IF(AND(U173&gt;=$W$220,U173&lt;$W$221),$X$220+((U173-$W$220)/$Y$220)*$Z$220,IF(AND(U173&gt;=$W$221,U173&lt;$W$222),$X$221+((U173-$W$221)/$Y$221)*$Z$221,IF(AND(U173&gt;=$W$222,U173&lt;$W$223),$X$222+((U173-$W$222)/$Y$222)*$Z$222,0.333))))))))))))</f>
        <v>#N/A</v>
      </c>
      <c r="X173" s="89" t="e">
        <f t="shared" ca="1" si="89"/>
        <v>#N/A</v>
      </c>
      <c r="Y173" s="89" t="e">
        <f t="shared" ca="1" si="90"/>
        <v>#N/A</v>
      </c>
      <c r="Z173" s="219" t="e">
        <f ca="1">IF(E111="","",IF(R19=1,"NA",VLOOKUP(5,'AISC Angle Database'!$F$6:$T$333,10,FALSE)))</f>
        <v>#N/A</v>
      </c>
      <c r="AA173" s="89" t="e">
        <f t="shared" ca="1" si="91"/>
        <v>#N/A</v>
      </c>
      <c r="AB173" s="91" t="e">
        <f t="shared" ca="1" si="92"/>
        <v>#N/A</v>
      </c>
      <c r="AC173" s="219" t="e">
        <f t="shared" ca="1" si="93"/>
        <v>#N/A</v>
      </c>
      <c r="AD173" s="91" t="e">
        <f t="shared" ca="1" si="94"/>
        <v>#N/A</v>
      </c>
      <c r="AE173" s="91" t="e">
        <f t="shared" ca="1" si="95"/>
        <v>#N/A</v>
      </c>
      <c r="AF173" s="91" t="e">
        <f t="shared" ca="1" si="96"/>
        <v>#N/A</v>
      </c>
    </row>
    <row r="174" spans="2:32">
      <c r="B174" s="71"/>
      <c r="C174" s="62"/>
      <c r="D174" s="107" t="s">
        <v>770</v>
      </c>
      <c r="E174" s="104"/>
      <c r="F174" s="62"/>
      <c r="G174" s="62"/>
      <c r="H174" s="62"/>
      <c r="I174" s="62"/>
      <c r="J174" s="62"/>
      <c r="K174" s="62"/>
      <c r="L174" s="62"/>
      <c r="M174" s="62"/>
      <c r="N174" s="62"/>
      <c r="O174" s="62"/>
      <c r="P174" s="62"/>
      <c r="Q174" s="73"/>
      <c r="R174" s="151" t="e">
        <f ca="1">IF(E112="","",IF(R20=1,"NA",VLOOKUP(6,'AISC Angle Database'!$F$6:$T$333,8,FALSE)))</f>
        <v>#N/A</v>
      </c>
      <c r="S174" s="151" t="e">
        <f t="shared" ca="1" si="85"/>
        <v>#N/A</v>
      </c>
      <c r="T174" s="151" t="e">
        <f t="shared" ca="1" si="86"/>
        <v>#N/A</v>
      </c>
      <c r="U174" s="152" t="e">
        <f t="shared" ca="1" si="87"/>
        <v>#N/A</v>
      </c>
      <c r="V174" s="152" t="e">
        <f t="shared" ca="1" si="88"/>
        <v>#N/A</v>
      </c>
      <c r="W174" s="89" t="e">
        <f ca="1">IF(E112="","",IF(R20=1,"NA",IF(AND(U174&gt;=$W$213,U174&lt;$W$214),$X$213+((U174-$W$213)/$Y$213)*$Z$213,IF(AND(U174&gt;=$W$214,U174&lt;$W$215),$X$213+((U174-$W$214)/$Y$214)*$Z$214,IF(AND(U174&gt;=$W$215,U174&lt;$W$216),$X$215+((U174-$W$215)/$Y$215)*$Z$215,IF(AND(U174&gt;=$W$216,U174&lt;$W$217),$X$216+((U174-$W$216)/$Y$216)*$Z$216,IF(AND(U174&gt;=$W$217,U174&lt;$W$218),$X$217+((U174-$W$217)/$Y$217)*$Z$217,IF(AND(U174&gt;=$W$218,U174&lt;$W$219),$X$218+((U174-$W$218)/$Y$218)*$Z$218,IF(AND(U174&gt;=$W$219,U174&lt;$W$220),$X$219+((U174-$W$219)/$Y$219)*$Z$219,IF(AND(U174&gt;=$W$220,U174&lt;$W$221),$X$220+((U174-$W$220)/$Y$220)*$Z$220,IF(AND(U174&gt;=$W$221,U174&lt;$W$222),$X$221+((U174-$W$221)/$Y$221)*$Z$221,IF(AND(U174&gt;=$W$222,U174&lt;$W$223),$X$222+((U174-$W$222)/$Y$222)*$Z$222,0.333))))))))))))</f>
        <v>#N/A</v>
      </c>
      <c r="X174" s="89" t="e">
        <f t="shared" ca="1" si="89"/>
        <v>#N/A</v>
      </c>
      <c r="Y174" s="196" t="e">
        <f t="shared" ca="1" si="90"/>
        <v>#N/A</v>
      </c>
      <c r="Z174" s="152" t="e">
        <f ca="1">IF(E112="","",IF(R20=1,"NA",VLOOKUP(6,'AISC Angle Database'!$F$6:$T$333,10,FALSE)))</f>
        <v>#N/A</v>
      </c>
      <c r="AA174" s="196" t="e">
        <f t="shared" ca="1" si="91"/>
        <v>#N/A</v>
      </c>
      <c r="AB174" s="150" t="e">
        <f t="shared" ca="1" si="92"/>
        <v>#N/A</v>
      </c>
      <c r="AC174" s="152" t="e">
        <f t="shared" ca="1" si="93"/>
        <v>#N/A</v>
      </c>
      <c r="AD174" s="150" t="e">
        <f t="shared" ca="1" si="94"/>
        <v>#N/A</v>
      </c>
      <c r="AE174" s="150" t="e">
        <f t="shared" ca="1" si="95"/>
        <v>#N/A</v>
      </c>
      <c r="AF174" s="91" t="e">
        <f t="shared" ca="1" si="96"/>
        <v>#N/A</v>
      </c>
    </row>
    <row r="175" spans="2:32" ht="18">
      <c r="B175" s="71"/>
      <c r="C175" s="62"/>
      <c r="D175" s="244">
        <v>1</v>
      </c>
      <c r="E175" s="218" t="s">
        <v>797</v>
      </c>
      <c r="F175" s="103" t="s">
        <v>720</v>
      </c>
      <c r="G175" s="62"/>
      <c r="H175" s="62"/>
      <c r="I175" s="62"/>
      <c r="J175" s="62"/>
      <c r="K175" s="62"/>
      <c r="L175" s="62"/>
      <c r="M175" s="62"/>
      <c r="N175" s="62"/>
      <c r="O175" s="62"/>
      <c r="P175" s="62"/>
      <c r="Q175" s="73"/>
      <c r="R175" s="151" t="e">
        <f ca="1">IF(E113="","",IF(R21=1,"NA",VLOOKUP(7,'AISC Angle Database'!$F$6:$T$333,8,FALSE)))</f>
        <v>#N/A</v>
      </c>
      <c r="S175" s="151" t="e">
        <f t="shared" ca="1" si="85"/>
        <v>#N/A</v>
      </c>
      <c r="T175" s="151" t="e">
        <f t="shared" ca="1" si="86"/>
        <v>#N/A</v>
      </c>
      <c r="U175" s="152" t="e">
        <f t="shared" ca="1" si="87"/>
        <v>#N/A</v>
      </c>
      <c r="V175" s="152" t="e">
        <f t="shared" ca="1" si="88"/>
        <v>#N/A</v>
      </c>
      <c r="W175" s="89" t="e">
        <f ca="1">IF(E113="","",IF(R21=1,"NA",IF(AND(U175&gt;=$W$213,U175&lt;$W$214),$X$213+((U175-$W$213)/$Y$213)*$Z$213,IF(AND(U175&gt;=$W$214,U175&lt;$W$215),$X$213+((U175-$W$214)/$Y$214)*$Z$214,IF(AND(U175&gt;=$W$215,U175&lt;$W$216),$X$215+((U175-$W$215)/$Y$215)*$Z$215,IF(AND(U175&gt;=$W$216,U175&lt;$W$217),$X$216+((U175-$W$216)/$Y$216)*$Z$216,IF(AND(U175&gt;=$W$217,U175&lt;$W$218),$X$217+((U175-$W$217)/$Y$217)*$Z$217,IF(AND(U175&gt;=$W$218,U175&lt;$W$219),$X$218+((U175-$W$218)/$Y$218)*$Z$218,IF(AND(U175&gt;=$W$219,U175&lt;$W$220),$X$219+((U175-$W$219)/$Y$219)*$Z$219,IF(AND(U175&gt;=$W$220,U175&lt;$W$221),$X$220+((U175-$W$220)/$Y$220)*$Z$220,IF(AND(U175&gt;=$W$221,U175&lt;$W$222),$X$221+((U175-$W$221)/$Y$221)*$Z$221,IF(AND(U175&gt;=$W$222,U175&lt;$W$223),$X$222+((U175-$W$222)/$Y$222)*$Z$222,0.333))))))))))))</f>
        <v>#N/A</v>
      </c>
      <c r="X175" s="89" t="e">
        <f t="shared" ca="1" si="89"/>
        <v>#N/A</v>
      </c>
      <c r="Y175" s="196" t="e">
        <f t="shared" ca="1" si="90"/>
        <v>#N/A</v>
      </c>
      <c r="Z175" s="152" t="e">
        <f ca="1">IF(E113="","",IF(R21=1,"NA",VLOOKUP(7,'AISC Angle Database'!$F$6:$T$333,10,FALSE)))</f>
        <v>#N/A</v>
      </c>
      <c r="AA175" s="196" t="e">
        <f t="shared" ca="1" si="91"/>
        <v>#N/A</v>
      </c>
      <c r="AB175" s="150" t="e">
        <f t="shared" ca="1" si="92"/>
        <v>#N/A</v>
      </c>
      <c r="AC175" s="152" t="e">
        <f t="shared" ca="1" si="93"/>
        <v>#N/A</v>
      </c>
      <c r="AD175" s="150" t="e">
        <f t="shared" ca="1" si="94"/>
        <v>#N/A</v>
      </c>
      <c r="AE175" s="150" t="e">
        <f t="shared" ca="1" si="95"/>
        <v>#N/A</v>
      </c>
      <c r="AF175" s="91" t="e">
        <f t="shared" ca="1" si="96"/>
        <v>#N/A</v>
      </c>
    </row>
    <row r="176" spans="2:32" ht="18">
      <c r="B176" s="71"/>
      <c r="C176" s="62"/>
      <c r="D176" s="244"/>
      <c r="E176" s="218" t="s">
        <v>798</v>
      </c>
      <c r="F176" s="103" t="s">
        <v>796</v>
      </c>
      <c r="G176" s="62"/>
      <c r="H176" s="62"/>
      <c r="I176" s="62"/>
      <c r="J176" s="62"/>
      <c r="K176" s="62"/>
      <c r="L176" s="62"/>
      <c r="M176" s="62"/>
      <c r="N176" s="62"/>
      <c r="O176" s="62"/>
      <c r="P176" s="62"/>
      <c r="Q176" s="73"/>
      <c r="R176" s="151" t="e">
        <f ca="1">IF(E114="","",IF(R25=1,"NA",VLOOKUP(8,'AISC Angle Database'!$F$6:$T$333,8,FALSE)))</f>
        <v>#N/A</v>
      </c>
      <c r="S176" s="151" t="e">
        <f ca="1">IF(E114="","",IF(R25=1,"NA",$H$31*W25))</f>
        <v>#N/A</v>
      </c>
      <c r="T176" s="151" t="e">
        <f ca="1">IF(E114="","",IF(R25=1,"NA",IF($H$31*R176&lt;=S176,$H$31*R176,S176)))</f>
        <v>#N/A</v>
      </c>
      <c r="U176" s="152" t="e">
        <f ca="1">IF(E114="","",IF(R25=1,"NA",S25/U25))</f>
        <v>#N/A</v>
      </c>
      <c r="V176" s="152" t="e">
        <f ca="1">IF(E114="","",IF(R25=1,"NA",T25/U25))</f>
        <v>#N/A</v>
      </c>
      <c r="W176" s="89" t="e">
        <f ca="1">IF(E114="","",IF(R25=1,"NA",IF(AND(U176&gt;=$W$213,U176&lt;$W$214),$X$213+((U176-$W$213)/$Y$213)*$Z$213,IF(AND(U176&gt;=$W$214,U176&lt;$W$215),$X$213+((U176-$W$214)/$Y$214)*$Z$214,IF(AND(U176&gt;=$W$215,U176&lt;$W$216),$X$215+((U176-$W$215)/$Y$215)*$Z$215,IF(AND(U176&gt;=$W$216,U176&lt;$W$217),$X$216+((U176-$W$216)/$Y$216)*$Z$216,IF(AND(U176&gt;=$W$217,U176&lt;$W$218),$X$217+((U176-$W$217)/$Y$217)*$Z$217,IF(AND(U176&gt;=$W$218,U176&lt;$W$219),$X$218+((U176-$W$218)/$Y$218)*$Z$218,IF(AND(U176&gt;=$W$219,U176&lt;$W$220),$X$219+((U176-$W$219)/$Y$219)*$Z$219,IF(AND(U176&gt;=$W$220,U176&lt;$W$221),$X$220+((U176-$W$220)/$Y$220)*$Z$220,IF(AND(U176&gt;=$W$221,U176&lt;$W$222),$X$221+((U176-$W$221)/$Y$221)*$Z$221,IF(AND(U176&gt;=$W$222,U176&lt;$W$223),$X$222+((U176-$W$222)/$Y$222)*$Z$222,0.333))))))))))))</f>
        <v>#N/A</v>
      </c>
      <c r="X176" s="89" t="e">
        <f ca="1">IF(E114="","",IF(R25=1,"NA",IF(AND(V176&gt;=$W$213,V176&lt;$W$214),$X$213+((V176-$W$213)/$Y$213)*$Z$213,IF(AND(V176&gt;=$W$214,V176&lt;$W$215),$X$213+((V176-$W$214)/$Y$214)*$Z$214,IF(AND(V176&gt;=$W$215,V176&lt;$W$216),$X$215+((V176-$W$215)/$Y$215)*$Z$215,IF(AND(V176&gt;=$W$216,V176&lt;$W$217),$X$216+((V176-$W$216)/$Y$216)*$Z$216,IF(AND(V176&gt;=$W$217,V176&lt;$W$218),$X$217+((V176-$W$217)/$Y$217)*$Z$217,IF(AND(V176&gt;=$W$218,V176&lt;$W$219),$X$218+((V176-$W$218)/$Y$218)*$Z$218,IF(AND(V176&gt;=$W$219,V176&lt;$W$220),$X$219+((V176-$W$219)/$Y$219)*$Z$219,IF(AND(V176&gt;=$W$220,V176&lt;$W$221),$X$220+((V176-$W$220)/$Y$220)*$Z$220,IF(AND(V176&gt;=$W$221,V176&lt;$W$222),$X$221+((V176-$W$221)/$Y$221)*$Z$221,IF(AND(V176&gt;=$W$222,V176&lt;$W$223),$X$222+((V176-$W$222)/$Y$222)*$Z$222,0.333))))))))))))</f>
        <v>#N/A</v>
      </c>
      <c r="Y176" s="196" t="e">
        <f ca="1">IF(E114="","",IF(R25=1,"NA",(S25*U25^3*W176+(T25-U25)*U25^3*X176)*2))</f>
        <v>#N/A</v>
      </c>
      <c r="Z176" s="152" t="e">
        <f ca="1">IF(E114="","",IF(R25=1,"NA",VLOOKUP(8,'AISC Angle Database'!$F$6:$T$333,10,FALSE)))</f>
        <v>#N/A</v>
      </c>
      <c r="AA176" s="196" t="e">
        <f ca="1">IF(E114="","",IF(R25=1,"NA",-2.3*(S25/($H$29*12)*SQRT(Z176/Y176))))</f>
        <v>#N/A</v>
      </c>
      <c r="AB176" s="150" t="e">
        <f ca="1">IF(E114="","",IF(R25=1,"NA",(3.14159*SQRT(29000*Z176*11500*Y176)/($H$29*12))*(AA176+SQRT(1+AA176^2))))</f>
        <v>#N/A</v>
      </c>
      <c r="AC176" s="152" t="e">
        <f ca="1">IF(E114="","",IF(R25=1,"NA",$H$31*(1.19-0.5*(S25/(2*U25))*SQRT($H$31/29000))))</f>
        <v>#N/A</v>
      </c>
      <c r="AD176" s="150" t="e">
        <f ca="1">IF(E114="","",IF(R25=1,"NA",IF(V25="Y","NA",AC176*W25)))</f>
        <v>#N/A</v>
      </c>
      <c r="AE176" s="150" t="e">
        <f ca="1">IF(E114="","",IF(R25=1,"NA",MIN(AD176,AB176,T176)))</f>
        <v>#N/A</v>
      </c>
      <c r="AF176" s="91" t="e">
        <f t="shared" ref="AF176:AF189" ca="1" si="97">IF(E114="","",IF(R25=1,"NA",IF(AND($H$23="ASD",R25=2),AE176/1.67,IF(AND($H$23="LRFD",R25=2),0.9*AE176,"NA"))))</f>
        <v>#N/A</v>
      </c>
    </row>
    <row r="177" spans="2:32">
      <c r="B177" s="71"/>
      <c r="C177" s="62"/>
      <c r="D177" s="244"/>
      <c r="E177" s="218"/>
      <c r="F177" s="103"/>
      <c r="G177" s="62"/>
      <c r="H177" s="62"/>
      <c r="I177" s="62"/>
      <c r="J177" s="62"/>
      <c r="K177" s="62"/>
      <c r="L177" s="62"/>
      <c r="M177" s="62"/>
      <c r="N177" s="62"/>
      <c r="O177" s="62"/>
      <c r="P177" s="62"/>
      <c r="Q177" s="73"/>
      <c r="R177" s="151" t="e">
        <f ca="1">IF(E115="","",IF(R26=1,"NA",VLOOKUP(9,'AISC Angle Database'!$F$6:$T$333,8,FALSE)))</f>
        <v>#N/A</v>
      </c>
      <c r="S177" s="151" t="e">
        <f ca="1">IF(E115="","",IF(R26=1,"NA",$H$31*W26))</f>
        <v>#N/A</v>
      </c>
      <c r="T177" s="151" t="e">
        <f ca="1">IF(E115="","",IF(R26=1,"NA",IF($H$31*R177&lt;=S177,$H$31*R177,S177)))</f>
        <v>#N/A</v>
      </c>
      <c r="U177" s="152" t="e">
        <f ca="1">IF(E115="","",IF(R26=1,"NA",S26/U26))</f>
        <v>#N/A</v>
      </c>
      <c r="V177" s="152" t="e">
        <f ca="1">IF(E115="","",IF(R26=1,"NA",T26/U26))</f>
        <v>#N/A</v>
      </c>
      <c r="W177" s="89" t="e">
        <f ca="1">IF(E115="","",IF(R26=1,"NA",IF(AND(U177&gt;=$W$213,U177&lt;$W$214),$X$213+((U177-$W$213)/$Y$213)*$Z$213,IF(AND(U177&gt;=$W$214,U177&lt;$W$215),$X$213+((U177-$W$214)/$Y$214)*$Z$214,IF(AND(U177&gt;=$W$215,U177&lt;$W$216),$X$215+((U177-$W$215)/$Y$215)*$Z$215,IF(AND(U177&gt;=$W$216,U177&lt;$W$217),$X$216+((U177-$W$216)/$Y$216)*$Z$216,IF(AND(U177&gt;=$W$217,U177&lt;$W$218),$X$217+((U177-$W$217)/$Y$217)*$Z$217,IF(AND(U177&gt;=$W$218,U177&lt;$W$219),$X$218+((U177-$W$218)/$Y$218)*$Z$218,IF(AND(U177&gt;=$W$219,U177&lt;$W$220),$X$219+((U177-$W$219)/$Y$219)*$Z$219,IF(AND(U177&gt;=$W$220,U177&lt;$W$221),$X$220+((U177-$W$220)/$Y$220)*$Z$220,IF(AND(U177&gt;=$W$221,U177&lt;$W$222),$X$221+((U177-$W$221)/$Y$221)*$Z$221,IF(AND(U177&gt;=$W$222,U177&lt;$W$223),$X$222+((U177-$W$222)/$Y$222)*$Z$222,0.333))))))))))))</f>
        <v>#N/A</v>
      </c>
      <c r="X177" s="89" t="e">
        <f ca="1">IF(E115="","",IF(R26=1,"NA",IF(AND(V177&gt;=$W$213,V177&lt;$W$214),$X$213+((V177-$W$213)/$Y$213)*$Z$213,IF(AND(V177&gt;=$W$214,V177&lt;$W$215),$X$213+((V177-$W$214)/$Y$214)*$Z$214,IF(AND(V177&gt;=$W$215,V177&lt;$W$216),$X$215+((V177-$W$215)/$Y$215)*$Z$215,IF(AND(V177&gt;=$W$216,V177&lt;$W$217),$X$216+((V177-$W$216)/$Y$216)*$Z$216,IF(AND(V177&gt;=$W$217,V177&lt;$W$218),$X$217+((V177-$W$217)/$Y$217)*$Z$217,IF(AND(V177&gt;=$W$218,V177&lt;$W$219),$X$218+((V177-$W$218)/$Y$218)*$Z$218,IF(AND(V177&gt;=$W$219,V177&lt;$W$220),$X$219+((V177-$W$219)/$Y$219)*$Z$219,IF(AND(V177&gt;=$W$220,V177&lt;$W$221),$X$220+((V177-$W$220)/$Y$220)*$Z$220,IF(AND(V177&gt;=$W$221,V177&lt;$W$222),$X$221+((V177-$W$221)/$Y$221)*$Z$221,IF(AND(V177&gt;=$W$222,V177&lt;$W$223),$X$222+((V177-$W$222)/$Y$222)*$Z$222,0.333))))))))))))</f>
        <v>#N/A</v>
      </c>
      <c r="Y177" s="196" t="e">
        <f ca="1">IF(E115="","",IF(R26=1,"NA",(S26*U26^3*W177+(T26-U26)*U26^3*X177)*2))</f>
        <v>#N/A</v>
      </c>
      <c r="Z177" s="152" t="e">
        <f ca="1">IF(E115="","",IF(R26=1,"NA",VLOOKUP(9,'AISC Angle Database'!$F$6:$T$333,10,FALSE)))</f>
        <v>#N/A</v>
      </c>
      <c r="AA177" s="196" t="e">
        <f ca="1">IF(E115="","",IF(R26=1,"NA",-2.3*(S26/($H$29*12)*SQRT(Z177/Y177))))</f>
        <v>#N/A</v>
      </c>
      <c r="AB177" s="150" t="e">
        <f ca="1">IF(E115="","",IF(R26=1,"NA",(3.14159*SQRT(29000*Z177*11500*Y177)/($H$29*12))*(AA177+SQRT(1+AA177^2))))</f>
        <v>#N/A</v>
      </c>
      <c r="AC177" s="152" t="e">
        <f ca="1">IF(E115="","",IF(R26=1,"NA",$H$31*(1.19-0.5*(S26/(2*U26))*SQRT($H$31/29000))))</f>
        <v>#N/A</v>
      </c>
      <c r="AD177" s="150" t="e">
        <f ca="1">IF(E115="","",IF(R26=1,"NA",IF(V26="Y","NA",AC177*W26)))</f>
        <v>#N/A</v>
      </c>
      <c r="AE177" s="150" t="e">
        <f ca="1">IF(E115="","",IF(R26=1,"NA",MIN(AD177,AB177,T177)))</f>
        <v>#N/A</v>
      </c>
      <c r="AF177" s="91" t="e">
        <f t="shared" ca="1" si="97"/>
        <v>#N/A</v>
      </c>
    </row>
    <row r="178" spans="2:32">
      <c r="B178" s="71"/>
      <c r="C178" s="62"/>
      <c r="D178" s="107" t="s">
        <v>771</v>
      </c>
      <c r="E178" s="218"/>
      <c r="F178" s="103"/>
      <c r="G178" s="62"/>
      <c r="H178" s="62"/>
      <c r="I178" s="62"/>
      <c r="J178" s="62"/>
      <c r="K178" s="62"/>
      <c r="L178" s="62"/>
      <c r="M178" s="62"/>
      <c r="N178" s="62"/>
      <c r="O178" s="62"/>
      <c r="P178" s="62"/>
      <c r="Q178" s="73"/>
      <c r="R178" s="151" t="e">
        <f ca="1">IF(E116="","",IF(R27=1,"NA",VLOOKUP(10,'AISC Angle Database'!$F$6:$T$333,8,FALSE)))</f>
        <v>#N/A</v>
      </c>
      <c r="S178" s="151" t="e">
        <f ca="1">IF(E116="","",IF(R27=1,"NA",$H$31*W27))</f>
        <v>#N/A</v>
      </c>
      <c r="T178" s="151" t="e">
        <f ca="1">IF(E116="","",IF(R27=1,"NA",IF($H$31*R178&lt;=S178,$H$31*R178,S178)))</f>
        <v>#N/A</v>
      </c>
      <c r="U178" s="152" t="e">
        <f ca="1">IF(E116="","",IF(R27=1,"NA",S27/U27))</f>
        <v>#N/A</v>
      </c>
      <c r="V178" s="152" t="e">
        <f ca="1">IF(E116="","",IF(R27=1,"NA",T27/U27))</f>
        <v>#N/A</v>
      </c>
      <c r="W178" s="89" t="e">
        <f ca="1">IF(E116="","",IF(R27=1,"NA",IF(AND(U178&gt;=$W$213,U178&lt;$W$214),$X$213+((U178-$W$213)/$Y$213)*$Z$213,IF(AND(U178&gt;=$W$214,U178&lt;$W$215),$X$213+((U178-$W$214)/$Y$214)*$Z$214,IF(AND(U178&gt;=$W$215,U178&lt;$W$216),$X$215+((U178-$W$215)/$Y$215)*$Z$215,IF(AND(U178&gt;=$W$216,U178&lt;$W$217),$X$216+((U178-$W$216)/$Y$216)*$Z$216,IF(AND(U178&gt;=$W$217,U178&lt;$W$218),$X$217+((U178-$W$217)/$Y$217)*$Z$217,IF(AND(U178&gt;=$W$218,U178&lt;$W$219),$X$218+((U178-$W$218)/$Y$218)*$Z$218,IF(AND(U178&gt;=$W$219,U178&lt;$W$220),$X$219+((U178-$W$219)/$Y$219)*$Z$219,IF(AND(U178&gt;=$W$220,U178&lt;$W$221),$X$220+((U178-$W$220)/$Y$220)*$Z$220,IF(AND(U178&gt;=$W$221,U178&lt;$W$222),$X$221+((U178-$W$221)/$Y$221)*$Z$221,IF(AND(U178&gt;=$W$222,U178&lt;$W$223),$X$222+((U178-$W$222)/$Y$222)*$Z$222,0.333))))))))))))</f>
        <v>#N/A</v>
      </c>
      <c r="X178" s="89" t="e">
        <f ca="1">IF(E116="","",IF(R27=1,"NA",IF(AND(V178&gt;=$W$213,V178&lt;$W$214),$X$213+((V178-$W$213)/$Y$213)*$Z$213,IF(AND(V178&gt;=$W$214,V178&lt;$W$215),$X$213+((V178-$W$214)/$Y$214)*$Z$214,IF(AND(V178&gt;=$W$215,V178&lt;$W$216),$X$215+((V178-$W$215)/$Y$215)*$Z$215,IF(AND(V178&gt;=$W$216,V178&lt;$W$217),$X$216+((V178-$W$216)/$Y$216)*$Z$216,IF(AND(V178&gt;=$W$217,V178&lt;$W$218),$X$217+((V178-$W$217)/$Y$217)*$Z$217,IF(AND(V178&gt;=$W$218,V178&lt;$W$219),$X$218+((V178-$W$218)/$Y$218)*$Z$218,IF(AND(V178&gt;=$W$219,V178&lt;$W$220),$X$219+((V178-$W$219)/$Y$219)*$Z$219,IF(AND(V178&gt;=$W$220,V178&lt;$W$221),$X$220+((V178-$W$220)/$Y$220)*$Z$220,IF(AND(V178&gt;=$W$221,V178&lt;$W$222),$X$221+((V178-$W$221)/$Y$221)*$Z$221,IF(AND(V178&gt;=$W$222,V178&lt;$W$223),$X$222+((V178-$W$222)/$Y$222)*$Z$222,0.333))))))))))))</f>
        <v>#N/A</v>
      </c>
      <c r="Y178" s="196" t="e">
        <f ca="1">IF(E116="","",IF(R27=1,"NA",(S27*U27^3*W178+(T27-U27)*U27^3*X178)*2))</f>
        <v>#N/A</v>
      </c>
      <c r="Z178" s="152" t="e">
        <f ca="1">IF(E116="","",IF(R27=1,"NA",VLOOKUP(10,'AISC Angle Database'!$F$6:$T$333,10,FALSE)))</f>
        <v>#N/A</v>
      </c>
      <c r="AA178" s="196" t="e">
        <f ca="1">IF(E116="","",IF(R27=1,"NA",-2.3*(S27/($H$29*12)*SQRT(Z178/Y178))))</f>
        <v>#N/A</v>
      </c>
      <c r="AB178" s="150" t="e">
        <f ca="1">IF(E116="","",IF(R27=1,"NA",(3.14159*SQRT(29000*Z178*11500*Y178)/($H$29*12))*(AA178+SQRT(1+AA178^2))))</f>
        <v>#N/A</v>
      </c>
      <c r="AC178" s="152" t="e">
        <f ca="1">IF(E116="","",IF(R27=1,"NA",$H$31*(1.19-0.5*(S27/(2*U27))*SQRT($H$31/29000))))</f>
        <v>#N/A</v>
      </c>
      <c r="AD178" s="150" t="e">
        <f ca="1">IF(E116="","",IF(R27=1,"NA",IF(V27="Y","NA",AC178*W27)))</f>
        <v>#N/A</v>
      </c>
      <c r="AE178" s="150" t="e">
        <f ca="1">IF(E116="","",IF(R27=1,"NA",MIN(AD178,AB178,T178)))</f>
        <v>#N/A</v>
      </c>
      <c r="AF178" s="91" t="e">
        <f t="shared" ca="1" si="97"/>
        <v>#N/A</v>
      </c>
    </row>
    <row r="179" spans="2:32">
      <c r="B179" s="71"/>
      <c r="C179" s="62"/>
      <c r="D179" s="244">
        <v>1</v>
      </c>
      <c r="E179" s="104" t="s">
        <v>716</v>
      </c>
      <c r="F179" s="62"/>
      <c r="G179" s="62"/>
      <c r="H179" s="62"/>
      <c r="I179" s="75" t="s">
        <v>717</v>
      </c>
      <c r="J179" s="62" t="s">
        <v>719</v>
      </c>
      <c r="K179" s="64"/>
      <c r="L179" s="62"/>
      <c r="M179" s="62"/>
      <c r="N179" s="62"/>
      <c r="O179" s="62"/>
      <c r="P179" s="62"/>
      <c r="Q179" s="73"/>
      <c r="R179" s="151" t="e">
        <f ca="1">IF(E117="","",IF(R28=1,"NA",VLOOKUP(11,'AISC Angle Database'!$F$6:$T$333,8,FALSE)))</f>
        <v>#N/A</v>
      </c>
      <c r="S179" s="151" t="e">
        <f ca="1">IF(E117="","",IF(R28=1,"NA",$H$31*W28))</f>
        <v>#N/A</v>
      </c>
      <c r="T179" s="151" t="e">
        <f ca="1">IF(E117="","",IF(R28=1,"NA",IF($H$31*R179&lt;=S179,$H$31*R179,S179)))</f>
        <v>#N/A</v>
      </c>
      <c r="U179" s="152" t="e">
        <f ca="1">IF(E117="","",IF(R28=1,"NA",S28/U28))</f>
        <v>#N/A</v>
      </c>
      <c r="V179" s="152" t="e">
        <f ca="1">IF(E117="","",IF(R28=1,"NA",T28/U28))</f>
        <v>#N/A</v>
      </c>
      <c r="W179" s="89" t="e">
        <f ca="1">IF(E117="","",IF(R28=1,"NA",IF(AND(U179&gt;=$W$213,U179&lt;$W$214),$X$213+((U179-$W$213)/$Y$213)*$Z$213,IF(AND(U179&gt;=$W$214,U179&lt;$W$215),$X$213+((U179-$W$214)/$Y$214)*$Z$214,IF(AND(U179&gt;=$W$215,U179&lt;$W$216),$X$215+((U179-$W$215)/$Y$215)*$Z$215,IF(AND(U179&gt;=$W$216,U179&lt;$W$217),$X$216+((U179-$W$216)/$Y$216)*$Z$216,IF(AND(U179&gt;=$W$217,U179&lt;$W$218),$X$217+((U179-$W$217)/$Y$217)*$Z$217,IF(AND(U179&gt;=$W$218,U179&lt;$W$219),$X$218+((U179-$W$218)/$Y$218)*$Z$218,IF(AND(U179&gt;=$W$219,U179&lt;$W$220),$X$219+((U179-$W$219)/$Y$219)*$Z$219,IF(AND(U179&gt;=$W$220,U179&lt;$W$221),$X$220+((U179-$W$220)/$Y$220)*$Z$220,IF(AND(U179&gt;=$W$221,U179&lt;#REF!),$X$221+((U179-$W$221)/$Y$221)*$Z$221,IF(AND(U179&gt;=$W$222,U179&lt;$W$223),$X$222+((U179-$W$222)/$Y$222)*$Z$222,0.333))))))))))))</f>
        <v>#N/A</v>
      </c>
      <c r="X179" s="89" t="e">
        <f ca="1">IF(E117="","",IF(R28=1,"NA",IF(AND(V179&gt;=$W$213,V179&lt;$W$214),$X$213+((V179-$W$213)/$Y$213)*$Z$213,IF(AND(V179&gt;=$W$214,V179&lt;$W$215),$X$213+((V179-$W$214)/$Y$214)*$Z$214,IF(AND(V179&gt;=$W$215,V179&lt;$W$216),$X$215+((V179-$W$215)/$Y$215)*$Z$215,IF(AND(V179&gt;=$W$216,V179&lt;$W$217),$X$216+((V179-$W$216)/$Y$216)*$Z$216,IF(AND(V179&gt;=$W$217,V179&lt;$W$218),$X$217+((V179-$W$217)/$Y$217)*$Z$217,IF(AND(V179&gt;=$W$218,V179&lt;$W$219),$X$218+((V179-$W$218)/$Y$218)*$Z$218,IF(AND(V179&gt;=$W$219,V179&lt;$W$220),$X$219+((V179-$W$219)/$Y$219)*$Z$219,IF(AND(V179&gt;=$W$220,V179&lt;$W$221),$X$220+((V179-$W$220)/$Y$220)*$Z$220,IF(AND(V179&gt;=$W$221,V179&lt;$W$222),$X$221+((V179-$W$221)/$Y$221)*$Z$221,IF(AND(V179&gt;=$W$222,V179&lt;$W$223),$X$222+((V179-$W$222)/$Y$222)*$Z$222,0.333))))))))))))</f>
        <v>#N/A</v>
      </c>
      <c r="Y179" s="196" t="e">
        <f ca="1">IF(E117="","",IF(R28=1,"NA",(S28*U28^3*W179+(T28-U28)*U28^3*X179)*2))</f>
        <v>#N/A</v>
      </c>
      <c r="Z179" s="196" t="e">
        <f ca="1">IF(E117="","",IF(R28=1,"NA",VLOOKUP(11,'AISC Angle Database'!$F$6:$T$333,10,FALSE)))</f>
        <v>#N/A</v>
      </c>
      <c r="AA179" s="196" t="e">
        <f ca="1">IF(E117="","",IF(R28=1,"NA",-2.3*(S28/($H$29*12)*SQRT(Z179/Y179))))</f>
        <v>#N/A</v>
      </c>
      <c r="AB179" s="150" t="e">
        <f ca="1">IF(E117="","",IF(R28=1,"NA",(3.14159*SQRT(29000*Z179*11500*Y179)/($H$29*12))*(AA179+SQRT(1+AA179^2))))</f>
        <v>#N/A</v>
      </c>
      <c r="AC179" s="152" t="e">
        <f ca="1">IF(E117="","",IF(R28=1,"NA",$H$31*(1.19-0.5*(S28/(2*U28))*SQRT($H$31/29000))))</f>
        <v>#N/A</v>
      </c>
      <c r="AD179" s="150" t="e">
        <f ca="1">IF(E117="","",IF(R28=1,"NA",IF(V28="Y","NA",AC179*W28)))</f>
        <v>#N/A</v>
      </c>
      <c r="AE179" s="150" t="e">
        <f ca="1">IF(E117="","",IF(R28=1,"NA",MIN(AD179,AB179,T179)))</f>
        <v>#N/A</v>
      </c>
      <c r="AF179" s="91" t="e">
        <f t="shared" ca="1" si="97"/>
        <v>#N/A</v>
      </c>
    </row>
    <row r="180" spans="2:32" ht="18">
      <c r="B180" s="71"/>
      <c r="C180" s="62"/>
      <c r="D180" s="244">
        <v>2</v>
      </c>
      <c r="E180" s="221" t="s">
        <v>735</v>
      </c>
      <c r="F180" s="222" t="str">
        <f>[1]!EQS(AX6,"Units= ; EqnPrefix=Eqn. ; EqnNo= 1; Multiplication= 0; ShowWorking= 0; EqnStyle= 0; Eqp$F$50_0")</f>
        <v/>
      </c>
      <c r="G180" s="62"/>
      <c r="H180" s="62"/>
      <c r="I180" s="62"/>
      <c r="J180" s="62"/>
      <c r="K180" s="62"/>
      <c r="L180" s="62" t="s">
        <v>763</v>
      </c>
      <c r="M180" s="62"/>
      <c r="N180" s="62"/>
      <c r="O180" s="62"/>
      <c r="P180" s="62"/>
      <c r="Q180" s="73"/>
      <c r="R180" s="151"/>
      <c r="S180" s="151"/>
      <c r="T180" s="151"/>
      <c r="U180" s="152"/>
      <c r="V180" s="152"/>
      <c r="W180" s="89"/>
      <c r="X180" s="89"/>
      <c r="Y180" s="196"/>
      <c r="Z180" s="196"/>
      <c r="AA180" s="196"/>
      <c r="AB180" s="150"/>
      <c r="AC180" s="152"/>
      <c r="AD180" s="150"/>
      <c r="AE180" s="150"/>
      <c r="AF180" s="91" t="str">
        <f t="shared" si="97"/>
        <v/>
      </c>
    </row>
    <row r="181" spans="2:32" ht="18">
      <c r="B181" s="71"/>
      <c r="C181" s="62"/>
      <c r="D181" s="244">
        <v>3</v>
      </c>
      <c r="E181" s="221" t="s">
        <v>721</v>
      </c>
      <c r="F181" s="78"/>
      <c r="G181" s="62"/>
      <c r="H181" s="62"/>
      <c r="I181" s="62"/>
      <c r="J181" s="62"/>
      <c r="K181" s="62"/>
      <c r="L181" s="62"/>
      <c r="M181" s="62"/>
      <c r="N181" s="62"/>
      <c r="O181" s="62"/>
      <c r="P181" s="62"/>
      <c r="Q181" s="73"/>
      <c r="R181" s="151" t="str">
        <f>IF(E118="","",IF(R29=1,"NA",VLOOKUP(12,'AISC Angle Database'!$F$6:$T$333,8,FALSE)))</f>
        <v/>
      </c>
      <c r="S181" s="151" t="str">
        <f t="shared" ref="S181:S189" si="98">IF(E118="","",IF(R29=1,"NA",$H$31*W29))</f>
        <v/>
      </c>
      <c r="T181" s="151" t="str">
        <f t="shared" ref="T181:T189" si="99">IF(E118="","",IF(R29=1,"NA",IF($H$31*R181&lt;=S181,$H$31*R181,S181)))</f>
        <v/>
      </c>
      <c r="U181" s="152" t="str">
        <f t="shared" ref="U181:U189" si="100">IF(E118="","",IF(R29=1,"NA",S29/U29))</f>
        <v/>
      </c>
      <c r="V181" s="152" t="str">
        <f t="shared" ref="V181:V189" si="101">IF(E118="","",IF(R29=1,"NA",T29/U29))</f>
        <v/>
      </c>
      <c r="W181" s="89" t="str">
        <f>IF(E118="","",IF(R29=1,"NA",IF(AND(U181&gt;=$W$213,U181&lt;$W$214),$X$213+((U181-$W$213)/$Y$213)*$Z$213,IF(AND(U181&gt;=$W$214,U181&lt;$W$215),$X$213+((U181-$W$214)/$Y$214)*$Z$214,IF(AND(U181&gt;=$W$215,U181&lt;$W$216),$X$215+((U181-$W$215)/$Y$215)*$Z$215,IF(AND(U181&gt;=$W$216,U181&lt;$W$217),$X$216+((U181-$W$216)/$Y$216)*$Z$216,IF(AND(U181&gt;=$W$217,U181&lt;$W$218),$X$217+((U181-$W$217)/$Y$217)*$Z$217,IF(AND(U181&gt;=$W$218,U181&lt;$W$219),$X$218+((U181-$W$218)/$Y$218)*$Z$218,IF(AND(U181&gt;=$W$219,U181&lt;$W$220),$X$219+((U181-$W$219)/$Y$219)*$Z$219,IF(AND(U181&gt;=$W$220,U181&lt;$W$221),$X$220+((U181-$W$220)/$Y$220)*$Z$220,IF(AND(U181&gt;=$W$221,U181&lt;$W229),$X$221+((U181-$W$221)/$Y$221)*$Z$221,IF(AND(U181&gt;=$W$222,U181&lt;$W$223),$X$222+((U181-$W$222)/$Y$222)*$Z$222,0.333))))))))))))</f>
        <v/>
      </c>
      <c r="X181" s="89" t="str">
        <f t="shared" ref="X181:X189" si="102">IF(E118="","",IF(R29=1,"NA",IF(AND(V181&gt;=$W$213,V181&lt;$W$214),$X$213+((V181-$W$213)/$Y$213)*$Z$213,IF(AND(V181&gt;=$W$214,V181&lt;$W$215),$X$213+((V181-$W$214)/$Y$214)*$Z$214,IF(AND(V181&gt;=$W$215,V181&lt;$W$216),$X$215+((V181-$W$215)/$Y$215)*$Z$215,IF(AND(V181&gt;=$W$216,V181&lt;$W$217),$X$216+((V181-$W$216)/$Y$216)*$Z$216,IF(AND(V181&gt;=$W$217,V181&lt;$W$218),$X$217+((V181-$W$217)/$Y$217)*$Z$217,IF(AND(V181&gt;=$W$218,V181&lt;$W$219),$X$218+((V181-$W$218)/$Y$218)*$Z$218,IF(AND(V181&gt;=$W$219,V181&lt;$W$220),$X$219+((V181-$W$219)/$Y$219)*$Z$219,IF(AND(V181&gt;=$W$220,V181&lt;$W$221),$X$220+((V181-$W$220)/$Y$220)*$Z$220,IF(AND(V181&gt;=$W$221,V181&lt;$W$222),$X$221+((V181-$W$221)/$Y$221)*$Z$221,IF(AND(V181&gt;=$W$222,V181&lt;$W$223),$X$222+((V181-$W$222)/$Y$222)*$Z$222,0.333))))))))))))</f>
        <v/>
      </c>
      <c r="Y181" s="196" t="str">
        <f t="shared" ref="Y181:Y189" si="103">IF(E118="","",IF(R29=1,"NA",(S29*U29^3*W181+(T29-U29)*U29^3*X181)*2))</f>
        <v/>
      </c>
      <c r="Z181" s="196" t="str">
        <f>IF(E118="","",IF(R29=1,"NA",VLOOKUP(12,'AISC Angle Database'!$F$6:$T$333,10,FALSE)))</f>
        <v/>
      </c>
      <c r="AA181" s="196" t="str">
        <f t="shared" ref="AA181:AA189" si="104">IF(E118="","",IF(R29=1,"NA",-2.3*(S29/($H$29*12)*SQRT(Z181/Y181))))</f>
        <v/>
      </c>
      <c r="AB181" s="150" t="str">
        <f t="shared" ref="AB181:AB189" si="105">IF(E118="","",IF(R29=1,"NA",(3.14159*SQRT(29000*Z181*11500*Y181)/($H$29*12))*(AA181+SQRT(1+AA181^2))))</f>
        <v/>
      </c>
      <c r="AC181" s="152" t="str">
        <f t="shared" ref="AC181:AC189" si="106">IF(E118="","",IF(R29=1,"NA",$H$31*(1.19-0.5*(S29/(2*U29))*SQRT($H$31/29000))))</f>
        <v/>
      </c>
      <c r="AD181" s="150" t="str">
        <f t="shared" ref="AD181:AD189" si="107">IF(E118="","",IF(R29=1,"NA",IF(V29="Y","NA",AC181*W29)))</f>
        <v/>
      </c>
      <c r="AE181" s="150" t="str">
        <f t="shared" ref="AE181:AE189" si="108">IF(E118="","",IF(R29=1,"NA",MIN(AD181,AB181,T181)))</f>
        <v/>
      </c>
      <c r="AF181" s="91" t="str">
        <f t="shared" si="97"/>
        <v/>
      </c>
    </row>
    <row r="182" spans="2:32" ht="18">
      <c r="B182" s="71"/>
      <c r="C182" s="62"/>
      <c r="D182" s="62"/>
      <c r="E182" s="221" t="s">
        <v>794</v>
      </c>
      <c r="F182" s="78"/>
      <c r="G182" s="62"/>
      <c r="H182" s="62"/>
      <c r="I182" s="62"/>
      <c r="J182" s="62"/>
      <c r="K182" s="62"/>
      <c r="L182" s="62"/>
      <c r="M182" s="62"/>
      <c r="N182" s="62"/>
      <c r="O182" s="62"/>
      <c r="P182" s="62"/>
      <c r="Q182" s="73"/>
      <c r="R182" s="151" t="str">
        <f>IF(E119="","",IF(R30=1,"NA",VLOOKUP(13,'AISC Angle Database'!$F$6:$T$333,8,FALSE)))</f>
        <v/>
      </c>
      <c r="S182" s="151" t="str">
        <f t="shared" si="98"/>
        <v/>
      </c>
      <c r="T182" s="151" t="str">
        <f t="shared" si="99"/>
        <v/>
      </c>
      <c r="U182" s="152" t="str">
        <f t="shared" si="100"/>
        <v/>
      </c>
      <c r="V182" s="152" t="str">
        <f t="shared" si="101"/>
        <v/>
      </c>
      <c r="W182" s="89" t="str">
        <f>IF(E119="","",IF(R30=1,"NA",IF(AND(U182&gt;=$W$213,U182&lt;$W$214),$X$213+((U182-$W$213)/$Y$213)*$Z$213,IF(AND(U182&gt;=$W$214,U182&lt;$W$215),$X$213+((U182-$W$214)/$Y$214)*$Z$214,IF(AND(U182&gt;=$W$215,U182&lt;$W$216),$X$215+((U182-$W$215)/$Y$215)*$Z$215,IF(AND(U182&gt;=$W$216,U182&lt;$W$217),$X$216+((U182-$W$216)/$Y$216)*$Z$216,IF(AND(U182&gt;=$W$217,U182&lt;$W$218),$X$217+((U182-$W$217)/$Y$217)*$Z$217,IF(AND(U182&gt;=$W$218,U182&lt;$W$219),$X$218+((U182-$W$218)/$Y$218)*$Z$218,IF(AND(U182&gt;=$W$219,U182&lt;$W$220),$X$219+((U182-$W$219)/$Y$219)*$Z$219,IF(AND(U182&gt;=$W$220,U182&lt;$W$221),$X$220+((U182-$W$220)/$Y$220)*$Z$220,IF(AND(U182&gt;=$W$221,U182&lt;$V135),$X$221+((U182-$W$221)/$Y$221)*$Z$221,IF(AND(U182&gt;=$W$222,U182&lt;$W$223),$X$222+((U182-$W$222)/$Y$222)*$Z$222,0.333))))))))))))</f>
        <v/>
      </c>
      <c r="X182" s="89" t="str">
        <f t="shared" si="102"/>
        <v/>
      </c>
      <c r="Y182" s="196" t="str">
        <f t="shared" si="103"/>
        <v/>
      </c>
      <c r="Z182" s="196" t="str">
        <f>IF(E119="","",IF(R30=1,"NA",VLOOKUP(13,'AISC Angle Database'!$F$6:$T$333,10,FALSE)))</f>
        <v/>
      </c>
      <c r="AA182" s="196" t="str">
        <f t="shared" si="104"/>
        <v/>
      </c>
      <c r="AB182" s="150" t="str">
        <f t="shared" si="105"/>
        <v/>
      </c>
      <c r="AC182" s="152" t="str">
        <f t="shared" si="106"/>
        <v/>
      </c>
      <c r="AD182" s="150" t="str">
        <f t="shared" si="107"/>
        <v/>
      </c>
      <c r="AE182" s="150" t="str">
        <f t="shared" si="108"/>
        <v/>
      </c>
      <c r="AF182" s="91" t="str">
        <f t="shared" si="97"/>
        <v/>
      </c>
    </row>
    <row r="183" spans="2:32" ht="18">
      <c r="B183" s="71"/>
      <c r="C183" s="62"/>
      <c r="D183" s="244">
        <v>4</v>
      </c>
      <c r="E183" s="223" t="s">
        <v>795</v>
      </c>
      <c r="F183" s="78"/>
      <c r="G183" s="62"/>
      <c r="H183" s="62"/>
      <c r="I183" s="62"/>
      <c r="J183" s="62"/>
      <c r="K183" s="62"/>
      <c r="L183" s="62"/>
      <c r="M183" s="62"/>
      <c r="N183" s="62"/>
      <c r="O183" s="62"/>
      <c r="P183" s="62"/>
      <c r="Q183" s="73"/>
      <c r="R183" s="151" t="str">
        <f>IF(E120="","",IF(R31=1,"NA",VLOOKUP(14,'AISC Angle Database'!$F$6:$T$333,8,FALSE)))</f>
        <v/>
      </c>
      <c r="S183" s="151" t="str">
        <f t="shared" si="98"/>
        <v/>
      </c>
      <c r="T183" s="151" t="str">
        <f t="shared" si="99"/>
        <v/>
      </c>
      <c r="U183" s="152" t="str">
        <f t="shared" si="100"/>
        <v/>
      </c>
      <c r="V183" s="152" t="str">
        <f t="shared" si="101"/>
        <v/>
      </c>
      <c r="W183" s="89" t="str">
        <f>IF(E120="","",IF(R31=1,"NA",IF(AND(U183&gt;=$W$213,U183&lt;$W$214),$X$213+((U183-$W$213)/$Y$213)*$Z$213,IF(AND(U183&gt;=$W$214,U183&lt;$W$215),$X$213+((U183-$W$214)/$Y$214)*$Z$214,IF(AND(U183&gt;=$W$215,U183&lt;$W$216),$X$215+((U183-$W$215)/$Y$215)*$Z$215,IF(AND(U183&gt;=$W$216,U183&lt;$W$217),$X$216+((U183-$W$216)/$Y$216)*$Z$216,IF(AND(U183&gt;=$W$217,U183&lt;$W$218),$X$217+((U183-$W$217)/$Y$217)*$Z$217,IF(AND(U183&gt;=$W$218,U183&lt;$W$219),$X$218+((U183-$W$218)/$Y$218)*$Z$218,IF(AND(U183&gt;=$W$219,U183&lt;$W$220),$X$219+((U183-$W$219)/$Y$219)*$Z$219,IF(AND(U183&gt;=$W$220,U183&lt;$W$221),$X$220+((U183-$W$220)/$Y$220)*$Z$220,IF(AND(U183&gt;=$W$221,U183&lt;$W135),$X$221+((U183-$W$221)/$Y$221)*$Z$221,IF(AND(U183&gt;=$W$222,U183&lt;$W$223),$X$222+((U183-$W$222)/$Y$222)*$Z$222,0.333))))))))))))</f>
        <v/>
      </c>
      <c r="X183" s="89" t="str">
        <f t="shared" si="102"/>
        <v/>
      </c>
      <c r="Y183" s="196" t="str">
        <f t="shared" si="103"/>
        <v/>
      </c>
      <c r="Z183" s="196" t="str">
        <f>IF(E120="","",IF(R31=1,"NA",VLOOKUP(14,'AISC Angle Database'!$F$6:$T$333,10,FALSE)))</f>
        <v/>
      </c>
      <c r="AA183" s="196" t="str">
        <f t="shared" si="104"/>
        <v/>
      </c>
      <c r="AB183" s="150" t="str">
        <f t="shared" si="105"/>
        <v/>
      </c>
      <c r="AC183" s="152" t="str">
        <f t="shared" si="106"/>
        <v/>
      </c>
      <c r="AD183" s="150" t="str">
        <f t="shared" si="107"/>
        <v/>
      </c>
      <c r="AE183" s="150" t="str">
        <f t="shared" si="108"/>
        <v/>
      </c>
      <c r="AF183" s="91" t="str">
        <f t="shared" si="97"/>
        <v/>
      </c>
    </row>
    <row r="184" spans="2:32" ht="18">
      <c r="B184" s="71"/>
      <c r="C184" s="62"/>
      <c r="D184" s="244">
        <v>5</v>
      </c>
      <c r="E184" s="104" t="s">
        <v>722</v>
      </c>
      <c r="F184" s="62"/>
      <c r="G184" s="62"/>
      <c r="H184" s="62"/>
      <c r="I184" s="75" t="s">
        <v>732</v>
      </c>
      <c r="J184" s="222" t="str">
        <f>[1]!EQS(AX9,"Units= ; EqnPrefix=Eqn. ; EqnNo= 28; Multiplication= 0; ShowWorking= 0; EqnStyle= 0; Eqp$I$53_0")</f>
        <v/>
      </c>
      <c r="K184" s="62"/>
      <c r="L184" s="62"/>
      <c r="M184" s="62"/>
      <c r="N184" s="62"/>
      <c r="O184" s="62"/>
      <c r="P184" s="62"/>
      <c r="Q184" s="73"/>
      <c r="R184" s="151" t="str">
        <f>IF(E121="","",IF(R32=1,"NA",VLOOKUP(15,'AISC Angle Database'!$F$6:$T$333,8,FALSE)))</f>
        <v/>
      </c>
      <c r="S184" s="151" t="str">
        <f t="shared" si="98"/>
        <v/>
      </c>
      <c r="T184" s="151" t="str">
        <f t="shared" si="99"/>
        <v/>
      </c>
      <c r="U184" s="152" t="str">
        <f t="shared" si="100"/>
        <v/>
      </c>
      <c r="V184" s="152" t="str">
        <f t="shared" si="101"/>
        <v/>
      </c>
      <c r="W184" s="89" t="str">
        <f>IF(E121="","",IF(R32=1,"NA",IF(AND(U184&gt;=$W$213,U184&lt;$W$214),$X$213+((U184-$W$213)/$Y$213)*$Z$213,IF(AND(U184&gt;=$W$214,U184&lt;$W$215),$X$213+((U184-$W$214)/$Y$214)*$Z$214,IF(AND(U184&gt;=$W$215,U184&lt;$W$216),$X$215+((U184-$W$215)/$Y$215)*$Z$215,IF(AND(U184&gt;=$W$216,U184&lt;$W$217),$X$216+((U184-$W$216)/$Y$216)*$Z$216,IF(AND(U184&gt;=$W$217,U184&lt;$W$218),$X$217+((U184-$W$217)/$Y$217)*$Z$217,IF(AND(U184&gt;=$W$218,U184&lt;$W$219),$X$218+((U184-$W$218)/$Y$218)*$Z$218,IF(AND(U184&gt;=$W$219,U184&lt;$W$220),$X$219+((U184-$W$219)/$Y$219)*$Z$219,IF(AND(U184&gt;=$W$220,U184&lt;$W$221),$X$220+((U184-$W$220)/$Y$220)*$Z$220,IF(AND(U184&gt;=$W$221,U184&lt;#REF!),$X$221+((U184-$W$221)/$Y$221)*$Z$221,IF(AND(U184&gt;=$W$222,U184&lt;$W$223),$X$222+((U184-$W$222)/$Y$222)*$Z$222,0.333))))))))))))</f>
        <v/>
      </c>
      <c r="X184" s="89" t="str">
        <f t="shared" si="102"/>
        <v/>
      </c>
      <c r="Y184" s="196" t="str">
        <f t="shared" si="103"/>
        <v/>
      </c>
      <c r="Z184" s="196" t="str">
        <f>IF(E121="","",IF(R32=1,"NA",VLOOKUP(15,'AISC Angle Database'!$F$6:$T$333,10,FALSE)))</f>
        <v/>
      </c>
      <c r="AA184" s="196" t="str">
        <f t="shared" si="104"/>
        <v/>
      </c>
      <c r="AB184" s="150" t="str">
        <f t="shared" si="105"/>
        <v/>
      </c>
      <c r="AC184" s="152" t="str">
        <f t="shared" si="106"/>
        <v/>
      </c>
      <c r="AD184" s="150" t="str">
        <f t="shared" si="107"/>
        <v/>
      </c>
      <c r="AE184" s="150" t="str">
        <f t="shared" si="108"/>
        <v/>
      </c>
      <c r="AF184" s="91" t="str">
        <f t="shared" si="97"/>
        <v/>
      </c>
    </row>
    <row r="185" spans="2:32">
      <c r="B185" s="71"/>
      <c r="C185" s="62"/>
      <c r="D185" s="64"/>
      <c r="E185" s="104"/>
      <c r="F185" s="62"/>
      <c r="G185" s="62"/>
      <c r="H185" s="62"/>
      <c r="I185" s="62"/>
      <c r="J185" s="62"/>
      <c r="K185" s="62"/>
      <c r="L185" s="62"/>
      <c r="M185" s="62"/>
      <c r="N185" s="62"/>
      <c r="O185" s="62"/>
      <c r="P185" s="62"/>
      <c r="Q185" s="73"/>
      <c r="R185" s="151" t="str">
        <f>IF(E122="","",IF(R33=1,"NA",VLOOKUP(16,'AISC Angle Database'!$F$6:$T$333,8,FALSE)))</f>
        <v/>
      </c>
      <c r="S185" s="151" t="str">
        <f t="shared" si="98"/>
        <v/>
      </c>
      <c r="T185" s="151" t="str">
        <f t="shared" si="99"/>
        <v/>
      </c>
      <c r="U185" s="152" t="str">
        <f t="shared" si="100"/>
        <v/>
      </c>
      <c r="V185" s="152" t="str">
        <f t="shared" si="101"/>
        <v/>
      </c>
      <c r="W185" s="89" t="str">
        <f>IF(E122="","",IF(R33=1,"NA",IF(AND(U185&gt;=$W$213,U185&lt;$W$214),$X$213+((U185-$W$213)/$Y$213)*$Z$213,IF(AND(U185&gt;=$W$214,U185&lt;$W$215),$X$213+((U185-$W$214)/$Y$214)*$Z$214,IF(AND(U185&gt;=$W$215,U185&lt;$W$216),$X$215+((U185-$W$215)/$Y$215)*$Z$215,IF(AND(U185&gt;=$W$216,U185&lt;$W$217),$X$216+((U185-$W$216)/$Y$216)*$Z$216,IF(AND(U185&gt;=$W$217,U185&lt;$W$218),$X$217+((U185-$W$217)/$Y$217)*$Z$217,IF(AND(U185&gt;=$W$218,U185&lt;$W$219),$X$218+((U185-$W$218)/$Y$218)*$Z$218,IF(AND(U185&gt;=$W$219,U185&lt;$W$220),$X$219+((U185-$W$219)/$Y$219)*$Z$219,IF(AND(U185&gt;=$W$220,U185&lt;$W$221),$X$220+((U185-$W$220)/$Y$220)*$Z$220,IF(AND(U185&gt;=$W$221,U185&lt;#REF!),$X$221+((U185-$W$221)/$Y$221)*$Z$221,IF(AND(U185&gt;=$W$222,U185&lt;$W$223),$X$222+((U185-$W$222)/$Y$222)*$Z$222,0.333))))))))))))</f>
        <v/>
      </c>
      <c r="X185" s="89" t="str">
        <f t="shared" si="102"/>
        <v/>
      </c>
      <c r="Y185" s="196" t="str">
        <f t="shared" si="103"/>
        <v/>
      </c>
      <c r="Z185" s="196" t="str">
        <f>IF(E122="","",IF(R33=1,"NA",VLOOKUP(16,'AISC Angle Database'!$F$6:$T$333,10,FALSE)))</f>
        <v/>
      </c>
      <c r="AA185" s="196" t="str">
        <f t="shared" si="104"/>
        <v/>
      </c>
      <c r="AB185" s="150" t="str">
        <f t="shared" si="105"/>
        <v/>
      </c>
      <c r="AC185" s="152" t="str">
        <f t="shared" si="106"/>
        <v/>
      </c>
      <c r="AD185" s="150" t="str">
        <f t="shared" si="107"/>
        <v/>
      </c>
      <c r="AE185" s="150" t="str">
        <f t="shared" si="108"/>
        <v/>
      </c>
      <c r="AF185" s="91" t="str">
        <f t="shared" si="97"/>
        <v/>
      </c>
    </row>
    <row r="186" spans="2:32">
      <c r="B186" s="71"/>
      <c r="C186" s="62"/>
      <c r="D186" s="107" t="s">
        <v>772</v>
      </c>
      <c r="E186" s="104"/>
      <c r="F186" s="62"/>
      <c r="G186" s="62"/>
      <c r="H186" s="62"/>
      <c r="I186" s="62"/>
      <c r="J186" s="62"/>
      <c r="K186" s="62"/>
      <c r="L186" s="62"/>
      <c r="M186" s="62"/>
      <c r="N186" s="62"/>
      <c r="O186" s="62"/>
      <c r="P186" s="62"/>
      <c r="Q186" s="73"/>
      <c r="R186" s="151" t="str">
        <f>IF(E123="","",IF(R34=1,"NA",VLOOKUP(17,'AISC Angle Database'!$F$6:$T$333,8,FALSE)))</f>
        <v/>
      </c>
      <c r="S186" s="151" t="str">
        <f t="shared" si="98"/>
        <v/>
      </c>
      <c r="T186" s="151" t="str">
        <f t="shared" si="99"/>
        <v/>
      </c>
      <c r="U186" s="152" t="str">
        <f t="shared" si="100"/>
        <v/>
      </c>
      <c r="V186" s="152" t="str">
        <f t="shared" si="101"/>
        <v/>
      </c>
      <c r="W186" s="89" t="str">
        <f>IF(E123="","",IF(R34=1,"NA",IF(AND(U186&gt;=$W$213,U186&lt;$W$214),$X$213+((U186-$W$213)/$Y$213)*$Z$213,IF(AND(U186&gt;=$W$214,U186&lt;$W$215),$X$213+((U186-$W$214)/$Y$214)*$Z$214,IF(AND(U186&gt;=$W$215,U186&lt;$W$216),$X$215+((U186-$W$215)/$Y$215)*$Z$215,IF(AND(U186&gt;=$W$216,U186&lt;$W$217),$X$216+((U186-$W$216)/$Y$216)*$Z$216,IF(AND(U186&gt;=$W$217,U186&lt;$W$218),$X$217+((U186-$W$217)/$Y$217)*$Z$217,IF(AND(U186&gt;=$W$218,U186&lt;$W$219),$X$218+((U186-$W$218)/$Y$218)*$Z$218,IF(AND(U186&gt;=$W$219,U186&lt;$W$220),$X$219+((U186-$W$219)/$Y$219)*$Z$219,IF(AND(U186&gt;=$W$220,U186&lt;$W$221),$X$220+((U186-$W$220)/$Y$220)*$Z$220,IF(AND(U186&gt;=$W$221,U186&lt;#REF!),$X$221+((U186-$W$221)/$Y$221)*$Z$221,IF(AND(U186&gt;=$W$222,U186&lt;$W$223),$X$222+((U186-$W$222)/$Y$222)*$Z$222,0.333))))))))))))</f>
        <v/>
      </c>
      <c r="X186" s="89" t="str">
        <f t="shared" si="102"/>
        <v/>
      </c>
      <c r="Y186" s="196" t="str">
        <f t="shared" si="103"/>
        <v/>
      </c>
      <c r="Z186" s="196" t="str">
        <f>IF(E123="","",IF(R34=1,"NA",VLOOKUP(17,'AISC Angle Database'!$F$6:$T$333,10,FALSE)))</f>
        <v/>
      </c>
      <c r="AA186" s="196" t="str">
        <f t="shared" si="104"/>
        <v/>
      </c>
      <c r="AB186" s="150" t="str">
        <f t="shared" si="105"/>
        <v/>
      </c>
      <c r="AC186" s="152" t="str">
        <f t="shared" si="106"/>
        <v/>
      </c>
      <c r="AD186" s="150" t="str">
        <f t="shared" si="107"/>
        <v/>
      </c>
      <c r="AE186" s="150" t="str">
        <f t="shared" si="108"/>
        <v/>
      </c>
      <c r="AF186" s="91" t="str">
        <f t="shared" si="97"/>
        <v/>
      </c>
    </row>
    <row r="187" spans="2:32" ht="18">
      <c r="B187" s="71"/>
      <c r="C187" s="62"/>
      <c r="D187" s="244">
        <v>1</v>
      </c>
      <c r="E187" s="104" t="s">
        <v>724</v>
      </c>
      <c r="F187" s="62"/>
      <c r="G187" s="62"/>
      <c r="H187" s="62"/>
      <c r="I187" s="62"/>
      <c r="J187" s="224" t="s">
        <v>725</v>
      </c>
      <c r="K187" s="222" t="str">
        <f>[1]!EQS(AX12,"Units= ; EqnPrefix=Eqn. ; EqnNo= 2; Multiplication= 0; ShowWorking= 0; EqnStyle= 0; Eqp$K$57_0")</f>
        <v/>
      </c>
      <c r="L187" s="62"/>
      <c r="M187" s="62"/>
      <c r="N187" s="62"/>
      <c r="O187" s="62"/>
      <c r="P187" s="62"/>
      <c r="Q187" s="73"/>
      <c r="R187" s="151" t="str">
        <f>IF(E124="","",IF(R35=1,"NA",VLOOKUP(18,'AISC Angle Database'!$F$6:$T$333,8,FALSE)))</f>
        <v/>
      </c>
      <c r="S187" s="151" t="str">
        <f t="shared" si="98"/>
        <v/>
      </c>
      <c r="T187" s="151" t="str">
        <f t="shared" si="99"/>
        <v/>
      </c>
      <c r="U187" s="152" t="str">
        <f t="shared" si="100"/>
        <v/>
      </c>
      <c r="V187" s="152" t="str">
        <f t="shared" si="101"/>
        <v/>
      </c>
      <c r="W187" s="89" t="str">
        <f>IF(E124="","",IF(R35=1,"NA",IF(AND(U187&gt;=$W$213,U187&lt;$W$214),$X$213+((U187-$W$213)/$Y$213)*$Z$213,IF(AND(U187&gt;=$W$214,U187&lt;$W$215),$X$213+((U187-$W$214)/$Y$214)*$Z$214,IF(AND(U187&gt;=$W$215,U187&lt;$W$216),$X$215+((U187-$W$215)/$Y$215)*$Z$215,IF(AND(U187&gt;=$W$216,U187&lt;$W$217),$X$216+((U187-$W$216)/$Y$216)*$Z$216,IF(AND(U187&gt;=$W$217,U187&lt;$W$218),$X$217+((U187-$W$217)/$Y$217)*$Z$217,IF(AND(U187&gt;=$W$218,U187&lt;$W$219),$X$218+((U187-$W$218)/$Y$218)*$Z$218,IF(AND(U187&gt;=$W$219,U187&lt;$W$220),$X$219+((U187-$W$219)/$Y$219)*$Z$219,IF(AND(U187&gt;=$W$220,U187&lt;$W$221),$X$220+((U187-$W$220)/$Y$220)*$Z$220,IF(AND(U187&gt;=$W$221,U187&lt;#REF!),$X$221+((U187-$W$221)/$Y$221)*$Z$221,IF(AND(U187&gt;=$W$222,U187&lt;$W$223),$X$222+((U187-$W$222)/$Y$222)*$Z$222,0.333))))))))))))</f>
        <v/>
      </c>
      <c r="X187" s="89" t="str">
        <f t="shared" si="102"/>
        <v/>
      </c>
      <c r="Y187" s="196" t="str">
        <f t="shared" si="103"/>
        <v/>
      </c>
      <c r="Z187" s="196" t="str">
        <f>IF(E124="","",IF(R35=1,"NA",VLOOKUP(18,'AISC Angle Database'!$F$6:$T$333,10,FALSE)))</f>
        <v/>
      </c>
      <c r="AA187" s="196" t="str">
        <f t="shared" si="104"/>
        <v/>
      </c>
      <c r="AB187" s="150" t="str">
        <f t="shared" si="105"/>
        <v/>
      </c>
      <c r="AC187" s="152" t="str">
        <f t="shared" si="106"/>
        <v/>
      </c>
      <c r="AD187" s="150" t="str">
        <f t="shared" si="107"/>
        <v/>
      </c>
      <c r="AE187" s="150" t="str">
        <f t="shared" si="108"/>
        <v/>
      </c>
      <c r="AF187" s="91" t="str">
        <f t="shared" si="97"/>
        <v/>
      </c>
    </row>
    <row r="188" spans="2:32">
      <c r="B188" s="71"/>
      <c r="C188" s="62"/>
      <c r="D188" s="244">
        <v>2</v>
      </c>
      <c r="E188" s="104" t="s">
        <v>773</v>
      </c>
      <c r="F188" s="62"/>
      <c r="G188" s="62"/>
      <c r="H188" s="62"/>
      <c r="I188" s="62"/>
      <c r="J188" s="62"/>
      <c r="K188" s="62"/>
      <c r="L188" s="62"/>
      <c r="M188" s="62"/>
      <c r="N188" s="62"/>
      <c r="O188" s="62"/>
      <c r="P188" s="62"/>
      <c r="Q188" s="73"/>
      <c r="R188" s="151" t="str">
        <f>IF(E125="","",IF(R36=1,"NA",VLOOKUP(19,'AISC Angle Database'!$F$6:$T$333,8,FALSE)))</f>
        <v/>
      </c>
      <c r="S188" s="151" t="str">
        <f t="shared" si="98"/>
        <v/>
      </c>
      <c r="T188" s="151" t="str">
        <f t="shared" si="99"/>
        <v/>
      </c>
      <c r="U188" s="152" t="str">
        <f t="shared" si="100"/>
        <v/>
      </c>
      <c r="V188" s="152" t="str">
        <f t="shared" si="101"/>
        <v/>
      </c>
      <c r="W188" s="89" t="str">
        <f>IF(E125="","",IF(R36=1,"NA",IF(AND(U188&gt;=$W$213,U188&lt;$W$214),$X$213+((U188-$W$213)/$Y$213)*$Z$213,IF(AND(U188&gt;=$W$214,U188&lt;$W$215),$X$213+((U188-$W$214)/$Y$214)*$Z$214,IF(AND(U188&gt;=$W$215,U188&lt;$W$216),$X$215+((U188-$W$215)/$Y$215)*$Z$215,IF(AND(U188&gt;=$W$216,U188&lt;$W$217),$X$216+((U188-$W$216)/$Y$216)*$Z$216,IF(AND(U188&gt;=$W$217,U188&lt;$W$218),$X$217+((U188-$W$217)/$Y$217)*$Z$217,IF(AND(U188&gt;=$W$218,U188&lt;$W$219),$X$218+((U188-$W$218)/$Y$218)*$Z$218,IF(AND(U188&gt;=$W$219,U188&lt;$W$220),$X$219+((U188-$W$219)/$Y$219)*$Z$219,IF(AND(U188&gt;=$W$220,U188&lt;$W$221),$X$220+((U188-$W$220)/$Y$220)*$Z$220,IF(AND(U188&gt;=$W$221,U188&lt;#REF!),$X$221+((U188-$W$221)/$Y$221)*$Z$221,IF(AND(U188&gt;=$W$222,U188&lt;$W$223),$X$222+((U188-$W$222)/$Y$222)*$Z$222,0.333))))))))))))</f>
        <v/>
      </c>
      <c r="X188" s="89" t="str">
        <f t="shared" si="102"/>
        <v/>
      </c>
      <c r="Y188" s="196" t="str">
        <f t="shared" si="103"/>
        <v/>
      </c>
      <c r="Z188" s="196" t="str">
        <f>IF(E125="","",IF(R36=1,"NA",VLOOKUP(19,'AISC Angle Database'!$F$6:$T$333,10,FALSE)))</f>
        <v/>
      </c>
      <c r="AA188" s="196" t="str">
        <f t="shared" si="104"/>
        <v/>
      </c>
      <c r="AB188" s="150" t="str">
        <f t="shared" si="105"/>
        <v/>
      </c>
      <c r="AC188" s="152" t="str">
        <f t="shared" si="106"/>
        <v/>
      </c>
      <c r="AD188" s="150" t="str">
        <f t="shared" si="107"/>
        <v/>
      </c>
      <c r="AE188" s="150" t="str">
        <f t="shared" si="108"/>
        <v/>
      </c>
      <c r="AF188" s="91" t="str">
        <f t="shared" si="97"/>
        <v/>
      </c>
    </row>
    <row r="189" spans="2:32" ht="18.75" thickBot="1">
      <c r="B189" s="71"/>
      <c r="C189" s="62"/>
      <c r="D189" s="244">
        <v>3</v>
      </c>
      <c r="E189" s="104" t="s">
        <v>728</v>
      </c>
      <c r="F189" s="62"/>
      <c r="G189" s="62"/>
      <c r="H189" s="62"/>
      <c r="I189" s="75" t="s">
        <v>729</v>
      </c>
      <c r="J189" s="222" t="str">
        <f>[1]!EQS(AX16,"Units= ; EqnPrefix=Eqn. ; EqnNo= 3; Multiplication= 0; ShowWorking= 0; EqnStyle= 0; Eqp$J$59_0")</f>
        <v/>
      </c>
      <c r="K189" s="62"/>
      <c r="L189" s="62"/>
      <c r="M189" s="62"/>
      <c r="N189" s="62"/>
      <c r="O189" s="62"/>
      <c r="P189" s="62"/>
      <c r="Q189" s="73"/>
      <c r="R189" s="172" t="str">
        <f>IF(E126="","",IF(R37=1,"NA",VLOOKUP(20,'AISC Angle Database'!$F$6:$T$333,8,FALSE)))</f>
        <v/>
      </c>
      <c r="S189" s="172" t="str">
        <f t="shared" si="98"/>
        <v/>
      </c>
      <c r="T189" s="172" t="str">
        <f t="shared" si="99"/>
        <v/>
      </c>
      <c r="U189" s="173" t="str">
        <f t="shared" si="100"/>
        <v/>
      </c>
      <c r="V189" s="173" t="str">
        <f t="shared" si="101"/>
        <v/>
      </c>
      <c r="W189" s="225" t="str">
        <f>IF(E126="","",IF(R37=1,"NA",IF(AND(U189&gt;=$W$213,U189&lt;$W$214),$X$213+((U189-$W$213)/$Y$213)*$Z$213,IF(AND(U189&gt;=$W$214,U189&lt;$W$215),$X$213+((U189-$W$214)/$Y$214)*$Z$214,IF(AND(U189&gt;=$W$215,U189&lt;$W$216),$X$215+((U189-$W$215)/$Y$215)*$Z$215,IF(AND(U189&gt;=$W$216,U189&lt;$W$217),$X$216+((U189-$W$216)/$Y$216)*$Z$216,IF(AND(U189&gt;=$W$217,U189&lt;$W$218),$X$217+((U189-$W$217)/$Y$217)*$Z$217,IF(AND(U189&gt;=$W$218,U189&lt;$W$219),$X$218+((U189-$W$218)/$Y$218)*$Z$218,IF(AND(U189&gt;=$W$219,U189&lt;$W$220),$X$219+((U189-$W$219)/$Y$219)*$Z$219,IF(AND(U189&gt;=$W$220,U189&lt;$W$221),$X$220+((U189-$W$220)/$Y$220)*$Z$220,IF(AND(U189&gt;=$W$221,U189&lt;#REF!),$X$221+((U189-$W$221)/$Y$221)*$Z$221,IF(AND(U189&gt;=$W$222,U189&lt;$W$223),$X$222+((U189-$W$222)/$Y$222)*$Z$222,0.333))))))))))))</f>
        <v/>
      </c>
      <c r="X189" s="225" t="str">
        <f t="shared" si="102"/>
        <v/>
      </c>
      <c r="Y189" s="204" t="str">
        <f t="shared" si="103"/>
        <v/>
      </c>
      <c r="Z189" s="204" t="str">
        <f>IF(E126="","",IF(R37=1,"NA",VLOOKUP(20,'AISC Angle Database'!$F$6:$T$333,10,FALSE)))</f>
        <v/>
      </c>
      <c r="AA189" s="204" t="str">
        <f t="shared" si="104"/>
        <v/>
      </c>
      <c r="AB189" s="171" t="str">
        <f t="shared" si="105"/>
        <v/>
      </c>
      <c r="AC189" s="173" t="str">
        <f t="shared" si="106"/>
        <v/>
      </c>
      <c r="AD189" s="171" t="str">
        <f t="shared" si="107"/>
        <v/>
      </c>
      <c r="AE189" s="171" t="str">
        <f t="shared" si="108"/>
        <v/>
      </c>
      <c r="AF189" s="226" t="str">
        <f t="shared" si="97"/>
        <v/>
      </c>
    </row>
    <row r="190" spans="2:32">
      <c r="B190" s="71"/>
      <c r="C190" s="62"/>
      <c r="D190" s="244"/>
      <c r="E190" s="104"/>
      <c r="F190" s="62"/>
      <c r="G190" s="62"/>
      <c r="H190" s="62"/>
      <c r="I190" s="75"/>
      <c r="J190" s="222"/>
      <c r="K190" s="62"/>
      <c r="L190" s="62"/>
      <c r="M190" s="62"/>
      <c r="N190" s="62"/>
      <c r="O190" s="62"/>
      <c r="P190" s="62"/>
      <c r="Q190" s="73"/>
      <c r="R190" s="63"/>
      <c r="S190" s="62"/>
      <c r="T190" s="62"/>
      <c r="U190" s="62"/>
      <c r="V190" s="62"/>
      <c r="W190" s="62"/>
      <c r="X190" s="62"/>
      <c r="Y190" s="62"/>
      <c r="Z190" s="62"/>
      <c r="AA190" s="62"/>
      <c r="AB190" s="62"/>
      <c r="AC190" s="62"/>
      <c r="AD190" s="62"/>
      <c r="AE190" s="62"/>
      <c r="AF190" s="227"/>
    </row>
    <row r="191" spans="2:32" ht="15.75">
      <c r="B191" s="71"/>
      <c r="C191" s="220" t="s">
        <v>921</v>
      </c>
      <c r="D191" s="244"/>
      <c r="E191" s="104"/>
      <c r="F191" s="62"/>
      <c r="G191" s="62"/>
      <c r="H191" s="62"/>
      <c r="I191" s="75"/>
      <c r="J191" s="222"/>
      <c r="K191" s="62"/>
      <c r="L191" s="62"/>
      <c r="M191" s="62"/>
      <c r="N191" s="62"/>
      <c r="O191" s="62"/>
      <c r="P191" s="62"/>
      <c r="Q191" s="73"/>
      <c r="R191" s="63"/>
      <c r="S191" s="62"/>
      <c r="T191" s="62"/>
      <c r="U191" s="62"/>
      <c r="V191" s="62"/>
      <c r="W191" s="62"/>
      <c r="X191" s="62"/>
      <c r="Y191" s="62"/>
      <c r="Z191" s="62"/>
      <c r="AA191" s="62"/>
      <c r="AB191" s="62"/>
      <c r="AC191" s="62"/>
      <c r="AD191" s="62"/>
      <c r="AE191" s="62"/>
      <c r="AF191" s="73"/>
    </row>
    <row r="192" spans="2:32">
      <c r="B192" s="71"/>
      <c r="C192" s="62"/>
      <c r="D192" s="228" t="s">
        <v>928</v>
      </c>
      <c r="E192" s="104"/>
      <c r="F192" s="62"/>
      <c r="G192" s="62"/>
      <c r="H192" s="62"/>
      <c r="I192" s="75"/>
      <c r="J192" s="222"/>
      <c r="K192" s="62"/>
      <c r="L192" s="62"/>
      <c r="M192" s="62"/>
      <c r="N192" s="62"/>
      <c r="O192" s="62"/>
      <c r="P192" s="62"/>
      <c r="Q192" s="73"/>
      <c r="R192" s="63"/>
      <c r="S192" s="62"/>
      <c r="T192" s="62"/>
      <c r="U192" s="62"/>
      <c r="V192" s="62"/>
      <c r="W192" s="62"/>
      <c r="X192" s="62"/>
      <c r="Y192" s="62"/>
      <c r="Z192" s="62"/>
      <c r="AA192" s="62"/>
      <c r="AB192" s="62"/>
      <c r="AC192" s="62"/>
      <c r="AD192" s="62"/>
      <c r="AE192" s="62"/>
      <c r="AF192" s="73"/>
    </row>
    <row r="193" spans="2:32" ht="18">
      <c r="B193" s="71"/>
      <c r="C193" s="62"/>
      <c r="D193" s="244"/>
      <c r="E193" s="93" t="s">
        <v>800</v>
      </c>
      <c r="F193" s="62"/>
      <c r="G193" s="62"/>
      <c r="H193" s="62"/>
      <c r="I193" s="75"/>
      <c r="J193" s="222"/>
      <c r="K193" s="62"/>
      <c r="L193" s="62"/>
      <c r="M193" s="62"/>
      <c r="N193" s="62"/>
      <c r="O193" s="62"/>
      <c r="P193" s="62"/>
      <c r="Q193" s="73"/>
      <c r="R193" s="63"/>
      <c r="S193" s="62"/>
      <c r="T193" s="62"/>
      <c r="U193" s="62"/>
      <c r="V193" s="62"/>
      <c r="W193" s="62"/>
      <c r="X193" s="62"/>
      <c r="Y193" s="62"/>
      <c r="Z193" s="62"/>
      <c r="AA193" s="62"/>
      <c r="AB193" s="62"/>
      <c r="AC193" s="62"/>
      <c r="AD193" s="62"/>
      <c r="AE193" s="62"/>
      <c r="AF193" s="73"/>
    </row>
    <row r="194" spans="2:32">
      <c r="B194" s="71"/>
      <c r="C194" s="62"/>
      <c r="D194" s="244"/>
      <c r="E194" s="104" t="s">
        <v>923</v>
      </c>
      <c r="F194" s="62"/>
      <c r="G194" s="62"/>
      <c r="H194" s="62"/>
      <c r="I194" s="75"/>
      <c r="J194" s="222"/>
      <c r="K194" s="62"/>
      <c r="L194" s="62"/>
      <c r="M194" s="62"/>
      <c r="N194" s="62"/>
      <c r="O194" s="62"/>
      <c r="P194" s="62"/>
      <c r="Q194" s="73"/>
      <c r="R194" s="63"/>
      <c r="S194" s="62"/>
      <c r="T194" s="62"/>
      <c r="U194" s="62"/>
      <c r="V194" s="62"/>
      <c r="W194" s="62"/>
      <c r="X194" s="62"/>
      <c r="Y194" s="62"/>
      <c r="Z194" s="62"/>
      <c r="AA194" s="62"/>
      <c r="AB194" s="62"/>
      <c r="AC194" s="62"/>
      <c r="AD194" s="62"/>
      <c r="AE194" s="62"/>
      <c r="AF194" s="73"/>
    </row>
    <row r="195" spans="2:32">
      <c r="B195" s="71"/>
      <c r="C195" s="62"/>
      <c r="D195" s="244"/>
      <c r="E195" s="104" t="s">
        <v>927</v>
      </c>
      <c r="F195" s="62"/>
      <c r="G195" s="62"/>
      <c r="H195" s="62"/>
      <c r="I195" s="75"/>
      <c r="J195" s="222"/>
      <c r="K195" s="62"/>
      <c r="L195" s="62"/>
      <c r="M195" s="62"/>
      <c r="N195" s="62"/>
      <c r="O195" s="62"/>
      <c r="P195" s="62"/>
      <c r="Q195" s="73"/>
      <c r="R195" s="63"/>
      <c r="S195" s="62"/>
      <c r="T195" s="62"/>
      <c r="U195" s="62"/>
      <c r="V195" s="62"/>
      <c r="W195" s="62"/>
      <c r="X195" s="62"/>
      <c r="Y195" s="62"/>
      <c r="Z195" s="62"/>
      <c r="AA195" s="62"/>
      <c r="AB195" s="62"/>
      <c r="AC195" s="62"/>
      <c r="AD195" s="62"/>
      <c r="AE195" s="62"/>
      <c r="AF195" s="73"/>
    </row>
    <row r="196" spans="2:32">
      <c r="B196" s="71"/>
      <c r="C196" s="62"/>
      <c r="D196" s="244"/>
      <c r="E196" s="104" t="s">
        <v>924</v>
      </c>
      <c r="F196" s="62"/>
      <c r="G196" s="62"/>
      <c r="H196" s="62"/>
      <c r="I196" s="75"/>
      <c r="J196" s="222"/>
      <c r="K196" s="62"/>
      <c r="L196" s="62"/>
      <c r="M196" s="62"/>
      <c r="N196" s="62"/>
      <c r="O196" s="62"/>
      <c r="P196" s="62"/>
      <c r="Q196" s="73"/>
      <c r="R196" s="63"/>
      <c r="S196" s="62"/>
      <c r="T196" s="62"/>
      <c r="U196" s="62"/>
      <c r="V196" s="62"/>
      <c r="W196" s="62"/>
      <c r="X196" s="62"/>
      <c r="Y196" s="62"/>
      <c r="Z196" s="62"/>
      <c r="AA196" s="62"/>
      <c r="AB196" s="62"/>
      <c r="AC196" s="62"/>
      <c r="AD196" s="62"/>
      <c r="AE196" s="62"/>
      <c r="AF196" s="73"/>
    </row>
    <row r="197" spans="2:32">
      <c r="B197" s="71"/>
      <c r="C197" s="62"/>
      <c r="D197" s="244"/>
      <c r="E197" s="104" t="s">
        <v>925</v>
      </c>
      <c r="F197" s="62"/>
      <c r="G197" s="62"/>
      <c r="H197" s="62"/>
      <c r="I197" s="75"/>
      <c r="J197" s="222"/>
      <c r="K197" s="62"/>
      <c r="L197" s="62"/>
      <c r="M197" s="62"/>
      <c r="N197" s="62"/>
      <c r="O197" s="62"/>
      <c r="P197" s="62"/>
      <c r="Q197" s="73"/>
      <c r="R197" s="63"/>
      <c r="S197" s="62"/>
      <c r="T197" s="62"/>
      <c r="U197" s="62"/>
      <c r="V197" s="62"/>
      <c r="W197" s="62"/>
      <c r="X197" s="62"/>
      <c r="Y197" s="62"/>
      <c r="Z197" s="62"/>
      <c r="AA197" s="62"/>
      <c r="AB197" s="62"/>
      <c r="AC197" s="62"/>
      <c r="AD197" s="62"/>
      <c r="AE197" s="62"/>
      <c r="AF197" s="73"/>
    </row>
    <row r="198" spans="2:32">
      <c r="B198" s="71"/>
      <c r="C198" s="62"/>
      <c r="D198" s="64"/>
      <c r="E198" s="104" t="s">
        <v>926</v>
      </c>
      <c r="F198" s="62"/>
      <c r="G198" s="62"/>
      <c r="H198" s="62"/>
      <c r="I198" s="62"/>
      <c r="J198" s="62"/>
      <c r="K198" s="62"/>
      <c r="L198" s="62"/>
      <c r="M198" s="62"/>
      <c r="N198" s="62"/>
      <c r="O198" s="62"/>
      <c r="P198" s="62"/>
      <c r="Q198" s="73"/>
      <c r="R198" s="63"/>
      <c r="S198" s="62"/>
      <c r="T198" s="62"/>
      <c r="U198" s="62"/>
      <c r="V198" s="62"/>
      <c r="W198" s="62"/>
      <c r="X198" s="62"/>
      <c r="Y198" s="62"/>
      <c r="Z198" s="62"/>
      <c r="AA198" s="62"/>
      <c r="AB198" s="62"/>
      <c r="AC198" s="62"/>
      <c r="AD198" s="62"/>
      <c r="AE198" s="62"/>
      <c r="AF198" s="73"/>
    </row>
    <row r="199" spans="2:32">
      <c r="B199" s="71"/>
      <c r="C199" s="62"/>
      <c r="D199" s="64"/>
      <c r="E199" s="104"/>
      <c r="F199" s="62"/>
      <c r="G199" s="62"/>
      <c r="H199" s="62"/>
      <c r="I199" s="62"/>
      <c r="J199" s="62"/>
      <c r="K199" s="62"/>
      <c r="L199" s="62"/>
      <c r="M199" s="62"/>
      <c r="N199" s="62"/>
      <c r="O199" s="62"/>
      <c r="P199" s="62"/>
      <c r="Q199" s="73"/>
      <c r="R199" s="63"/>
      <c r="S199" s="62"/>
      <c r="T199" s="62"/>
      <c r="U199" s="62"/>
      <c r="V199" s="62"/>
      <c r="W199" s="62"/>
      <c r="X199" s="62"/>
      <c r="Y199" s="62"/>
      <c r="Z199" s="62"/>
      <c r="AA199" s="62"/>
      <c r="AB199" s="62"/>
      <c r="AC199" s="62"/>
      <c r="AD199" s="62"/>
      <c r="AE199" s="62"/>
      <c r="AF199" s="73"/>
    </row>
    <row r="200" spans="2:32">
      <c r="B200" s="71"/>
      <c r="C200" s="62"/>
      <c r="D200" s="64"/>
      <c r="E200" s="104"/>
      <c r="F200" s="62"/>
      <c r="G200" s="62"/>
      <c r="H200" s="62"/>
      <c r="I200" s="62"/>
      <c r="J200" s="62"/>
      <c r="K200" s="62"/>
      <c r="L200" s="62"/>
      <c r="M200" s="62"/>
      <c r="N200" s="62"/>
      <c r="O200" s="62"/>
      <c r="P200" s="62"/>
      <c r="Q200" s="73"/>
      <c r="R200" s="63"/>
      <c r="S200" s="62"/>
      <c r="T200" s="62"/>
      <c r="U200" s="62"/>
      <c r="V200" s="62"/>
      <c r="W200" s="62"/>
      <c r="X200" s="62"/>
      <c r="Y200" s="62"/>
      <c r="Z200" s="62"/>
      <c r="AA200" s="62"/>
      <c r="AB200" s="62"/>
      <c r="AC200" s="62"/>
      <c r="AD200" s="62"/>
      <c r="AE200" s="62"/>
      <c r="AF200" s="73"/>
    </row>
    <row r="201" spans="2:32">
      <c r="B201" s="71"/>
      <c r="C201" s="62"/>
      <c r="D201" s="64"/>
      <c r="E201" s="104"/>
      <c r="F201" s="62"/>
      <c r="G201" s="62"/>
      <c r="H201" s="62"/>
      <c r="I201" s="62"/>
      <c r="J201" s="62"/>
      <c r="K201" s="62"/>
      <c r="L201" s="62"/>
      <c r="M201" s="62"/>
      <c r="N201" s="62"/>
      <c r="O201" s="62"/>
      <c r="P201" s="62"/>
      <c r="Q201" s="73"/>
      <c r="R201" s="63"/>
      <c r="S201" s="62"/>
      <c r="T201" s="62"/>
      <c r="U201" s="62"/>
      <c r="V201" s="62"/>
      <c r="W201" s="62"/>
      <c r="X201" s="62"/>
      <c r="Y201" s="62"/>
      <c r="Z201" s="62"/>
      <c r="AA201" s="62"/>
      <c r="AB201" s="62"/>
      <c r="AC201" s="62"/>
      <c r="AD201" s="62"/>
      <c r="AE201" s="62"/>
      <c r="AF201" s="73"/>
    </row>
    <row r="202" spans="2:32">
      <c r="B202" s="71"/>
      <c r="C202" s="62"/>
      <c r="D202" s="64"/>
      <c r="E202" s="104"/>
      <c r="F202" s="62"/>
      <c r="G202" s="62"/>
      <c r="H202" s="62"/>
      <c r="I202" s="62"/>
      <c r="J202" s="62"/>
      <c r="K202" s="62"/>
      <c r="L202" s="62"/>
      <c r="M202" s="62"/>
      <c r="N202" s="62"/>
      <c r="O202" s="62"/>
      <c r="P202" s="62"/>
      <c r="Q202" s="73"/>
      <c r="R202" s="63"/>
      <c r="S202" s="62"/>
      <c r="T202" s="62"/>
      <c r="U202" s="62"/>
      <c r="V202" s="62"/>
      <c r="W202" s="62"/>
      <c r="X202" s="62"/>
      <c r="Y202" s="62"/>
      <c r="Z202" s="62"/>
      <c r="AA202" s="62"/>
      <c r="AB202" s="62"/>
      <c r="AC202" s="62"/>
      <c r="AD202" s="62"/>
      <c r="AE202" s="62"/>
      <c r="AF202" s="73"/>
    </row>
    <row r="203" spans="2:32">
      <c r="B203" s="74"/>
      <c r="C203" s="105"/>
      <c r="D203" s="106"/>
      <c r="E203" s="229"/>
      <c r="F203" s="105"/>
      <c r="G203" s="105"/>
      <c r="H203" s="105"/>
      <c r="I203" s="105"/>
      <c r="J203" s="105"/>
      <c r="K203" s="105"/>
      <c r="L203" s="105"/>
      <c r="M203" s="105"/>
      <c r="N203" s="105"/>
      <c r="O203" s="105"/>
      <c r="P203" s="105"/>
      <c r="Q203" s="112"/>
      <c r="R203" s="230"/>
      <c r="S203" s="105"/>
      <c r="T203" s="105"/>
      <c r="U203" s="105"/>
      <c r="V203" s="105"/>
      <c r="W203" s="105"/>
      <c r="X203" s="105"/>
      <c r="Y203" s="105"/>
      <c r="Z203" s="105"/>
      <c r="AA203" s="105"/>
      <c r="AB203" s="105"/>
      <c r="AC203" s="105"/>
      <c r="AD203" s="105"/>
      <c r="AE203" s="105"/>
      <c r="AF203" s="112"/>
    </row>
    <row r="204" spans="2:32" ht="15.75">
      <c r="B204" s="71"/>
      <c r="C204" s="231" t="s">
        <v>731</v>
      </c>
      <c r="D204" s="62"/>
      <c r="E204" s="104"/>
      <c r="F204" s="62"/>
      <c r="G204" s="107" t="s">
        <v>754</v>
      </c>
      <c r="H204" s="62"/>
      <c r="I204" s="62"/>
      <c r="J204" s="62"/>
      <c r="K204" s="62"/>
      <c r="L204" s="62"/>
      <c r="M204" s="62"/>
      <c r="N204" s="62"/>
      <c r="O204" s="62"/>
      <c r="P204" s="62"/>
      <c r="Q204" s="73"/>
      <c r="R204" s="250"/>
      <c r="S204" s="69"/>
      <c r="T204" s="69"/>
      <c r="U204" s="69"/>
      <c r="V204" s="69"/>
      <c r="W204" s="69"/>
      <c r="X204" s="69"/>
      <c r="Y204" s="69"/>
      <c r="Z204" s="69"/>
      <c r="AA204" s="69"/>
      <c r="AB204" s="69"/>
      <c r="AC204" s="69"/>
      <c r="AD204" s="69"/>
      <c r="AE204" s="69"/>
      <c r="AF204" s="70"/>
    </row>
    <row r="205" spans="2:32" ht="15.75">
      <c r="B205" s="71"/>
      <c r="C205" s="231"/>
      <c r="D205" s="62"/>
      <c r="E205" s="104"/>
      <c r="F205" s="62"/>
      <c r="G205" s="107"/>
      <c r="H205" s="62"/>
      <c r="I205" s="62"/>
      <c r="J205" s="62"/>
      <c r="K205" s="62"/>
      <c r="L205" s="62"/>
      <c r="M205" s="62"/>
      <c r="N205" s="62"/>
      <c r="O205" s="62"/>
      <c r="P205" s="62"/>
      <c r="Q205" s="73"/>
      <c r="R205" s="71"/>
      <c r="S205" s="62"/>
      <c r="T205" s="62"/>
      <c r="U205" s="62"/>
      <c r="V205" s="62"/>
      <c r="W205" s="62"/>
      <c r="X205" s="62"/>
      <c r="Y205" s="62"/>
      <c r="Z205" s="62"/>
      <c r="AA205" s="62"/>
      <c r="AB205" s="62"/>
      <c r="AC205" s="62"/>
      <c r="AD205" s="62"/>
      <c r="AE205" s="62"/>
      <c r="AF205" s="73"/>
    </row>
    <row r="206" spans="2:32" ht="15" customHeight="1">
      <c r="B206" s="71"/>
      <c r="C206" s="62"/>
      <c r="D206" s="107" t="s">
        <v>770</v>
      </c>
      <c r="E206" s="104"/>
      <c r="F206" s="62"/>
      <c r="G206" s="107"/>
      <c r="H206" s="62"/>
      <c r="I206" s="62"/>
      <c r="J206" s="62"/>
      <c r="K206" s="62"/>
      <c r="L206" s="62"/>
      <c r="M206" s="62"/>
      <c r="N206" s="62"/>
      <c r="O206" s="62"/>
      <c r="P206" s="62"/>
      <c r="Q206" s="73"/>
      <c r="R206" s="71"/>
      <c r="S206" s="288" t="s">
        <v>963</v>
      </c>
      <c r="T206" s="288"/>
      <c r="U206" s="288"/>
      <c r="V206" s="288"/>
      <c r="W206" s="288"/>
      <c r="X206" s="288"/>
      <c r="Y206" s="288"/>
      <c r="Z206" s="288"/>
      <c r="AA206" s="288"/>
      <c r="AB206" s="288"/>
      <c r="AC206" s="288"/>
      <c r="AD206" s="288"/>
      <c r="AE206" s="288"/>
      <c r="AF206" s="82"/>
    </row>
    <row r="207" spans="2:32" ht="18">
      <c r="B207" s="71"/>
      <c r="C207" s="62"/>
      <c r="D207" s="231"/>
      <c r="E207" s="93" t="s">
        <v>800</v>
      </c>
      <c r="F207" s="62"/>
      <c r="G207" s="232"/>
      <c r="H207" s="62"/>
      <c r="I207" s="62"/>
      <c r="J207" s="62"/>
      <c r="K207" s="62"/>
      <c r="L207" s="62"/>
      <c r="M207" s="62"/>
      <c r="N207" s="62"/>
      <c r="O207" s="62"/>
      <c r="P207" s="62"/>
      <c r="Q207" s="73"/>
      <c r="R207" s="71"/>
      <c r="S207" s="288"/>
      <c r="T207" s="288"/>
      <c r="U207" s="288"/>
      <c r="V207" s="288"/>
      <c r="W207" s="288"/>
      <c r="X207" s="288"/>
      <c r="Y207" s="288"/>
      <c r="Z207" s="288"/>
      <c r="AA207" s="288"/>
      <c r="AB207" s="288"/>
      <c r="AC207" s="288"/>
      <c r="AD207" s="288"/>
      <c r="AE207" s="288"/>
      <c r="AF207" s="82"/>
    </row>
    <row r="208" spans="2:32" ht="18">
      <c r="B208" s="71"/>
      <c r="C208" s="62"/>
      <c r="D208" s="231"/>
      <c r="E208" s="62" t="s">
        <v>764</v>
      </c>
      <c r="F208" s="62"/>
      <c r="G208" s="107"/>
      <c r="H208" s="62"/>
      <c r="I208" s="62"/>
      <c r="J208" s="62"/>
      <c r="K208" s="62"/>
      <c r="L208" s="62"/>
      <c r="M208" s="62"/>
      <c r="N208" s="62"/>
      <c r="O208" s="62"/>
      <c r="P208" s="62"/>
      <c r="Q208" s="73"/>
      <c r="R208" s="71"/>
      <c r="S208" s="62"/>
      <c r="T208" s="62"/>
      <c r="U208" s="62"/>
      <c r="V208" s="62"/>
      <c r="W208" s="62"/>
      <c r="X208" s="62"/>
      <c r="Y208" s="62"/>
      <c r="Z208" s="62"/>
      <c r="AA208" s="62"/>
      <c r="AB208" s="62"/>
      <c r="AC208" s="62"/>
      <c r="AD208" s="62"/>
      <c r="AE208" s="62"/>
      <c r="AF208" s="73"/>
    </row>
    <row r="209" spans="2:32">
      <c r="B209" s="71"/>
      <c r="C209" s="62"/>
      <c r="D209" s="107" t="s">
        <v>771</v>
      </c>
      <c r="E209" s="104"/>
      <c r="F209" s="62"/>
      <c r="G209" s="107"/>
      <c r="H209" s="62"/>
      <c r="I209" s="62"/>
      <c r="J209" s="62"/>
      <c r="K209" s="62"/>
      <c r="L209" s="62"/>
      <c r="M209" s="62"/>
      <c r="N209" s="62"/>
      <c r="O209" s="62"/>
      <c r="P209" s="62"/>
      <c r="Q209" s="73"/>
      <c r="R209" s="71"/>
      <c r="S209" s="62"/>
      <c r="T209" s="62"/>
      <c r="U209" s="62"/>
      <c r="V209" s="62"/>
      <c r="W209" s="409" t="s">
        <v>776</v>
      </c>
      <c r="X209" s="410"/>
      <c r="Y209" s="410"/>
      <c r="Z209" s="411"/>
      <c r="AA209" s="62"/>
      <c r="AB209" s="62"/>
      <c r="AC209" s="62"/>
      <c r="AD209" s="62"/>
      <c r="AE209" s="62"/>
      <c r="AF209" s="73"/>
    </row>
    <row r="210" spans="2:32" ht="18">
      <c r="B210" s="71"/>
      <c r="C210" s="62"/>
      <c r="D210" s="231"/>
      <c r="E210" s="93" t="s">
        <v>799</v>
      </c>
      <c r="F210" s="62"/>
      <c r="G210" s="233" t="str">
        <f>[1]!EQS(AX30,"Units= ; EqnPrefix=Eqn. ; EqnNo= 58; Multiplication= 0; ShowWorking= 0; EqnStyle= 0; Eqp$F$65_0")</f>
        <v/>
      </c>
      <c r="H210" s="62"/>
      <c r="I210" s="62"/>
      <c r="J210" s="62"/>
      <c r="K210" s="62"/>
      <c r="L210" s="62"/>
      <c r="M210" s="62"/>
      <c r="N210" s="62"/>
      <c r="O210" s="62"/>
      <c r="P210" s="62"/>
      <c r="Q210" s="73"/>
      <c r="R210" s="71"/>
      <c r="S210" s="107"/>
      <c r="T210" s="62"/>
      <c r="U210" s="62"/>
      <c r="V210" s="62"/>
      <c r="W210" s="412"/>
      <c r="X210" s="413"/>
      <c r="Y210" s="413"/>
      <c r="Z210" s="414"/>
      <c r="AA210" s="62"/>
      <c r="AB210" s="62"/>
      <c r="AC210" s="62"/>
      <c r="AD210" s="62"/>
      <c r="AE210" s="62"/>
      <c r="AF210" s="73"/>
    </row>
    <row r="211" spans="2:32" ht="15.75">
      <c r="B211" s="71"/>
      <c r="C211" s="62"/>
      <c r="D211" s="231"/>
      <c r="E211" s="104" t="s">
        <v>767</v>
      </c>
      <c r="F211" s="234" t="s">
        <v>749</v>
      </c>
      <c r="G211" s="233" t="str">
        <f>[1]!EQS(AX28,"Units= ; EqnPrefix=Eqn. ; EqnNo= 54; Multiplication= 0; ShowWorking= 0; EqnStyle= 0; Eqp$F$66_0")</f>
        <v/>
      </c>
      <c r="H211" s="62"/>
      <c r="I211" s="62"/>
      <c r="J211" s="62"/>
      <c r="K211" s="62"/>
      <c r="L211" s="62"/>
      <c r="M211" s="62"/>
      <c r="N211" s="62"/>
      <c r="O211" s="62"/>
      <c r="P211" s="62"/>
      <c r="Q211" s="73"/>
      <c r="R211" s="71"/>
      <c r="S211" s="62"/>
      <c r="T211" s="62"/>
      <c r="U211" s="62"/>
      <c r="V211" s="62"/>
      <c r="W211" s="406" t="s">
        <v>743</v>
      </c>
      <c r="X211" s="407" t="s">
        <v>11</v>
      </c>
      <c r="Y211" s="407" t="s">
        <v>747</v>
      </c>
      <c r="Z211" s="407" t="s">
        <v>748</v>
      </c>
      <c r="AA211" s="62"/>
      <c r="AB211" s="62"/>
      <c r="AC211" s="62"/>
      <c r="AD211" s="62"/>
      <c r="AE211" s="62"/>
      <c r="AF211" s="73"/>
    </row>
    <row r="212" spans="2:32">
      <c r="B212" s="71"/>
      <c r="C212" s="62"/>
      <c r="D212" s="107" t="s">
        <v>772</v>
      </c>
      <c r="E212" s="104"/>
      <c r="F212" s="62"/>
      <c r="G212" s="62"/>
      <c r="H212" s="62"/>
      <c r="I212" s="62"/>
      <c r="J212" s="62"/>
      <c r="K212" s="62"/>
      <c r="L212" s="62"/>
      <c r="M212" s="62"/>
      <c r="N212" s="62"/>
      <c r="O212" s="62"/>
      <c r="P212" s="62"/>
      <c r="Q212" s="73"/>
      <c r="R212" s="71"/>
      <c r="S212" s="62"/>
      <c r="T212" s="62"/>
      <c r="U212" s="62"/>
      <c r="V212" s="62"/>
      <c r="W212" s="406"/>
      <c r="X212" s="407"/>
      <c r="Y212" s="407"/>
      <c r="Z212" s="407"/>
      <c r="AA212" s="62"/>
      <c r="AB212" s="62"/>
      <c r="AC212" s="62"/>
      <c r="AD212" s="62"/>
      <c r="AE212" s="62"/>
      <c r="AF212" s="73"/>
    </row>
    <row r="213" spans="2:32" ht="18">
      <c r="B213" s="71"/>
      <c r="C213" s="62"/>
      <c r="D213" s="64"/>
      <c r="E213" s="62" t="s">
        <v>768</v>
      </c>
      <c r="F213" s="62"/>
      <c r="G213" s="62"/>
      <c r="H213" s="62"/>
      <c r="I213" s="62"/>
      <c r="J213" s="62"/>
      <c r="K213" s="62"/>
      <c r="L213" s="62"/>
      <c r="M213" s="62"/>
      <c r="N213" s="62"/>
      <c r="O213" s="62"/>
      <c r="P213" s="62"/>
      <c r="Q213" s="73"/>
      <c r="R213" s="71"/>
      <c r="S213" s="62"/>
      <c r="T213" s="62"/>
      <c r="U213" s="62"/>
      <c r="V213" s="62"/>
      <c r="W213" s="151">
        <v>1</v>
      </c>
      <c r="X213" s="151">
        <v>0.14099999999999999</v>
      </c>
      <c r="Y213" s="151">
        <f t="shared" ref="Y213:Y222" si="109">W214-W213</f>
        <v>0.5</v>
      </c>
      <c r="Z213" s="151">
        <f t="shared" ref="Z213:Z222" si="110">X214-X213</f>
        <v>5.5000000000000021E-2</v>
      </c>
      <c r="AA213" s="62"/>
      <c r="AB213" s="62"/>
      <c r="AC213" s="62"/>
      <c r="AD213" s="62"/>
      <c r="AE213" s="62"/>
      <c r="AF213" s="73"/>
    </row>
    <row r="214" spans="2:32">
      <c r="B214" s="71"/>
      <c r="C214" s="62"/>
      <c r="D214" s="64"/>
      <c r="E214" s="104" t="s">
        <v>802</v>
      </c>
      <c r="F214" s="62"/>
      <c r="G214" s="62"/>
      <c r="H214" s="62"/>
      <c r="I214" s="62"/>
      <c r="J214" s="62"/>
      <c r="K214" s="62"/>
      <c r="L214" s="62"/>
      <c r="M214" s="62"/>
      <c r="N214" s="62"/>
      <c r="O214" s="62"/>
      <c r="P214" s="62"/>
      <c r="Q214" s="73"/>
      <c r="R214" s="71"/>
      <c r="S214" s="62"/>
      <c r="T214" s="62"/>
      <c r="U214" s="62"/>
      <c r="V214" s="62"/>
      <c r="W214" s="151">
        <v>1.5</v>
      </c>
      <c r="X214" s="151">
        <v>0.19600000000000001</v>
      </c>
      <c r="Y214" s="151">
        <f t="shared" si="109"/>
        <v>0.25</v>
      </c>
      <c r="Z214" s="151">
        <f t="shared" si="110"/>
        <v>1.7999999999999988E-2</v>
      </c>
      <c r="AA214" s="62"/>
      <c r="AB214" s="62"/>
      <c r="AC214" s="62"/>
      <c r="AD214" s="62"/>
      <c r="AE214" s="62"/>
      <c r="AF214" s="73"/>
    </row>
    <row r="215" spans="2:32">
      <c r="B215" s="71"/>
      <c r="C215" s="62"/>
      <c r="D215" s="64"/>
      <c r="E215" s="104" t="s">
        <v>803</v>
      </c>
      <c r="F215" s="62"/>
      <c r="G215" s="62"/>
      <c r="H215" s="62"/>
      <c r="I215" s="62"/>
      <c r="J215" s="62"/>
      <c r="K215" s="62"/>
      <c r="L215" s="62"/>
      <c r="M215" s="62"/>
      <c r="N215" s="62"/>
      <c r="O215" s="62"/>
      <c r="P215" s="62"/>
      <c r="Q215" s="73"/>
      <c r="R215" s="71"/>
      <c r="S215" s="62"/>
      <c r="T215" s="62"/>
      <c r="U215" s="62"/>
      <c r="V215" s="62"/>
      <c r="W215" s="151">
        <v>1.75</v>
      </c>
      <c r="X215" s="151">
        <v>0.214</v>
      </c>
      <c r="Y215" s="151">
        <f t="shared" si="109"/>
        <v>0.25</v>
      </c>
      <c r="Z215" s="151">
        <f t="shared" si="110"/>
        <v>1.5000000000000013E-2</v>
      </c>
      <c r="AA215" s="62"/>
      <c r="AB215" s="62"/>
      <c r="AC215" s="62"/>
      <c r="AD215" s="62"/>
      <c r="AE215" s="62"/>
      <c r="AF215" s="73"/>
    </row>
    <row r="216" spans="2:32">
      <c r="B216" s="71"/>
      <c r="C216" s="62"/>
      <c r="D216" s="64"/>
      <c r="E216" s="104"/>
      <c r="F216" s="75" t="s">
        <v>769</v>
      </c>
      <c r="G216" s="222" t="str">
        <f>[1]!EQS(AX35,"Units= ; EqnPrefix=Eqn. ; EqnNo= 4; Multiplication= 0; ShowWorking= 0; EqnStyle= 0; Eqp$G$73_0")</f>
        <v/>
      </c>
      <c r="H216" s="62"/>
      <c r="I216" s="62"/>
      <c r="J216" s="62"/>
      <c r="K216" s="62"/>
      <c r="L216" s="62"/>
      <c r="M216" s="62"/>
      <c r="N216" s="62"/>
      <c r="O216" s="62"/>
      <c r="P216" s="62"/>
      <c r="Q216" s="73"/>
      <c r="R216" s="71"/>
      <c r="S216" s="62"/>
      <c r="T216" s="62"/>
      <c r="U216" s="62"/>
      <c r="V216" s="62"/>
      <c r="W216" s="151">
        <v>2</v>
      </c>
      <c r="X216" s="151">
        <v>0.22900000000000001</v>
      </c>
      <c r="Y216" s="151">
        <f t="shared" si="109"/>
        <v>0.5</v>
      </c>
      <c r="Z216" s="151">
        <f t="shared" si="110"/>
        <v>1.999999999999999E-2</v>
      </c>
      <c r="AA216" s="62"/>
      <c r="AB216" s="62"/>
      <c r="AC216" s="62"/>
      <c r="AD216" s="62"/>
      <c r="AE216" s="62"/>
      <c r="AF216" s="73"/>
    </row>
    <row r="217" spans="2:32">
      <c r="B217" s="71"/>
      <c r="C217" s="62"/>
      <c r="D217" s="64"/>
      <c r="E217" s="104"/>
      <c r="F217" s="75"/>
      <c r="G217" s="222"/>
      <c r="H217" s="62"/>
      <c r="I217" s="62"/>
      <c r="J217" s="62"/>
      <c r="K217" s="62"/>
      <c r="L217" s="62"/>
      <c r="M217" s="62"/>
      <c r="N217" s="62"/>
      <c r="O217" s="62"/>
      <c r="P217" s="62"/>
      <c r="Q217" s="73"/>
      <c r="R217" s="71"/>
      <c r="S217" s="62"/>
      <c r="T217" s="62"/>
      <c r="U217" s="62"/>
      <c r="V217" s="62"/>
      <c r="W217" s="151">
        <v>2.5</v>
      </c>
      <c r="X217" s="151">
        <v>0.249</v>
      </c>
      <c r="Y217" s="151">
        <f t="shared" si="109"/>
        <v>0.5</v>
      </c>
      <c r="Z217" s="151">
        <f t="shared" si="110"/>
        <v>1.4000000000000012E-2</v>
      </c>
      <c r="AA217" s="62"/>
      <c r="AB217" s="62"/>
      <c r="AC217" s="62"/>
      <c r="AD217" s="62"/>
      <c r="AE217" s="62"/>
      <c r="AF217" s="73"/>
    </row>
    <row r="218" spans="2:32">
      <c r="B218" s="71"/>
      <c r="C218" s="62"/>
      <c r="D218" s="62"/>
      <c r="E218" s="62"/>
      <c r="F218" s="62"/>
      <c r="G218" s="62"/>
      <c r="H218" s="62"/>
      <c r="I218" s="62"/>
      <c r="J218" s="62"/>
      <c r="K218" s="62"/>
      <c r="L218" s="62"/>
      <c r="M218" s="62"/>
      <c r="N218" s="62"/>
      <c r="O218" s="62"/>
      <c r="P218" s="62"/>
      <c r="Q218" s="73"/>
      <c r="R218" s="71"/>
      <c r="S218" s="62"/>
      <c r="T218" s="62"/>
      <c r="U218" s="62"/>
      <c r="V218" s="62"/>
      <c r="W218" s="151">
        <v>3</v>
      </c>
      <c r="X218" s="151">
        <v>0.26300000000000001</v>
      </c>
      <c r="Y218" s="151">
        <f t="shared" si="109"/>
        <v>1</v>
      </c>
      <c r="Z218" s="151">
        <f t="shared" si="110"/>
        <v>1.8000000000000016E-2</v>
      </c>
      <c r="AA218" s="62"/>
      <c r="AB218" s="62"/>
      <c r="AC218" s="62"/>
      <c r="AD218" s="62"/>
      <c r="AE218" s="62"/>
      <c r="AF218" s="73"/>
    </row>
    <row r="219" spans="2:32">
      <c r="B219" s="71"/>
      <c r="C219" s="62"/>
      <c r="D219" s="62"/>
      <c r="E219" s="62"/>
      <c r="F219" s="62"/>
      <c r="G219" s="62"/>
      <c r="H219" s="62"/>
      <c r="I219" s="62"/>
      <c r="J219" s="62"/>
      <c r="K219" s="62"/>
      <c r="L219" s="62"/>
      <c r="M219" s="62"/>
      <c r="N219" s="62"/>
      <c r="O219" s="62"/>
      <c r="P219" s="62"/>
      <c r="Q219" s="73"/>
      <c r="R219" s="71"/>
      <c r="S219" s="62"/>
      <c r="T219" s="62"/>
      <c r="U219" s="62"/>
      <c r="V219" s="62"/>
      <c r="W219" s="151">
        <v>4</v>
      </c>
      <c r="X219" s="151">
        <v>0.28100000000000003</v>
      </c>
      <c r="Y219" s="151">
        <f t="shared" si="109"/>
        <v>2</v>
      </c>
      <c r="Z219" s="151">
        <f t="shared" si="110"/>
        <v>1.799999999999996E-2</v>
      </c>
      <c r="AA219" s="62"/>
      <c r="AB219" s="62"/>
      <c r="AC219" s="62"/>
      <c r="AD219" s="62"/>
      <c r="AE219" s="62"/>
      <c r="AF219" s="73"/>
    </row>
    <row r="220" spans="2:32">
      <c r="B220" s="71"/>
      <c r="C220" s="62"/>
      <c r="D220" s="62"/>
      <c r="E220" s="62"/>
      <c r="F220" s="62"/>
      <c r="G220" s="62"/>
      <c r="H220" s="62"/>
      <c r="I220" s="62"/>
      <c r="J220" s="62"/>
      <c r="K220" s="62"/>
      <c r="L220" s="62"/>
      <c r="M220" s="62"/>
      <c r="N220" s="62"/>
      <c r="O220" s="62"/>
      <c r="P220" s="62"/>
      <c r="Q220" s="73"/>
      <c r="R220" s="71"/>
      <c r="S220" s="62"/>
      <c r="T220" s="62"/>
      <c r="U220" s="62"/>
      <c r="V220" s="62"/>
      <c r="W220" s="151">
        <v>6</v>
      </c>
      <c r="X220" s="151">
        <v>0.29899999999999999</v>
      </c>
      <c r="Y220" s="151">
        <f t="shared" si="109"/>
        <v>2</v>
      </c>
      <c r="Z220" s="151">
        <f t="shared" si="110"/>
        <v>8.0000000000000071E-3</v>
      </c>
      <c r="AA220" s="62"/>
      <c r="AB220" s="62"/>
      <c r="AC220" s="62"/>
      <c r="AD220" s="62"/>
      <c r="AE220" s="62"/>
      <c r="AF220" s="73"/>
    </row>
    <row r="221" spans="2:32">
      <c r="B221" s="71"/>
      <c r="C221" s="62"/>
      <c r="D221" s="62"/>
      <c r="E221" s="62"/>
      <c r="F221" s="62"/>
      <c r="G221" s="62"/>
      <c r="H221" s="62"/>
      <c r="I221" s="62"/>
      <c r="J221" s="62"/>
      <c r="K221" s="62"/>
      <c r="L221" s="62"/>
      <c r="M221" s="62"/>
      <c r="N221" s="62"/>
      <c r="O221" s="62"/>
      <c r="P221" s="62"/>
      <c r="Q221" s="73"/>
      <c r="R221" s="71"/>
      <c r="S221" s="62"/>
      <c r="T221" s="62"/>
      <c r="U221" s="62"/>
      <c r="V221" s="62"/>
      <c r="W221" s="151">
        <v>8</v>
      </c>
      <c r="X221" s="151">
        <v>0.307</v>
      </c>
      <c r="Y221" s="151">
        <f t="shared" si="109"/>
        <v>2</v>
      </c>
      <c r="Z221" s="151">
        <f t="shared" si="110"/>
        <v>6.0000000000000053E-3</v>
      </c>
      <c r="AA221" s="62"/>
      <c r="AB221" s="62"/>
      <c r="AC221" s="62"/>
      <c r="AD221" s="62"/>
      <c r="AE221" s="62"/>
      <c r="AF221" s="73"/>
    </row>
    <row r="222" spans="2:32">
      <c r="B222" s="71"/>
      <c r="Q222" s="73"/>
      <c r="R222" s="71"/>
      <c r="S222" s="62"/>
      <c r="T222" s="62"/>
      <c r="U222" s="62"/>
      <c r="V222" s="62"/>
      <c r="W222" s="151">
        <v>10</v>
      </c>
      <c r="X222" s="151">
        <v>0.313</v>
      </c>
      <c r="Y222" s="88">
        <f t="shared" si="109"/>
        <v>99990</v>
      </c>
      <c r="Z222" s="151">
        <f t="shared" si="110"/>
        <v>2.0000000000000018E-2</v>
      </c>
      <c r="AA222" s="62"/>
      <c r="AB222" s="62"/>
      <c r="AC222" s="62"/>
      <c r="AD222" s="62"/>
      <c r="AE222" s="62"/>
      <c r="AF222" s="73"/>
    </row>
    <row r="223" spans="2:32">
      <c r="B223" s="71"/>
      <c r="Q223" s="73"/>
      <c r="R223" s="71"/>
      <c r="S223" s="62"/>
      <c r="T223" s="62"/>
      <c r="U223" s="62"/>
      <c r="V223" s="62"/>
      <c r="W223" s="151">
        <v>100000</v>
      </c>
      <c r="X223" s="151">
        <v>0.33300000000000002</v>
      </c>
      <c r="Y223" s="235"/>
      <c r="Z223" s="235"/>
      <c r="AA223" s="62"/>
      <c r="AB223" s="62"/>
      <c r="AC223" s="62"/>
      <c r="AD223" s="62"/>
      <c r="AE223" s="62"/>
      <c r="AF223" s="73"/>
    </row>
    <row r="224" spans="2:32">
      <c r="B224" s="71"/>
      <c r="Q224" s="73"/>
      <c r="R224" s="71"/>
      <c r="S224" s="62"/>
      <c r="T224" s="62"/>
      <c r="U224" s="62"/>
      <c r="V224" s="62"/>
      <c r="W224" s="62"/>
      <c r="X224" s="62"/>
      <c r="Y224" s="62"/>
      <c r="Z224" s="62"/>
      <c r="AA224" s="62"/>
      <c r="AB224" s="62"/>
      <c r="AC224" s="62"/>
      <c r="AD224" s="62"/>
      <c r="AE224" s="62"/>
      <c r="AF224" s="73"/>
    </row>
    <row r="225" spans="2:32">
      <c r="B225" s="71"/>
      <c r="Q225" s="73"/>
      <c r="R225" s="71"/>
      <c r="S225" s="62"/>
      <c r="T225" s="62"/>
      <c r="U225" s="62"/>
      <c r="V225" s="62"/>
      <c r="W225" s="62"/>
      <c r="X225" s="62"/>
      <c r="Y225" s="62"/>
      <c r="Z225" s="62"/>
      <c r="AA225" s="62"/>
      <c r="AB225" s="62"/>
      <c r="AC225" s="62"/>
      <c r="AD225" s="62"/>
      <c r="AE225" s="62"/>
      <c r="AF225" s="73"/>
    </row>
    <row r="226" spans="2:32">
      <c r="B226" s="71"/>
      <c r="Q226" s="73"/>
      <c r="R226" s="71"/>
      <c r="S226" s="62"/>
      <c r="T226" s="62"/>
      <c r="U226" s="62"/>
      <c r="V226" s="62"/>
      <c r="W226" s="62"/>
      <c r="X226" s="62"/>
      <c r="Y226" s="62"/>
      <c r="Z226" s="62"/>
      <c r="AA226" s="62"/>
      <c r="AB226" s="62"/>
      <c r="AC226" s="62"/>
      <c r="AD226" s="62"/>
      <c r="AE226" s="62"/>
      <c r="AF226" s="73"/>
    </row>
    <row r="227" spans="2:32">
      <c r="B227" s="71"/>
      <c r="Q227" s="73"/>
      <c r="R227" s="71"/>
      <c r="S227" s="62"/>
      <c r="T227" s="62"/>
      <c r="U227" s="62"/>
      <c r="V227" s="62"/>
      <c r="W227" s="62"/>
      <c r="X227" s="62"/>
      <c r="Y227" s="62"/>
      <c r="Z227" s="62"/>
      <c r="AA227" s="62"/>
      <c r="AB227" s="62"/>
      <c r="AC227" s="62"/>
      <c r="AD227" s="62"/>
      <c r="AE227" s="62"/>
      <c r="AF227" s="73"/>
    </row>
    <row r="228" spans="2:32">
      <c r="B228" s="71"/>
      <c r="Q228" s="73"/>
      <c r="R228" s="71"/>
      <c r="S228" s="62"/>
      <c r="T228" s="62"/>
      <c r="U228" s="62"/>
      <c r="V228" s="62"/>
      <c r="W228" s="62"/>
      <c r="X228" s="62"/>
      <c r="Y228" s="62"/>
      <c r="Z228" s="62"/>
      <c r="AA228" s="62"/>
      <c r="AB228" s="62"/>
      <c r="AC228" s="62"/>
      <c r="AD228" s="62"/>
      <c r="AE228" s="62"/>
      <c r="AF228" s="73"/>
    </row>
    <row r="229" spans="2:32">
      <c r="B229" s="71"/>
      <c r="Q229" s="73"/>
      <c r="R229" s="71"/>
      <c r="S229" s="62"/>
      <c r="T229" s="62"/>
      <c r="U229" s="62"/>
      <c r="V229" s="62"/>
      <c r="W229" s="62"/>
      <c r="X229" s="62"/>
      <c r="Y229" s="62"/>
      <c r="Z229" s="62"/>
      <c r="AA229" s="62"/>
      <c r="AB229" s="62"/>
      <c r="AC229" s="62"/>
      <c r="AD229" s="62"/>
      <c r="AE229" s="62"/>
      <c r="AF229" s="73"/>
    </row>
    <row r="230" spans="2:32">
      <c r="B230" s="71"/>
      <c r="Q230" s="73"/>
      <c r="R230" s="71"/>
      <c r="S230" s="62"/>
      <c r="T230" s="62"/>
      <c r="U230" s="62"/>
      <c r="V230" s="62"/>
      <c r="W230" s="62"/>
      <c r="X230" s="62"/>
      <c r="Y230" s="62"/>
      <c r="Z230" s="62"/>
      <c r="AA230" s="62"/>
      <c r="AB230" s="62"/>
      <c r="AC230" s="62"/>
      <c r="AD230" s="62"/>
      <c r="AE230" s="62"/>
      <c r="AF230" s="73"/>
    </row>
    <row r="231" spans="2:32">
      <c r="B231" s="71"/>
      <c r="Q231" s="73"/>
      <c r="R231" s="71"/>
      <c r="S231" s="62"/>
      <c r="T231" s="62"/>
      <c r="U231" s="103"/>
      <c r="V231" s="62"/>
      <c r="W231" s="62"/>
      <c r="X231" s="62"/>
      <c r="Y231" s="62"/>
      <c r="Z231" s="62"/>
      <c r="AA231" s="62"/>
      <c r="AB231" s="62"/>
      <c r="AC231" s="62"/>
      <c r="AD231" s="62"/>
      <c r="AE231" s="62"/>
      <c r="AF231" s="73"/>
    </row>
    <row r="232" spans="2:32">
      <c r="B232" s="71"/>
      <c r="Q232" s="73"/>
      <c r="R232" s="71"/>
      <c r="S232" s="62"/>
      <c r="T232" s="62"/>
      <c r="U232" s="62"/>
      <c r="V232" s="62"/>
      <c r="W232" s="62"/>
      <c r="X232" s="62"/>
      <c r="Y232" s="62"/>
      <c r="Z232" s="62"/>
      <c r="AA232" s="62"/>
      <c r="AB232" s="62"/>
      <c r="AC232" s="62"/>
      <c r="AD232" s="62"/>
      <c r="AE232" s="62"/>
      <c r="AF232" s="73"/>
    </row>
    <row r="233" spans="2:32">
      <c r="B233" s="71"/>
      <c r="Q233" s="73"/>
      <c r="R233" s="71"/>
      <c r="S233" s="62"/>
      <c r="T233" s="62"/>
      <c r="U233" s="62"/>
      <c r="V233" s="62"/>
      <c r="W233" s="62"/>
      <c r="X233" s="62"/>
      <c r="Y233" s="62"/>
      <c r="Z233" s="62"/>
      <c r="AA233" s="62"/>
      <c r="AB233" s="62"/>
      <c r="AC233" s="62"/>
      <c r="AD233" s="62"/>
      <c r="AE233" s="62"/>
      <c r="AF233" s="73"/>
    </row>
    <row r="234" spans="2:32">
      <c r="B234" s="71"/>
      <c r="Q234" s="73"/>
      <c r="R234" s="71"/>
      <c r="S234" s="62"/>
      <c r="T234" s="62"/>
      <c r="U234" s="62"/>
      <c r="V234" s="62"/>
      <c r="W234" s="62"/>
      <c r="X234" s="62"/>
      <c r="Y234" s="62"/>
      <c r="Z234" s="62"/>
      <c r="AA234" s="62"/>
      <c r="AB234" s="62"/>
      <c r="AC234" s="62"/>
      <c r="AD234" s="62"/>
      <c r="AE234" s="62"/>
      <c r="AF234" s="73"/>
    </row>
    <row r="235" spans="2:32">
      <c r="B235" s="71"/>
      <c r="Q235" s="73"/>
      <c r="R235" s="71"/>
      <c r="S235" s="62"/>
      <c r="T235" s="62"/>
      <c r="U235" s="62"/>
      <c r="V235" s="62"/>
      <c r="W235" s="62"/>
      <c r="X235" s="62"/>
      <c r="Y235" s="62"/>
      <c r="Z235" s="62"/>
      <c r="AA235" s="62"/>
      <c r="AB235" s="62"/>
      <c r="AC235" s="62"/>
      <c r="AD235" s="62"/>
      <c r="AE235" s="62"/>
      <c r="AF235" s="73"/>
    </row>
    <row r="236" spans="2:32">
      <c r="B236" s="71"/>
      <c r="Q236" s="73"/>
      <c r="R236" s="71"/>
      <c r="S236" s="62"/>
      <c r="T236" s="62"/>
      <c r="U236" s="62"/>
      <c r="V236" s="62"/>
      <c r="W236" s="62"/>
      <c r="X236" s="62"/>
      <c r="Y236" s="62"/>
      <c r="Z236" s="62"/>
      <c r="AA236" s="62"/>
      <c r="AB236" s="62"/>
      <c r="AC236" s="62"/>
      <c r="AD236" s="62"/>
      <c r="AE236" s="62"/>
      <c r="AF236" s="73"/>
    </row>
    <row r="237" spans="2:32">
      <c r="B237" s="71"/>
      <c r="Q237" s="73"/>
      <c r="R237" s="71"/>
      <c r="S237" s="62"/>
      <c r="T237" s="62"/>
      <c r="U237" s="62"/>
      <c r="V237" s="62"/>
      <c r="W237" s="62"/>
      <c r="X237" s="62"/>
      <c r="Y237" s="62"/>
      <c r="Z237" s="62"/>
      <c r="AA237" s="62"/>
      <c r="AB237" s="62"/>
      <c r="AC237" s="62"/>
      <c r="AD237" s="62"/>
      <c r="AE237" s="62"/>
      <c r="AF237" s="73"/>
    </row>
    <row r="238" spans="2:32">
      <c r="B238" s="71"/>
      <c r="Q238" s="73"/>
      <c r="R238" s="71"/>
      <c r="S238" s="62"/>
      <c r="T238" s="62"/>
      <c r="U238" s="62"/>
      <c r="V238" s="62"/>
      <c r="W238" s="62"/>
      <c r="X238" s="62"/>
      <c r="Y238" s="62"/>
      <c r="Z238" s="62"/>
      <c r="AA238" s="62"/>
      <c r="AB238" s="62"/>
      <c r="AC238" s="62"/>
      <c r="AD238" s="62"/>
      <c r="AE238" s="62"/>
      <c r="AF238" s="73"/>
    </row>
    <row r="239" spans="2:32">
      <c r="B239" s="71"/>
      <c r="Q239" s="73"/>
      <c r="R239" s="71"/>
      <c r="S239" s="62"/>
      <c r="T239" s="62"/>
      <c r="U239" s="62"/>
      <c r="V239" s="62"/>
      <c r="W239" s="62"/>
      <c r="X239" s="62"/>
      <c r="Y239" s="62"/>
      <c r="Z239" s="62"/>
      <c r="AA239" s="62"/>
      <c r="AB239" s="62"/>
      <c r="AC239" s="62"/>
      <c r="AD239" s="62"/>
      <c r="AE239" s="62"/>
      <c r="AF239" s="73"/>
    </row>
    <row r="240" spans="2:32">
      <c r="B240" s="71"/>
      <c r="Q240" s="73"/>
      <c r="R240" s="71"/>
      <c r="S240" s="62"/>
      <c r="T240" s="62"/>
      <c r="U240" s="62"/>
      <c r="V240" s="62"/>
      <c r="W240" s="62"/>
      <c r="X240" s="62"/>
      <c r="Y240" s="62"/>
      <c r="Z240" s="62"/>
      <c r="AA240" s="62"/>
      <c r="AB240" s="62"/>
      <c r="AC240" s="62"/>
      <c r="AD240" s="62"/>
      <c r="AE240" s="62"/>
      <c r="AF240" s="73"/>
    </row>
    <row r="241" spans="1:32">
      <c r="B241" s="71"/>
      <c r="Q241" s="73"/>
      <c r="R241" s="71"/>
      <c r="S241" s="62"/>
      <c r="T241" s="62"/>
      <c r="U241" s="62"/>
      <c r="V241" s="62"/>
      <c r="W241" s="62"/>
      <c r="X241" s="62"/>
      <c r="Y241" s="62"/>
      <c r="Z241" s="62"/>
      <c r="AA241" s="62"/>
      <c r="AB241" s="62"/>
      <c r="AC241" s="62"/>
      <c r="AD241" s="62"/>
      <c r="AE241" s="62"/>
      <c r="AF241" s="73"/>
    </row>
    <row r="242" spans="1:32">
      <c r="B242" s="71"/>
      <c r="Q242" s="73"/>
      <c r="R242" s="71"/>
      <c r="S242" s="62"/>
      <c r="T242" s="62"/>
      <c r="U242" s="62"/>
      <c r="V242" s="62"/>
      <c r="W242" s="62"/>
      <c r="X242" s="62"/>
      <c r="Y242" s="62"/>
      <c r="Z242" s="62"/>
      <c r="AA242" s="62"/>
      <c r="AB242" s="62"/>
      <c r="AC242" s="62"/>
      <c r="AD242" s="62"/>
      <c r="AE242" s="62"/>
      <c r="AF242" s="73"/>
    </row>
    <row r="243" spans="1:32">
      <c r="B243" s="71"/>
      <c r="Q243" s="73"/>
      <c r="R243" s="71"/>
      <c r="S243" s="62"/>
      <c r="T243" s="62"/>
      <c r="U243" s="62"/>
      <c r="V243" s="62"/>
      <c r="W243" s="62"/>
      <c r="X243" s="62"/>
      <c r="Y243" s="62"/>
      <c r="Z243" s="62"/>
      <c r="AA243" s="62"/>
      <c r="AB243" s="62"/>
      <c r="AC243" s="62"/>
      <c r="AD243" s="62"/>
      <c r="AE243" s="62"/>
      <c r="AF243" s="73"/>
    </row>
    <row r="244" spans="1:32">
      <c r="B244" s="71"/>
      <c r="Q244" s="73"/>
      <c r="R244" s="71"/>
      <c r="S244" s="62"/>
      <c r="T244" s="62"/>
      <c r="U244" s="62"/>
      <c r="V244" s="62"/>
      <c r="W244" s="62"/>
      <c r="X244" s="62"/>
      <c r="Y244" s="62"/>
      <c r="Z244" s="62"/>
      <c r="AA244" s="62"/>
      <c r="AB244" s="62"/>
      <c r="AC244" s="62"/>
      <c r="AD244" s="62"/>
      <c r="AE244" s="62"/>
      <c r="AF244" s="73"/>
    </row>
    <row r="245" spans="1:32">
      <c r="B245" s="71"/>
      <c r="Q245" s="73"/>
      <c r="R245" s="71"/>
      <c r="S245" s="62"/>
      <c r="T245" s="62"/>
      <c r="U245" s="62"/>
      <c r="V245" s="62"/>
      <c r="W245" s="62"/>
      <c r="X245" s="62"/>
      <c r="Y245" s="62"/>
      <c r="Z245" s="62"/>
      <c r="AA245" s="62"/>
      <c r="AB245" s="62"/>
      <c r="AC245" s="62"/>
      <c r="AD245" s="62"/>
      <c r="AE245" s="62"/>
      <c r="AF245" s="73"/>
    </row>
    <row r="246" spans="1:32">
      <c r="B246" s="71"/>
      <c r="Q246" s="73"/>
      <c r="R246" s="71"/>
      <c r="S246" s="62"/>
      <c r="T246" s="62"/>
      <c r="U246" s="62"/>
      <c r="V246" s="62"/>
      <c r="W246" s="62"/>
      <c r="X246" s="62"/>
      <c r="Y246" s="62"/>
      <c r="Z246" s="62"/>
      <c r="AA246" s="62"/>
      <c r="AB246" s="62"/>
      <c r="AC246" s="62"/>
      <c r="AD246" s="62"/>
      <c r="AE246" s="62"/>
      <c r="AF246" s="73"/>
    </row>
    <row r="247" spans="1:32">
      <c r="B247" s="71"/>
      <c r="Q247" s="73"/>
      <c r="R247" s="71"/>
      <c r="S247" s="62"/>
      <c r="T247" s="62"/>
      <c r="U247" s="62"/>
      <c r="V247" s="62"/>
      <c r="W247" s="62"/>
      <c r="X247" s="62"/>
      <c r="Y247" s="62"/>
      <c r="Z247" s="62"/>
      <c r="AA247" s="62"/>
      <c r="AB247" s="62"/>
      <c r="AC247" s="62"/>
      <c r="AD247" s="62"/>
      <c r="AE247" s="62"/>
      <c r="AF247" s="73"/>
    </row>
    <row r="248" spans="1:32">
      <c r="A248" s="105"/>
      <c r="B248" s="74"/>
      <c r="C248" s="208"/>
      <c r="D248" s="208"/>
      <c r="E248" s="208"/>
      <c r="F248" s="208"/>
      <c r="G248" s="208"/>
      <c r="H248" s="208"/>
      <c r="I248" s="208"/>
      <c r="J248" s="208"/>
      <c r="K248" s="208"/>
      <c r="L248" s="208"/>
      <c r="M248" s="208"/>
      <c r="N248" s="208"/>
      <c r="O248" s="208"/>
      <c r="P248" s="208"/>
      <c r="Q248" s="210"/>
      <c r="R248" s="74"/>
      <c r="S248" s="105"/>
      <c r="T248" s="105"/>
      <c r="U248" s="105"/>
      <c r="V248" s="105"/>
      <c r="W248" s="105"/>
      <c r="X248" s="105"/>
      <c r="Y248" s="105"/>
      <c r="Z248" s="105"/>
      <c r="AA248" s="105"/>
      <c r="AB248" s="105"/>
      <c r="AC248" s="105"/>
      <c r="AD248" s="105"/>
      <c r="AE248" s="105"/>
      <c r="AF248" s="112"/>
    </row>
    <row r="249" spans="1:32">
      <c r="B249" s="71"/>
      <c r="C249" s="181"/>
      <c r="D249" s="181"/>
      <c r="E249" s="181"/>
      <c r="F249" s="181"/>
      <c r="G249" s="181"/>
      <c r="H249" s="181"/>
      <c r="I249" s="181"/>
      <c r="J249" s="181"/>
      <c r="K249" s="181"/>
      <c r="L249" s="181"/>
      <c r="M249" s="181"/>
      <c r="N249" s="181"/>
      <c r="O249" s="181"/>
      <c r="P249" s="181"/>
      <c r="Q249" s="181"/>
    </row>
    <row r="250" spans="1:32">
      <c r="B250" s="71"/>
      <c r="D250" s="181"/>
      <c r="E250" s="181"/>
      <c r="F250" s="181"/>
      <c r="G250" s="181"/>
      <c r="H250" s="181"/>
      <c r="I250" s="181"/>
      <c r="J250" s="181"/>
      <c r="K250" s="181"/>
      <c r="L250" s="181"/>
      <c r="M250" s="181"/>
      <c r="N250" s="181"/>
      <c r="O250" s="181"/>
      <c r="P250" s="181"/>
      <c r="Q250" s="181"/>
    </row>
    <row r="251" spans="1:32">
      <c r="B251" s="62"/>
      <c r="C251" s="181"/>
      <c r="D251" s="181"/>
      <c r="E251" s="181"/>
      <c r="F251" s="181"/>
      <c r="G251" s="181"/>
      <c r="H251" s="181"/>
      <c r="I251" s="181"/>
      <c r="J251" s="181"/>
      <c r="K251" s="181"/>
      <c r="L251" s="181"/>
      <c r="M251" s="181"/>
      <c r="N251" s="181"/>
      <c r="O251" s="181"/>
      <c r="P251" s="181"/>
      <c r="Q251" s="181"/>
    </row>
    <row r="252" spans="1:32">
      <c r="C252" s="181"/>
      <c r="D252" s="181"/>
      <c r="E252" s="181"/>
      <c r="F252" s="181"/>
      <c r="G252" s="181"/>
      <c r="H252" s="181"/>
      <c r="I252" s="181"/>
      <c r="J252" s="181"/>
      <c r="K252" s="181"/>
      <c r="L252" s="181"/>
      <c r="M252" s="181"/>
      <c r="N252" s="181"/>
      <c r="O252" s="181"/>
      <c r="P252" s="181"/>
      <c r="Q252" s="181"/>
    </row>
    <row r="254" spans="1:32">
      <c r="G254" s="236"/>
    </row>
    <row r="255" spans="1:32">
      <c r="G255" s="236"/>
    </row>
    <row r="256" spans="1:32">
      <c r="G256" s="236"/>
    </row>
    <row r="257" spans="3:18">
      <c r="G257" s="236"/>
    </row>
    <row r="258" spans="3:18" ht="15.75">
      <c r="C258" s="101" t="s">
        <v>812</v>
      </c>
      <c r="D258" s="62"/>
      <c r="E258" s="62"/>
      <c r="F258" s="62"/>
    </row>
    <row r="259" spans="3:18">
      <c r="C259" s="376" t="s">
        <v>820</v>
      </c>
      <c r="D259" s="376"/>
      <c r="E259" s="376"/>
      <c r="F259" s="376"/>
      <c r="G259" s="376"/>
      <c r="H259" s="376"/>
      <c r="I259" s="376"/>
      <c r="J259" s="376"/>
      <c r="K259" s="376"/>
      <c r="L259" s="376"/>
      <c r="M259" s="376"/>
      <c r="N259" s="376"/>
      <c r="O259" s="376"/>
      <c r="P259" s="376"/>
      <c r="Q259" s="246"/>
    </row>
    <row r="260" spans="3:18">
      <c r="C260" s="376" t="s">
        <v>808</v>
      </c>
      <c r="D260" s="376"/>
      <c r="E260" s="376"/>
      <c r="F260" s="376"/>
      <c r="G260" s="376"/>
      <c r="H260" s="376"/>
      <c r="I260" s="376"/>
      <c r="J260" s="376"/>
      <c r="K260" s="376"/>
      <c r="L260" s="376"/>
      <c r="M260" s="376"/>
      <c r="N260" s="376"/>
      <c r="O260" s="376"/>
      <c r="P260" s="376"/>
      <c r="Q260" s="246"/>
    </row>
    <row r="261" spans="3:18">
      <c r="C261" s="376" t="s">
        <v>809</v>
      </c>
      <c r="D261" s="376"/>
      <c r="E261" s="376"/>
      <c r="F261" s="376"/>
      <c r="G261" s="376"/>
      <c r="H261" s="376"/>
      <c r="I261" s="376"/>
      <c r="J261" s="376"/>
      <c r="K261" s="376"/>
      <c r="L261" s="376"/>
      <c r="M261" s="376"/>
      <c r="N261" s="376"/>
      <c r="O261" s="376"/>
      <c r="P261" s="376"/>
      <c r="Q261" s="246"/>
      <c r="R261" s="62"/>
    </row>
    <row r="262" spans="3:18">
      <c r="C262" s="246"/>
      <c r="D262" s="246"/>
      <c r="E262" s="246"/>
      <c r="F262" s="246"/>
      <c r="G262" s="246"/>
      <c r="H262" s="246"/>
      <c r="I262" s="246"/>
      <c r="J262" s="246"/>
      <c r="K262" s="246"/>
      <c r="L262" s="246"/>
      <c r="M262" s="246"/>
      <c r="N262" s="246"/>
      <c r="O262" s="246"/>
      <c r="P262" s="246"/>
      <c r="Q262" s="246"/>
    </row>
    <row r="263" spans="3:18">
      <c r="C263" s="103" t="s">
        <v>810</v>
      </c>
      <c r="D263" s="62"/>
      <c r="E263" s="62"/>
      <c r="F263" s="62"/>
      <c r="G263" s="62"/>
      <c r="H263" s="62"/>
      <c r="I263" s="62"/>
      <c r="J263" s="62"/>
      <c r="K263" s="62"/>
      <c r="L263" s="62"/>
      <c r="M263" s="62"/>
      <c r="N263" s="62"/>
      <c r="O263" s="62"/>
      <c r="P263" s="62"/>
      <c r="Q263" s="62"/>
      <c r="R263" s="62"/>
    </row>
    <row r="264" spans="3:18" ht="18.75">
      <c r="C264" s="62"/>
      <c r="F264" s="237" t="s">
        <v>805</v>
      </c>
      <c r="G264" s="249" t="e">
        <f ca="1">IF(MIN($A$110:$A$128)=1,VLOOKUP(1,$A$110:$A$128,12,FALSE)*0.6,"NA")</f>
        <v>#N/A</v>
      </c>
      <c r="H264" s="58" t="s">
        <v>9</v>
      </c>
      <c r="I264" s="62" t="e">
        <f ca="1">IF(G264="NA","All angles selected are double","")</f>
        <v>#N/A</v>
      </c>
      <c r="J264" s="62"/>
      <c r="K264" s="62"/>
      <c r="L264" s="62"/>
      <c r="M264" s="62"/>
      <c r="R264" s="62"/>
    </row>
    <row r="265" spans="3:18">
      <c r="C265" s="62"/>
      <c r="F265" s="237"/>
      <c r="G265" s="238"/>
      <c r="I265" s="62"/>
      <c r="J265" s="62"/>
      <c r="K265" s="62"/>
      <c r="L265" s="62"/>
      <c r="M265" s="62"/>
    </row>
    <row r="266" spans="3:18">
      <c r="C266" s="62" t="s">
        <v>806</v>
      </c>
      <c r="F266" s="237"/>
      <c r="G266" s="238"/>
      <c r="H266" s="62"/>
      <c r="I266" s="222" t="str">
        <f>[1]!EQS(AX43,"Units= ; EqnPrefix=Eqn. ; EqnNo= 4; Multiplication= 0; ShowWorking= 0; EqnStyle= 0; Eqp$H$141_0")</f>
        <v/>
      </c>
      <c r="J266" s="62" t="s">
        <v>807</v>
      </c>
      <c r="K266" s="62"/>
      <c r="L266" s="62"/>
      <c r="N266" s="239" t="str">
        <f>[1]!EQS(AX45,"Units= ; EqnPrefix=Eqn. ; EqnNo= 5; Multiplication= 0; ShowWorking= 0; EqnStyle= 0; Eqp$M$141_0")</f>
        <v/>
      </c>
    </row>
    <row r="267" spans="3:18" ht="15" customHeight="1">
      <c r="C267" s="62" t="s">
        <v>811</v>
      </c>
      <c r="F267" s="240"/>
      <c r="G267" s="218"/>
      <c r="H267" s="62"/>
      <c r="I267" s="62"/>
      <c r="K267" s="62"/>
      <c r="L267" s="62"/>
      <c r="M267" s="62"/>
    </row>
    <row r="268" spans="3:18" ht="15" customHeight="1">
      <c r="C268" s="62"/>
      <c r="D268" s="62"/>
      <c r="E268" s="62"/>
      <c r="F268" s="62"/>
      <c r="G268" s="162"/>
      <c r="H268" s="62"/>
      <c r="I268" s="62"/>
      <c r="J268" s="62"/>
      <c r="K268" s="62"/>
      <c r="L268" s="62"/>
      <c r="M268" s="62"/>
    </row>
    <row r="269" spans="3:18" ht="15" customHeight="1">
      <c r="C269" s="62"/>
      <c r="D269" s="62"/>
      <c r="E269" s="62" t="s">
        <v>814</v>
      </c>
      <c r="F269" s="62"/>
      <c r="G269" s="58" t="s">
        <v>816</v>
      </c>
      <c r="H269" s="58" t="s">
        <v>817</v>
      </c>
      <c r="I269" s="58" t="s">
        <v>818</v>
      </c>
      <c r="J269" s="62" t="s">
        <v>819</v>
      </c>
      <c r="K269" s="62"/>
      <c r="L269" s="62"/>
      <c r="M269" s="237" t="s">
        <v>805</v>
      </c>
      <c r="N269" s="64" t="s">
        <v>813</v>
      </c>
      <c r="O269" s="104" t="s">
        <v>815</v>
      </c>
      <c r="P269" s="62"/>
      <c r="Q269" s="62"/>
    </row>
    <row r="270" spans="3:18">
      <c r="E270" s="58" t="e">
        <f t="shared" ref="E270:E289" ca="1" si="111">E107</f>
        <v>#N/A</v>
      </c>
      <c r="M270" s="79" t="e">
        <f t="shared" ref="M270:M288" ca="1" si="112">IF(A110=1,K140*0.6,"NA")</f>
        <v>#N/A</v>
      </c>
      <c r="N270" s="241" t="e">
        <f ca="1">IF(M270="NA","NA",IF(AND(#REF!="Pinned",MIN($R$15:$R$36)=1),(384*29000*I107*M270)/(5*($H$28*12)^4),IF(AND(#REF!="Fixed",MIN($R$15:$R$36)=1),(384*29000*I107*M270)/($H$28*12)^4,"NA")))</f>
        <v>#N/A</v>
      </c>
      <c r="O270" s="241" t="e">
        <f t="shared" ref="O270:O289" ca="1" si="113">IF(M270="NA","NA",N270*($H$28*12/2))</f>
        <v>#N/A</v>
      </c>
    </row>
    <row r="271" spans="3:18">
      <c r="E271" s="58" t="e">
        <f t="shared" ca="1" si="111"/>
        <v>#N/A</v>
      </c>
      <c r="M271" s="79" t="e">
        <f t="shared" ca="1" si="112"/>
        <v>#N/A</v>
      </c>
      <c r="N271" s="241" t="e">
        <f ca="1">IF(M271="NA","NA",IF(AND(#REF!="Pinned",MIN($R$15:$R$36)=1),(384*29000*I108*M271)/(5*($H$28*12)^4),IF(AND(#REF!="Fixed",MIN($R$15:$R$36)=1),(384*29000*I108*M271)/($H$28*12)^4,"NA")))</f>
        <v>#N/A</v>
      </c>
      <c r="O271" s="241" t="e">
        <f t="shared" ca="1" si="113"/>
        <v>#N/A</v>
      </c>
    </row>
    <row r="272" spans="3:18">
      <c r="E272" s="58" t="e">
        <f t="shared" ca="1" si="111"/>
        <v>#N/A</v>
      </c>
      <c r="M272" s="79" t="e">
        <f t="shared" ca="1" si="112"/>
        <v>#N/A</v>
      </c>
      <c r="N272" s="241" t="e">
        <f ca="1">IF(M272="NA","NA",IF(AND(#REF!="Pinned",MIN($R$15:$R$36)=1),(384*29000*I109*M272)/(5*($H$28*12)^4),IF(AND(#REF!="Fixed",MIN($R$15:$R$36)=1),(384*29000*I109*M272)/($H$28*12)^4,"NA")))</f>
        <v>#N/A</v>
      </c>
      <c r="O272" s="241" t="e">
        <f t="shared" ca="1" si="113"/>
        <v>#N/A</v>
      </c>
    </row>
    <row r="273" spans="5:15">
      <c r="E273" s="58" t="e">
        <f t="shared" ca="1" si="111"/>
        <v>#N/A</v>
      </c>
      <c r="F273" s="242"/>
      <c r="M273" s="79" t="e">
        <f t="shared" ca="1" si="112"/>
        <v>#N/A</v>
      </c>
      <c r="N273" s="241" t="e">
        <f ca="1">IF(M273="NA","NA",IF(AND(#REF!="Pinned",MIN($R$15:$R$36)=1),(384*29000*I110*M273)/(5*($H$28*12)^4),IF(AND(#REF!="Fixed",MIN($R$15:$R$36)=1),(384*29000*I110*M273)/($H$28*12)^4,"NA")))</f>
        <v>#N/A</v>
      </c>
      <c r="O273" s="241" t="e">
        <f t="shared" ca="1" si="113"/>
        <v>#N/A</v>
      </c>
    </row>
    <row r="274" spans="5:15">
      <c r="E274" s="58" t="e">
        <f t="shared" ca="1" si="111"/>
        <v>#N/A</v>
      </c>
      <c r="M274" s="79" t="e">
        <f t="shared" ca="1" si="112"/>
        <v>#N/A</v>
      </c>
      <c r="N274" s="241" t="e">
        <f ca="1">IF(M274="NA","NA",IF(AND(#REF!="Pinned",MIN($R$15:$R$36)=1),(384*29000*I111*M274)/(5*($H$28*12)^4),IF(AND(#REF!="Fixed",MIN($R$15:$R$36)=1),(384*29000*I111*M274)/($H$28*12)^4,"NA")))</f>
        <v>#N/A</v>
      </c>
      <c r="O274" s="241" t="e">
        <f t="shared" ca="1" si="113"/>
        <v>#N/A</v>
      </c>
    </row>
    <row r="275" spans="5:15">
      <c r="E275" s="58" t="e">
        <f t="shared" ca="1" si="111"/>
        <v>#N/A</v>
      </c>
      <c r="M275" s="79" t="e">
        <f t="shared" ca="1" si="112"/>
        <v>#N/A</v>
      </c>
      <c r="N275" s="241" t="e">
        <f ca="1">IF(M275="NA","NA",IF(AND(#REF!="Pinned",MIN($R$15:$R$36)=1),(384*29000*I112*M275)/(5*($H$28*12)^4),IF(AND(#REF!="Fixed",MIN($R$15:$R$36)=1),(384*29000*I112*M275)/($H$28*12)^4,"NA")))</f>
        <v>#N/A</v>
      </c>
      <c r="O275" s="241" t="e">
        <f t="shared" ca="1" si="113"/>
        <v>#N/A</v>
      </c>
    </row>
    <row r="276" spans="5:15">
      <c r="E276" s="58" t="e">
        <f t="shared" ca="1" si="111"/>
        <v>#N/A</v>
      </c>
      <c r="M276" s="79" t="e">
        <f t="shared" ca="1" si="112"/>
        <v>#N/A</v>
      </c>
      <c r="N276" s="241" t="e">
        <f ca="1">IF(M276="NA","NA",IF(AND(#REF!="Pinned",MIN($R$15:$R$36)=1),(384*29000*I113*M276)/(5*($H$28*12)^4),IF(AND(#REF!="Fixed",MIN($R$15:$R$36)=1),(384*29000*I113*M276)/($H$28*12)^4,"NA")))</f>
        <v>#N/A</v>
      </c>
      <c r="O276" s="241" t="e">
        <f t="shared" ca="1" si="113"/>
        <v>#N/A</v>
      </c>
    </row>
    <row r="277" spans="5:15">
      <c r="E277" s="58" t="e">
        <f t="shared" ca="1" si="111"/>
        <v>#N/A</v>
      </c>
      <c r="M277" s="79" t="e">
        <f t="shared" ca="1" si="112"/>
        <v>#N/A</v>
      </c>
      <c r="N277" s="241" t="e">
        <f ca="1">IF(M277="NA","NA",IF(AND(#REF!="Pinned",MIN($R$15:$R$36)=1),(384*29000*I114*M277)/(5*($H$28*12)^4),IF(AND(#REF!="Fixed",MIN($R$15:$R$36)=1),(384*29000*I114*M277)/($H$28*12)^4,"NA")))</f>
        <v>#N/A</v>
      </c>
      <c r="O277" s="241" t="e">
        <f t="shared" ca="1" si="113"/>
        <v>#N/A</v>
      </c>
    </row>
    <row r="278" spans="5:15">
      <c r="E278" s="58" t="e">
        <f t="shared" ca="1" si="111"/>
        <v>#N/A</v>
      </c>
      <c r="M278" s="79" t="e">
        <f t="shared" ca="1" si="112"/>
        <v>#N/A</v>
      </c>
      <c r="N278" s="241" t="e">
        <f ca="1">IF(M278="NA","NA",IF(AND(#REF!="Pinned",MIN($R$15:$R$36)=1),(384*29000*I115*M278)/(5*($H$28*12)^4),IF(AND(#REF!="Fixed",MIN($R$15:$R$36)=1),(384*29000*I115*M278)/($H$28*12)^4,"NA")))</f>
        <v>#N/A</v>
      </c>
      <c r="O278" s="241" t="e">
        <f t="shared" ca="1" si="113"/>
        <v>#N/A</v>
      </c>
    </row>
    <row r="279" spans="5:15">
      <c r="E279" s="58" t="e">
        <f t="shared" ca="1" si="111"/>
        <v>#N/A</v>
      </c>
      <c r="M279" s="79" t="e">
        <f t="shared" ca="1" si="112"/>
        <v>#N/A</v>
      </c>
      <c r="N279" s="241" t="e">
        <f ca="1">IF(M279="NA","NA",IF(AND(#REF!="Pinned",MIN($R$15:$R$36)=1),(384*29000*I116*M279)/(5*($H$28*12)^4),IF(AND(#REF!="Fixed",MIN($R$15:$R$36)=1),(384*29000*I116*M279)/($H$28*12)^4,"NA")))</f>
        <v>#N/A</v>
      </c>
      <c r="O279" s="241" t="e">
        <f t="shared" ca="1" si="113"/>
        <v>#N/A</v>
      </c>
    </row>
    <row r="280" spans="5:15">
      <c r="E280" s="58" t="e">
        <f t="shared" ca="1" si="111"/>
        <v>#N/A</v>
      </c>
      <c r="M280" s="79" t="e">
        <f t="shared" ca="1" si="112"/>
        <v>#N/A</v>
      </c>
      <c r="N280" s="241" t="e">
        <f ca="1">IF(M280="NA","NA",IF(AND(#REF!="Pinned",MIN($R$15:$R$36)=1),(384*29000*I117*M280)/(5*($H$28*12)^4),IF(AND(#REF!="Fixed",MIN($R$15:$R$36)=1),(384*29000*I117*M280)/($H$28*12)^4,"NA")))</f>
        <v>#N/A</v>
      </c>
      <c r="O280" s="241" t="e">
        <f t="shared" ca="1" si="113"/>
        <v>#N/A</v>
      </c>
    </row>
    <row r="281" spans="5:15">
      <c r="E281" s="58" t="str">
        <f t="shared" si="111"/>
        <v/>
      </c>
      <c r="M281" s="79" t="str">
        <f t="shared" si="112"/>
        <v>NA</v>
      </c>
      <c r="N281" s="241" t="str">
        <f>IF(M281="NA","NA",IF(AND(#REF!="Pinned",MIN($R$15:$R$36)=1),(384*29000*I118*M281)/(5*($H$28*12)^4),IF(AND(#REF!="Fixed",MIN($R$15:$R$36)=1),(384*29000*I118*M281)/($H$28*12)^4,"NA")))</f>
        <v>NA</v>
      </c>
      <c r="O281" s="241" t="str">
        <f t="shared" si="113"/>
        <v>NA</v>
      </c>
    </row>
    <row r="282" spans="5:15">
      <c r="E282" s="58" t="str">
        <f t="shared" si="111"/>
        <v/>
      </c>
      <c r="M282" s="79" t="str">
        <f t="shared" si="112"/>
        <v>NA</v>
      </c>
      <c r="N282" s="241" t="str">
        <f>IF(M282="NA","NA",IF(AND(#REF!="Pinned",MIN($R$15:$R$36)=1),(384*29000*I119*M282)/(5*($H$28*12)^4),IF(AND(#REF!="Fixed",MIN($R$15:$R$36)=1),(384*29000*I119*M282)/($H$28*12)^4,"NA")))</f>
        <v>NA</v>
      </c>
      <c r="O282" s="241" t="str">
        <f t="shared" si="113"/>
        <v>NA</v>
      </c>
    </row>
    <row r="283" spans="5:15">
      <c r="E283" s="58" t="str">
        <f t="shared" si="111"/>
        <v/>
      </c>
      <c r="M283" s="79" t="str">
        <f t="shared" si="112"/>
        <v>NA</v>
      </c>
      <c r="N283" s="241" t="str">
        <f>IF(M283="NA","NA",IF(AND(#REF!="Pinned",MIN($R$15:$R$36)=1),(384*29000*I120*M283)/(5*($H$28*12)^4),IF(AND(#REF!="Fixed",MIN($R$15:$R$36)=1),(384*29000*I120*M283)/($H$28*12)^4,"NA")))</f>
        <v>NA</v>
      </c>
      <c r="O283" s="241" t="str">
        <f t="shared" si="113"/>
        <v>NA</v>
      </c>
    </row>
    <row r="284" spans="5:15">
      <c r="E284" s="58" t="str">
        <f t="shared" si="111"/>
        <v/>
      </c>
      <c r="M284" s="79" t="str">
        <f t="shared" si="112"/>
        <v>NA</v>
      </c>
      <c r="N284" s="241" t="str">
        <f>IF(M284="NA","NA",IF(AND(#REF!="Pinned",MIN($R$15:$R$36)=1),(384*29000*I121*M284)/(5*($H$28*12)^4),IF(AND(#REF!="Fixed",MIN($R$15:$R$36)=1),(384*29000*I121*M284)/($H$28*12)^4,"NA")))</f>
        <v>NA</v>
      </c>
      <c r="O284" s="241" t="str">
        <f t="shared" si="113"/>
        <v>NA</v>
      </c>
    </row>
    <row r="285" spans="5:15">
      <c r="E285" s="58" t="str">
        <f t="shared" si="111"/>
        <v/>
      </c>
      <c r="M285" s="79" t="str">
        <f t="shared" si="112"/>
        <v>NA</v>
      </c>
      <c r="N285" s="241" t="str">
        <f>IF(M285="NA","NA",IF(AND(#REF!="Pinned",MIN($R$15:$R$36)=1),(384*29000*I122*M285)/(5*($H$28*12)^4),IF(AND(#REF!="Fixed",MIN($R$15:$R$36)=1),(384*29000*I122*M285)/($H$28*12)^4,"NA")))</f>
        <v>NA</v>
      </c>
      <c r="O285" s="241" t="str">
        <f t="shared" si="113"/>
        <v>NA</v>
      </c>
    </row>
    <row r="286" spans="5:15">
      <c r="E286" s="58" t="str">
        <f t="shared" si="111"/>
        <v/>
      </c>
      <c r="M286" s="79" t="str">
        <f t="shared" si="112"/>
        <v>NA</v>
      </c>
      <c r="N286" s="241" t="str">
        <f>IF(M286="NA","NA",IF(AND(#REF!="Pinned",MIN($R$15:$R$36)=1),(384*29000*I123*M286)/(5*($H$28*12)^4),IF(AND(#REF!="Fixed",MIN($R$15:$R$36)=1),(384*29000*I123*M286)/($H$28*12)^4,"NA")))</f>
        <v>NA</v>
      </c>
      <c r="O286" s="241" t="str">
        <f t="shared" si="113"/>
        <v>NA</v>
      </c>
    </row>
    <row r="287" spans="5:15">
      <c r="E287" s="58" t="str">
        <f t="shared" si="111"/>
        <v/>
      </c>
      <c r="M287" s="79" t="str">
        <f t="shared" si="112"/>
        <v>NA</v>
      </c>
      <c r="N287" s="241" t="str">
        <f>IF(M287="NA","NA",IF(AND(#REF!="Pinned",MIN($R$15:$R$36)=1),(384*29000*I124*M287)/(5*($H$28*12)^4),IF(AND(#REF!="Fixed",MIN($R$15:$R$36)=1),(384*29000*I124*M287)/($H$28*12)^4,"NA")))</f>
        <v>NA</v>
      </c>
      <c r="O287" s="79" t="str">
        <f t="shared" si="113"/>
        <v>NA</v>
      </c>
    </row>
    <row r="288" spans="5:15">
      <c r="E288" s="58" t="str">
        <f t="shared" si="111"/>
        <v/>
      </c>
      <c r="M288" s="79" t="str">
        <f t="shared" si="112"/>
        <v>NA</v>
      </c>
      <c r="N288" s="241" t="str">
        <f>IF(M288="NA","NA",IF(AND(#REF!="Pinned",MIN($R$15:$R$36)=1),(384*29000*I125*M288)/(5*($H$28*12)^4),IF(AND(#REF!="Fixed",MIN($R$15:$R$36)=1),(384*29000*I125*M288)/($H$28*12)^4,"NA")))</f>
        <v>NA</v>
      </c>
      <c r="O288" s="79" t="str">
        <f t="shared" si="113"/>
        <v>NA</v>
      </c>
    </row>
    <row r="289" spans="5:15">
      <c r="E289" s="58" t="str">
        <f t="shared" si="111"/>
        <v/>
      </c>
      <c r="M289" s="79" t="e">
        <f>IF(#REF!=1,K159*0.6,"NA")</f>
        <v>#REF!</v>
      </c>
      <c r="N289" s="241" t="e">
        <f>IF(M289="NA","NA",IF(AND(#REF!="Pinned",MIN($R$15:$R$36)=1),(384*29000*I126*M289)/(5*($H$28*12)^4),IF(AND(#REF!="Fixed",MIN($R$15:$R$36)=1),(384*29000*I126*M289)/($H$28*12)^4,"NA")))</f>
        <v>#REF!</v>
      </c>
      <c r="O289" s="79" t="e">
        <f t="shared" si="113"/>
        <v>#REF!</v>
      </c>
    </row>
  </sheetData>
  <sheetProtection selectLockedCells="1"/>
  <mergeCells count="196">
    <mergeCell ref="E62:G63"/>
    <mergeCell ref="E60:M61"/>
    <mergeCell ref="R1:S4"/>
    <mergeCell ref="T1:W4"/>
    <mergeCell ref="R7:AF8"/>
    <mergeCell ref="AE1:AF1"/>
    <mergeCell ref="AE2:AF2"/>
    <mergeCell ref="AE3:AF3"/>
    <mergeCell ref="AE4:AF4"/>
    <mergeCell ref="D52:O53"/>
    <mergeCell ref="R12:R14"/>
    <mergeCell ref="AA12:AA14"/>
    <mergeCell ref="X12:X14"/>
    <mergeCell ref="Z9:AC11"/>
    <mergeCell ref="AD9:AD11"/>
    <mergeCell ref="AE9:AF11"/>
    <mergeCell ref="AF71:AF72"/>
    <mergeCell ref="AF12:AF14"/>
    <mergeCell ref="W12:W14"/>
    <mergeCell ref="X1:AD1"/>
    <mergeCell ref="X2:AD2"/>
    <mergeCell ref="X3:AD3"/>
    <mergeCell ref="X4:AD4"/>
    <mergeCell ref="H62:J63"/>
    <mergeCell ref="K62:M63"/>
    <mergeCell ref="AF96:AF97"/>
    <mergeCell ref="S96:S97"/>
    <mergeCell ref="T12:T14"/>
    <mergeCell ref="U12:U14"/>
    <mergeCell ref="V12:V14"/>
    <mergeCell ref="U165:AB166"/>
    <mergeCell ref="R165:T166"/>
    <mergeCell ref="T96:T97"/>
    <mergeCell ref="R132:W133"/>
    <mergeCell ref="X132:AA133"/>
    <mergeCell ref="AB132:AB133"/>
    <mergeCell ref="AB12:AB14"/>
    <mergeCell ref="AC12:AC14"/>
    <mergeCell ref="AD12:AD14"/>
    <mergeCell ref="AE12:AE14"/>
    <mergeCell ref="AC71:AC72"/>
    <mergeCell ref="R69:AF70"/>
    <mergeCell ref="Z12:Z14"/>
    <mergeCell ref="U96:U97"/>
    <mergeCell ref="AC96:AC97"/>
    <mergeCell ref="Z96:Z97"/>
    <mergeCell ref="AA96:AA97"/>
    <mergeCell ref="AB96:AB97"/>
    <mergeCell ref="AD71:AD72"/>
    <mergeCell ref="Z71:Z72"/>
    <mergeCell ref="AA71:AA72"/>
    <mergeCell ref="AB71:AB72"/>
    <mergeCell ref="R167:R168"/>
    <mergeCell ref="S167:S168"/>
    <mergeCell ref="S12:S14"/>
    <mergeCell ref="X71:X72"/>
    <mergeCell ref="AD96:AD97"/>
    <mergeCell ref="AE96:AE97"/>
    <mergeCell ref="AE71:AE72"/>
    <mergeCell ref="W211:W212"/>
    <mergeCell ref="X211:X212"/>
    <mergeCell ref="Y211:Y212"/>
    <mergeCell ref="Z211:Z212"/>
    <mergeCell ref="T167:T168"/>
    <mergeCell ref="U167:X167"/>
    <mergeCell ref="Y167:Y168"/>
    <mergeCell ref="AE167:AE168"/>
    <mergeCell ref="AE165:AF166"/>
    <mergeCell ref="AC165:AD166"/>
    <mergeCell ref="Z167:Z168"/>
    <mergeCell ref="AC167:AC168"/>
    <mergeCell ref="AD167:AD168"/>
    <mergeCell ref="AF167:AF168"/>
    <mergeCell ref="W209:Z210"/>
    <mergeCell ref="AA167:AA168"/>
    <mergeCell ref="AB167:AB168"/>
    <mergeCell ref="R163:AF164"/>
    <mergeCell ref="R130:AF131"/>
    <mergeCell ref="C261:P261"/>
    <mergeCell ref="B1:C4"/>
    <mergeCell ref="D1:G4"/>
    <mergeCell ref="H1:N1"/>
    <mergeCell ref="H2:N2"/>
    <mergeCell ref="H3:N3"/>
    <mergeCell ref="H4:N4"/>
    <mergeCell ref="C7:P7"/>
    <mergeCell ref="C260:P260"/>
    <mergeCell ref="E165:P166"/>
    <mergeCell ref="C259:P259"/>
    <mergeCell ref="E86:G86"/>
    <mergeCell ref="H86:J86"/>
    <mergeCell ref="N86:P86"/>
    <mergeCell ref="K86:M86"/>
    <mergeCell ref="D101:N102"/>
    <mergeCell ref="G103:G106"/>
    <mergeCell ref="S134:T134"/>
    <mergeCell ref="U134:W134"/>
    <mergeCell ref="U135:U138"/>
    <mergeCell ref="V135:V138"/>
    <mergeCell ref="W135:W138"/>
    <mergeCell ref="D103:F106"/>
    <mergeCell ref="D156:E156"/>
    <mergeCell ref="D157:E157"/>
    <mergeCell ref="D158:E158"/>
    <mergeCell ref="D159:E159"/>
    <mergeCell ref="D140:E140"/>
    <mergeCell ref="D150:E150"/>
    <mergeCell ref="R9:W11"/>
    <mergeCell ref="X9:Y11"/>
    <mergeCell ref="R96:R97"/>
    <mergeCell ref="Y96:Y97"/>
    <mergeCell ref="V96:V97"/>
    <mergeCell ref="W96:W97"/>
    <mergeCell ref="X96:X97"/>
    <mergeCell ref="R71:R72"/>
    <mergeCell ref="R49:AF50"/>
    <mergeCell ref="S71:S72"/>
    <mergeCell ref="T71:T72"/>
    <mergeCell ref="U71:U72"/>
    <mergeCell ref="V71:V72"/>
    <mergeCell ref="W71:W72"/>
    <mergeCell ref="C17:P18"/>
    <mergeCell ref="D151:E151"/>
    <mergeCell ref="D152:E152"/>
    <mergeCell ref="H104:J104"/>
    <mergeCell ref="K104:N104"/>
    <mergeCell ref="D153:E153"/>
    <mergeCell ref="D154:E154"/>
    <mergeCell ref="D155:E155"/>
    <mergeCell ref="E107:F107"/>
    <mergeCell ref="D141:E141"/>
    <mergeCell ref="D142:E142"/>
    <mergeCell ref="D143:E143"/>
    <mergeCell ref="D144:E144"/>
    <mergeCell ref="D145:E145"/>
    <mergeCell ref="D146:E146"/>
    <mergeCell ref="D147:E147"/>
    <mergeCell ref="D148:E148"/>
    <mergeCell ref="D149:E149"/>
    <mergeCell ref="C130:P131"/>
    <mergeCell ref="C132:E139"/>
    <mergeCell ref="F134:F139"/>
    <mergeCell ref="G134:G139"/>
    <mergeCell ref="H134:H139"/>
    <mergeCell ref="I136:I139"/>
    <mergeCell ref="J136:J139"/>
    <mergeCell ref="K136:K139"/>
    <mergeCell ref="L136:L139"/>
    <mergeCell ref="S206:AE207"/>
    <mergeCell ref="R134:R138"/>
    <mergeCell ref="S135:S138"/>
    <mergeCell ref="T135:T138"/>
    <mergeCell ref="C9:P15"/>
    <mergeCell ref="I134:L135"/>
    <mergeCell ref="F132:H133"/>
    <mergeCell ref="M134:P135"/>
    <mergeCell ref="I132:P133"/>
    <mergeCell ref="E71:G71"/>
    <mergeCell ref="H71:J71"/>
    <mergeCell ref="K71:M71"/>
    <mergeCell ref="D55:O58"/>
    <mergeCell ref="H103:N103"/>
    <mergeCell ref="H105:H106"/>
    <mergeCell ref="I105:I106"/>
    <mergeCell ref="J105:J106"/>
    <mergeCell ref="K105:K106"/>
    <mergeCell ref="E80:G80"/>
    <mergeCell ref="H80:J80"/>
    <mergeCell ref="K80:M80"/>
    <mergeCell ref="K72:M72"/>
    <mergeCell ref="N80:P80"/>
    <mergeCell ref="L105:L106"/>
    <mergeCell ref="M136:M139"/>
    <mergeCell ref="N136:N139"/>
    <mergeCell ref="O136:O139"/>
    <mergeCell ref="P136:P139"/>
    <mergeCell ref="O1:Q1"/>
    <mergeCell ref="O2:Q2"/>
    <mergeCell ref="P3:Q3"/>
    <mergeCell ref="P4:Q4"/>
    <mergeCell ref="R95:AF95"/>
    <mergeCell ref="M105:M106"/>
    <mergeCell ref="N105:N106"/>
    <mergeCell ref="AB134:AB138"/>
    <mergeCell ref="AC134:AC138"/>
    <mergeCell ref="AD134:AD138"/>
    <mergeCell ref="AE134:AE138"/>
    <mergeCell ref="AF134:AF138"/>
    <mergeCell ref="X134:X138"/>
    <mergeCell ref="Y134:Y138"/>
    <mergeCell ref="Z134:Z138"/>
    <mergeCell ref="AA134:AA138"/>
    <mergeCell ref="Y12:Y14"/>
    <mergeCell ref="AC132:AF133"/>
    <mergeCell ref="R51:AF51"/>
    <mergeCell ref="Y71:Y72"/>
  </mergeCells>
  <dataValidations count="3">
    <dataValidation type="list" allowBlank="1" showInputMessage="1" showErrorMessage="1" sqref="M37">
      <formula1>$AN$10:$AN$12</formula1>
    </dataValidation>
    <dataValidation type="list" allowBlank="1" showInputMessage="1" showErrorMessage="1" sqref="H23">
      <formula1>$AP$10:$AP$11</formula1>
    </dataValidation>
    <dataValidation type="list" allowBlank="1" showInputMessage="1" showErrorMessage="1" sqref="J30 K27:K29">
      <formula1>$AR$10:$AR$14</formula1>
    </dataValidation>
  </dataValidations>
  <pageMargins left="0.3" right="0.3" top="0.35" bottom="0.35" header="0.3" footer="0.3"/>
  <pageSetup orientation="portrait" horizontalDpi="1200" verticalDpi="1200" r:id="rId1"/>
  <ignoredErrors>
    <ignoredError sqref="O82:O83 F88:F89 O88:O89 L88:L89 L81 O81 F81 L87 O87 F87 F82:F83 L82:L83 M95:M96 I98 M98 I82:I83 I95 I81 I87:I88" unlockedFormula="1"/>
  </ignoredErrors>
  <drawing r:id="rId2"/>
  <legacyDrawing r:id="rId3"/>
</worksheet>
</file>

<file path=xl/worksheets/sheet4.xml><?xml version="1.0" encoding="utf-8"?>
<worksheet xmlns="http://schemas.openxmlformats.org/spreadsheetml/2006/main" xmlns:r="http://schemas.openxmlformats.org/officeDocument/2006/relationships">
  <dimension ref="A1:J17"/>
  <sheetViews>
    <sheetView workbookViewId="0">
      <selection sqref="A1:J1"/>
    </sheetView>
  </sheetViews>
  <sheetFormatPr defaultRowHeight="15"/>
  <sheetData>
    <row r="1" spans="1:10" ht="15.75">
      <c r="A1" s="451" t="s">
        <v>975</v>
      </c>
      <c r="B1" s="451"/>
      <c r="C1" s="451"/>
      <c r="D1" s="451"/>
      <c r="E1" s="451"/>
      <c r="F1" s="451"/>
      <c r="G1" s="451"/>
      <c r="H1" s="451"/>
      <c r="I1" s="451"/>
      <c r="J1" s="451"/>
    </row>
    <row r="2" spans="1:10">
      <c r="A2" s="450" t="s">
        <v>976</v>
      </c>
      <c r="B2" s="450"/>
      <c r="C2" s="450"/>
      <c r="D2" s="450"/>
      <c r="E2" s="450"/>
      <c r="F2" s="450"/>
      <c r="G2" s="450"/>
      <c r="H2" s="450"/>
      <c r="I2" s="450"/>
      <c r="J2" s="450"/>
    </row>
    <row r="3" spans="1:10">
      <c r="A3" s="450"/>
      <c r="B3" s="450"/>
      <c r="C3" s="450"/>
      <c r="D3" s="450"/>
      <c r="E3" s="450"/>
      <c r="F3" s="450"/>
      <c r="G3" s="450"/>
      <c r="H3" s="450"/>
      <c r="I3" s="450"/>
      <c r="J3" s="450"/>
    </row>
    <row r="4" spans="1:10">
      <c r="A4" s="450"/>
      <c r="B4" s="450"/>
      <c r="C4" s="450"/>
      <c r="D4" s="450"/>
      <c r="E4" s="450"/>
      <c r="F4" s="450"/>
      <c r="G4" s="450"/>
      <c r="H4" s="450"/>
      <c r="I4" s="450"/>
      <c r="J4" s="450"/>
    </row>
    <row r="5" spans="1:10">
      <c r="A5" s="450"/>
      <c r="B5" s="450"/>
      <c r="C5" s="450"/>
      <c r="D5" s="450"/>
      <c r="E5" s="450"/>
      <c r="F5" s="450"/>
      <c r="G5" s="450"/>
      <c r="H5" s="450"/>
      <c r="I5" s="450"/>
      <c r="J5" s="450"/>
    </row>
    <row r="6" spans="1:10">
      <c r="A6" s="450"/>
      <c r="B6" s="450"/>
      <c r="C6" s="450"/>
      <c r="D6" s="450"/>
      <c r="E6" s="450"/>
      <c r="F6" s="450"/>
      <c r="G6" s="450"/>
      <c r="H6" s="450"/>
      <c r="I6" s="450"/>
      <c r="J6" s="450"/>
    </row>
    <row r="8" spans="1:10" ht="15" customHeight="1">
      <c r="A8" s="450" t="s">
        <v>977</v>
      </c>
      <c r="B8" s="450"/>
      <c r="C8" s="450"/>
      <c r="D8" s="450"/>
      <c r="E8" s="450"/>
      <c r="F8" s="450"/>
      <c r="G8" s="450"/>
      <c r="H8" s="450"/>
      <c r="I8" s="450"/>
      <c r="J8" s="450"/>
    </row>
    <row r="9" spans="1:10">
      <c r="A9" s="450"/>
      <c r="B9" s="450"/>
      <c r="C9" s="450"/>
      <c r="D9" s="450"/>
      <c r="E9" s="450"/>
      <c r="F9" s="450"/>
      <c r="G9" s="450"/>
      <c r="H9" s="450"/>
      <c r="I9" s="450"/>
      <c r="J9" s="450"/>
    </row>
    <row r="10" spans="1:10">
      <c r="A10" s="450"/>
      <c r="B10" s="450"/>
      <c r="C10" s="450"/>
      <c r="D10" s="450"/>
      <c r="E10" s="450"/>
      <c r="F10" s="450"/>
      <c r="G10" s="450"/>
      <c r="H10" s="450"/>
      <c r="I10" s="450"/>
      <c r="J10" s="450"/>
    </row>
    <row r="11" spans="1:10">
      <c r="A11" s="450"/>
      <c r="B11" s="450"/>
      <c r="C11" s="450"/>
      <c r="D11" s="450"/>
      <c r="E11" s="450"/>
      <c r="F11" s="450"/>
      <c r="G11" s="450"/>
      <c r="H11" s="450"/>
      <c r="I11" s="450"/>
      <c r="J11" s="450"/>
    </row>
    <row r="12" spans="1:10">
      <c r="A12" s="450"/>
      <c r="B12" s="450"/>
      <c r="C12" s="450"/>
      <c r="D12" s="450"/>
      <c r="E12" s="450"/>
      <c r="F12" s="450"/>
      <c r="G12" s="450"/>
      <c r="H12" s="450"/>
      <c r="I12" s="450"/>
      <c r="J12" s="450"/>
    </row>
    <row r="14" spans="1:10">
      <c r="A14" s="450" t="s">
        <v>978</v>
      </c>
      <c r="B14" s="450"/>
      <c r="C14" s="450"/>
      <c r="D14" s="450"/>
      <c r="E14" s="450"/>
      <c r="F14" s="450"/>
      <c r="G14" s="450"/>
      <c r="H14" s="450"/>
      <c r="I14" s="450"/>
      <c r="J14" s="450"/>
    </row>
    <row r="15" spans="1:10">
      <c r="A15" s="450"/>
      <c r="B15" s="450"/>
      <c r="C15" s="450"/>
      <c r="D15" s="450"/>
      <c r="E15" s="450"/>
      <c r="F15" s="450"/>
      <c r="G15" s="450"/>
      <c r="H15" s="450"/>
      <c r="I15" s="450"/>
      <c r="J15" s="450"/>
    </row>
    <row r="16" spans="1:10">
      <c r="A16" s="450"/>
      <c r="B16" s="450"/>
      <c r="C16" s="450"/>
      <c r="D16" s="450"/>
      <c r="E16" s="450"/>
      <c r="F16" s="450"/>
      <c r="G16" s="450"/>
      <c r="H16" s="450"/>
      <c r="I16" s="450"/>
      <c r="J16" s="450"/>
    </row>
    <row r="17" spans="1:10">
      <c r="A17" s="450"/>
      <c r="B17" s="450"/>
      <c r="C17" s="450"/>
      <c r="D17" s="450"/>
      <c r="E17" s="450"/>
      <c r="F17" s="450"/>
      <c r="G17" s="450"/>
      <c r="H17" s="450"/>
      <c r="I17" s="450"/>
      <c r="J17" s="450"/>
    </row>
  </sheetData>
  <mergeCells count="4">
    <mergeCell ref="A2:J6"/>
    <mergeCell ref="A8:J12"/>
    <mergeCell ref="A14:J17"/>
    <mergeCell ref="A1:J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~#temp</vt:lpstr>
      <vt:lpstr>AISC Angle Database</vt:lpstr>
      <vt:lpstr>Steel Angle Lintel Design</vt:lpstr>
      <vt:lpstr>Readme</vt:lpstr>
      <vt:lpstr>'Steel Angle Lintel Design'!Print_Area</vt:lpstr>
      <vt:lpstr>'Steel Angle Lintel Design'!Print_Titles</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dc:creator>
  <cp:lastModifiedBy>Denis Brown</cp:lastModifiedBy>
  <cp:lastPrinted>2011-12-29T03:44:29Z</cp:lastPrinted>
  <dcterms:created xsi:type="dcterms:W3CDTF">2011-01-25T20:54:05Z</dcterms:created>
  <dcterms:modified xsi:type="dcterms:W3CDTF">2014-08-10T03:51:14Z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S9Connected">
    <vt:bool>true</vt:bool>
  </property>
</Properties>
</file>