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16980" windowHeight="12840" tabRatio="955" firstSheet="1" activeTab="14"/>
  </bookViews>
  <sheets>
    <sheet name="~#temp" sheetId="6" state="hidden" r:id="rId1"/>
    <sheet name="Omakaal" sheetId="7" r:id="rId2"/>
    <sheet name="TUULEKOORMUS 1" sheetId="5" r:id="rId3"/>
    <sheet name="TUULEKOORMUS 2" sheetId="15" r:id="rId4"/>
    <sheet name="TUULEKOORMUS 2(vana)" sheetId="8" state="hidden" r:id="rId5"/>
    <sheet name="TUULEKOORMUS 3 (vana)" sheetId="9" state="hidden" r:id="rId6"/>
    <sheet name="TUULEKOORMUS 3" sheetId="16" r:id="rId7"/>
    <sheet name="Jäitekoormus" sheetId="12" r:id="rId8"/>
    <sheet name="Tuul 1+jää" sheetId="13" r:id="rId9"/>
    <sheet name="Tuul 2+jää" sheetId="14" r:id="rId10"/>
    <sheet name="Tuul 3+jää" sheetId="17" r:id="rId11"/>
    <sheet name="Koormuste koondtabel" sheetId="11" r:id="rId12"/>
    <sheet name="KOMBINATSIOONID" sheetId="4" r:id="rId13"/>
    <sheet name="mudeli kontroll" sheetId="18" r:id="rId14"/>
    <sheet name="Varraste kontroll" sheetId="19" r:id="rId15"/>
    <sheet name="Ristlõiked" sheetId="21" r:id="rId16"/>
    <sheet name="Sõlmede dimensioneerimine" sheetId="20" r:id="rId17"/>
  </sheets>
  <externalReferences>
    <externalReference r:id="rId18"/>
    <externalReference r:id="rId19"/>
    <externalReference r:id="rId20"/>
  </externalReferences>
  <definedNames>
    <definedName name="nurkterased" localSheetId="7">[1]Ristlõiked!$A$5:$A$38</definedName>
    <definedName name="nurkterased" localSheetId="2">[1]Ristlõiked!$A$5:$A$38</definedName>
    <definedName name="nurkterased" localSheetId="3">[1]Ristlõiked!$A$5:$A$38</definedName>
    <definedName name="nurkterased" localSheetId="4">[1]Ristlõiked!$A$5:$A$38</definedName>
    <definedName name="nurkterased" localSheetId="6">[1]Ristlõiked!$A$5:$A$38</definedName>
    <definedName name="nurkterased" localSheetId="5">[1]Ristlõiked!$A$5:$A$38</definedName>
    <definedName name="nurkterased">[2]Ristlõiked!$A$5:$A$38</definedName>
    <definedName name="T1_nimi">Ristlõiked!$A$4:$A$21</definedName>
    <definedName name="T2_nimi">Ristlõiked!$A$26:$A$36</definedName>
    <definedName name="T3_nimi">Ristlõiked!$A$46:$A$50</definedName>
    <definedName name="Tabel_1">Ristlõiked!$A$4:$L$21</definedName>
    <definedName name="tabel_2">Ristlõiked!$A$26:$L$36</definedName>
    <definedName name="tabel1" localSheetId="7">[1]Ristlõiked!$A$5:$Q$38</definedName>
    <definedName name="tabel1" localSheetId="2">[1]Ristlõiked!$A$5:$Q$38</definedName>
    <definedName name="tabel1" localSheetId="3">[1]Ristlõiked!$A$5:$Q$38</definedName>
    <definedName name="tabel1" localSheetId="4">[1]Ristlõiked!$A$5:$Q$38</definedName>
    <definedName name="tabel1" localSheetId="6">[1]Ristlõiked!$A$5:$Q$38</definedName>
    <definedName name="tabel1" localSheetId="5">[1]Ristlõiked!$A$5:$Q$38</definedName>
    <definedName name="tabel1">[2]Ristlõiked!$A$5:$Q$38</definedName>
    <definedName name="tombetugevused" localSheetId="7">[1]Ristlõiked!$A$53:$E$56</definedName>
    <definedName name="tombetugevused" localSheetId="2">[1]Ristlõiked!$A$53:$E$56</definedName>
    <definedName name="tombetugevused" localSheetId="3">[1]Ristlõiked!$A$53:$E$56</definedName>
    <definedName name="tombetugevused" localSheetId="4">[1]Ristlõiked!$A$53:$E$56</definedName>
    <definedName name="tombetugevused" localSheetId="6">[1]Ristlõiked!$A$53:$E$56</definedName>
    <definedName name="tombetugevused" localSheetId="5">[1]Ristlõiked!$A$53:$E$56</definedName>
    <definedName name="tombetugevused">[2]Ristlõiked!$A$53:$E$56</definedName>
    <definedName name="tugevusklass" localSheetId="7">[1]Ristlõiked!$A$45:$A$48</definedName>
    <definedName name="tugevusklass" localSheetId="2">[1]Ristlõiked!$A$45:$A$48</definedName>
    <definedName name="tugevusklass" localSheetId="3">[1]Ristlõiked!$A$45:$A$48</definedName>
    <definedName name="tugevusklass" localSheetId="4">[1]Ristlõiked!$A$45:$A$48</definedName>
    <definedName name="tugevusklass" localSheetId="6">[1]Ristlõiked!$A$45:$A$48</definedName>
    <definedName name="tugevusklass" localSheetId="5">[1]Ristlõiked!$A$45:$A$48</definedName>
    <definedName name="tugevusklass">[2]Ristlõiked!$A$45:$A$48</definedName>
    <definedName name="voolavuspiirid" localSheetId="7">[1]Ristlõiked!$A$45:$E$48</definedName>
    <definedName name="voolavuspiirid" localSheetId="2">[1]Ristlõiked!$A$45:$E$48</definedName>
    <definedName name="voolavuspiirid" localSheetId="3">[1]Ristlõiked!$A$45:$E$48</definedName>
    <definedName name="voolavuspiirid" localSheetId="4">[1]Ristlõiked!$A$45:$E$48</definedName>
    <definedName name="voolavuspiirid" localSheetId="6">[1]Ristlõiked!$A$45:$E$48</definedName>
    <definedName name="voolavuspiirid" localSheetId="5">[1]Ristlõiked!$A$45:$E$48</definedName>
    <definedName name="voolavuspiirid">[2]Ristlõiked!$A$45:$E$48</definedName>
  </definedNames>
  <calcPr calcId="125725"/>
</workbook>
</file>

<file path=xl/calcChain.xml><?xml version="1.0" encoding="utf-8"?>
<calcChain xmlns="http://schemas.openxmlformats.org/spreadsheetml/2006/main">
  <c r="G208" i="19"/>
  <c r="E221"/>
  <c r="H221" s="1"/>
  <c r="E220"/>
  <c r="E217"/>
  <c r="G219"/>
  <c r="G218"/>
  <c r="G217"/>
  <c r="E219"/>
  <c r="G216"/>
  <c r="G215"/>
  <c r="E215"/>
  <c r="E216" s="1"/>
  <c r="G212"/>
  <c r="E212"/>
  <c r="E211"/>
  <c r="G209"/>
  <c r="G207"/>
  <c r="E209"/>
  <c r="E208"/>
  <c r="E207"/>
  <c r="G181"/>
  <c r="E176"/>
  <c r="G180"/>
  <c r="G179"/>
  <c r="E179"/>
  <c r="E181" s="1"/>
  <c r="G178"/>
  <c r="E178"/>
  <c r="E177"/>
  <c r="E170"/>
  <c r="E169"/>
  <c r="E180" s="1"/>
  <c r="E164"/>
  <c r="E162"/>
  <c r="E195"/>
  <c r="E194"/>
  <c r="E193"/>
  <c r="E196"/>
  <c r="G177"/>
  <c r="G196"/>
  <c r="E197"/>
  <c r="E187"/>
  <c r="E186"/>
  <c r="E185"/>
  <c r="E188"/>
  <c r="E189" s="1"/>
  <c r="G188"/>
  <c r="I197" l="1"/>
  <c r="E200"/>
  <c r="E127"/>
  <c r="G142"/>
  <c r="G139"/>
  <c r="G125"/>
  <c r="G141"/>
  <c r="G134"/>
  <c r="G138"/>
  <c r="G135"/>
  <c r="G124"/>
  <c r="I189" l="1"/>
  <c r="E120"/>
  <c r="E107"/>
  <c r="G117"/>
  <c r="G116"/>
  <c r="G119"/>
  <c r="G112"/>
  <c r="G98"/>
  <c r="G107"/>
  <c r="G118"/>
  <c r="G115"/>
  <c r="G109"/>
  <c r="G97"/>
  <c r="E97" l="1"/>
  <c r="A27" i="21"/>
  <c r="A28"/>
  <c r="A29"/>
  <c r="A30"/>
  <c r="A31"/>
  <c r="A32"/>
  <c r="A33"/>
  <c r="A34"/>
  <c r="A35"/>
  <c r="A36"/>
  <c r="A26"/>
  <c r="E57" i="19"/>
  <c r="E50"/>
  <c r="G45"/>
  <c r="G46"/>
  <c r="G71"/>
  <c r="G68"/>
  <c r="G72"/>
  <c r="G69"/>
  <c r="G64"/>
  <c r="G65"/>
  <c r="G49"/>
  <c r="L166" l="1"/>
  <c r="E91"/>
  <c r="E124" s="1"/>
  <c r="E128" s="1"/>
  <c r="E90"/>
  <c r="E117" s="1"/>
  <c r="E89"/>
  <c r="E111" s="1"/>
  <c r="E93"/>
  <c r="E88"/>
  <c r="E92"/>
  <c r="E108" s="1"/>
  <c r="E109" s="1"/>
  <c r="E41"/>
  <c r="G42"/>
  <c r="G39"/>
  <c r="G37"/>
  <c r="E112" l="1"/>
  <c r="E98"/>
  <c r="E99" s="1"/>
  <c r="I99" s="1"/>
  <c r="E37"/>
  <c r="E28"/>
  <c r="A5" i="21"/>
  <c r="A6"/>
  <c r="A7"/>
  <c r="A8"/>
  <c r="A9"/>
  <c r="A10"/>
  <c r="A11"/>
  <c r="A12"/>
  <c r="A13"/>
  <c r="A14"/>
  <c r="A15"/>
  <c r="A16"/>
  <c r="A17"/>
  <c r="A18"/>
  <c r="A19"/>
  <c r="A20"/>
  <c r="A21"/>
  <c r="A4"/>
  <c r="G55" i="19"/>
  <c r="G28"/>
  <c r="G47"/>
  <c r="G54"/>
  <c r="G48"/>
  <c r="G29"/>
  <c r="E115" l="1"/>
  <c r="E116" s="1"/>
  <c r="E119" s="1"/>
  <c r="E21"/>
  <c r="E22"/>
  <c r="E47" s="1"/>
  <c r="E24"/>
  <c r="E38" s="1"/>
  <c r="E39" s="1"/>
  <c r="E42" s="1"/>
  <c r="E45" s="1"/>
  <c r="E46" s="1"/>
  <c r="E23"/>
  <c r="E54" s="1"/>
  <c r="E58" s="1"/>
  <c r="E20"/>
  <c r="E29" s="1"/>
  <c r="E30" s="1"/>
  <c r="I30" s="1"/>
  <c r="R12" i="18"/>
  <c r="R11"/>
  <c r="L12"/>
  <c r="L11"/>
  <c r="R13"/>
  <c r="L13"/>
  <c r="E13"/>
  <c r="E12"/>
  <c r="E11"/>
  <c r="L18"/>
  <c r="E16"/>
  <c r="E17"/>
  <c r="E15"/>
  <c r="K24"/>
  <c r="P20"/>
  <c r="Q20" s="1"/>
  <c r="J20"/>
  <c r="K20" s="1"/>
  <c r="L20" s="1"/>
  <c r="C20"/>
  <c r="D20" s="1"/>
  <c r="E20" s="1"/>
  <c r="R10"/>
  <c r="R17" s="1"/>
  <c r="L10"/>
  <c r="L17" s="1"/>
  <c r="E10"/>
  <c r="E19" s="1"/>
  <c r="K14" i="11"/>
  <c r="N14" s="1"/>
  <c r="M8"/>
  <c r="N9"/>
  <c r="M10"/>
  <c r="N12"/>
  <c r="K12"/>
  <c r="K10"/>
  <c r="N10" s="1"/>
  <c r="K9"/>
  <c r="F178" i="17"/>
  <c r="F177"/>
  <c r="K8" i="11"/>
  <c r="N8" s="1"/>
  <c r="J10"/>
  <c r="J9"/>
  <c r="M9" s="1"/>
  <c r="F179" i="14"/>
  <c r="F178"/>
  <c r="J8" i="11"/>
  <c r="J14"/>
  <c r="M14" s="1"/>
  <c r="J12"/>
  <c r="M12" s="1"/>
  <c r="K27"/>
  <c r="K26"/>
  <c r="J27"/>
  <c r="J26"/>
  <c r="J40"/>
  <c r="J39"/>
  <c r="K40"/>
  <c r="K39"/>
  <c r="F357" i="17"/>
  <c r="F355"/>
  <c r="F343"/>
  <c r="F341"/>
  <c r="H352"/>
  <c r="H338"/>
  <c r="H354"/>
  <c r="H53" i="13"/>
  <c r="H54"/>
  <c r="H336" i="17"/>
  <c r="H65" i="12"/>
  <c r="H64"/>
  <c r="H40" i="13"/>
  <c r="H340" i="17"/>
  <c r="H121" i="12"/>
  <c r="H93"/>
  <c r="E49" i="19" l="1"/>
  <c r="E64" s="1"/>
  <c r="E121"/>
  <c r="H121" s="1"/>
  <c r="E135"/>
  <c r="E136" s="1"/>
  <c r="E138" s="1"/>
  <c r="E139" s="1"/>
  <c r="E134"/>
  <c r="K25" i="18"/>
  <c r="R20"/>
  <c r="R16"/>
  <c r="R15"/>
  <c r="E18"/>
  <c r="L16"/>
  <c r="R18"/>
  <c r="L19"/>
  <c r="R19"/>
  <c r="L15"/>
  <c r="K23"/>
  <c r="F333" i="17"/>
  <c r="F329"/>
  <c r="F325"/>
  <c r="F350" s="1"/>
  <c r="F324"/>
  <c r="F349" s="1"/>
  <c r="F357" i="14"/>
  <c r="F355"/>
  <c r="F343"/>
  <c r="F341"/>
  <c r="F329"/>
  <c r="F325"/>
  <c r="F324"/>
  <c r="H352"/>
  <c r="H336"/>
  <c r="H338"/>
  <c r="H354"/>
  <c r="H340"/>
  <c r="E65" i="19" l="1"/>
  <c r="E66" s="1"/>
  <c r="E51"/>
  <c r="H51" s="1"/>
  <c r="E141"/>
  <c r="H143" s="1"/>
  <c r="F334" i="17"/>
  <c r="F336" s="1"/>
  <c r="F338" s="1"/>
  <c r="F340" s="1"/>
  <c r="F352"/>
  <c r="F354" s="1"/>
  <c r="F333" i="14"/>
  <c r="F349"/>
  <c r="F350" s="1"/>
  <c r="F360" i="13"/>
  <c r="F358"/>
  <c r="F346"/>
  <c r="F344"/>
  <c r="F332"/>
  <c r="F328"/>
  <c r="F327"/>
  <c r="H339"/>
  <c r="H343"/>
  <c r="H341"/>
  <c r="H355"/>
  <c r="H357"/>
  <c r="E68" i="19" l="1"/>
  <c r="E69" s="1"/>
  <c r="E71" s="1"/>
  <c r="H73" s="1"/>
  <c r="F342" i="17"/>
  <c r="K49" i="11" s="1"/>
  <c r="F344" i="17"/>
  <c r="K52" i="11" s="1"/>
  <c r="F356" i="17"/>
  <c r="N49" i="11" s="1"/>
  <c r="F358" i="17"/>
  <c r="N52" i="11" s="1"/>
  <c r="F334" i="14"/>
  <c r="F336" s="1"/>
  <c r="F338" s="1"/>
  <c r="F340" s="1"/>
  <c r="F352"/>
  <c r="F354" s="1"/>
  <c r="F336" i="13"/>
  <c r="F352"/>
  <c r="M39" i="11"/>
  <c r="N39"/>
  <c r="M40"/>
  <c r="N40"/>
  <c r="L39"/>
  <c r="I40"/>
  <c r="L40" s="1"/>
  <c r="I39"/>
  <c r="J29"/>
  <c r="M29" s="1"/>
  <c r="J30"/>
  <c r="M30" s="1"/>
  <c r="K30"/>
  <c r="N30" s="1"/>
  <c r="J16"/>
  <c r="M16" s="1"/>
  <c r="K16"/>
  <c r="N16" s="1"/>
  <c r="G30"/>
  <c r="G29"/>
  <c r="K29" s="1"/>
  <c r="N29" s="1"/>
  <c r="F380" i="16"/>
  <c r="F379"/>
  <c r="G17" i="11"/>
  <c r="K17" s="1"/>
  <c r="N17" s="1"/>
  <c r="G16"/>
  <c r="F323" i="16"/>
  <c r="F322"/>
  <c r="F17" i="11"/>
  <c r="J17" s="1"/>
  <c r="M17" s="1"/>
  <c r="F16"/>
  <c r="F323" i="15"/>
  <c r="F322"/>
  <c r="F379"/>
  <c r="F29" i="11" s="1"/>
  <c r="F380" i="15"/>
  <c r="F30" i="11" s="1"/>
  <c r="M26"/>
  <c r="N26"/>
  <c r="M27"/>
  <c r="N27"/>
  <c r="L26"/>
  <c r="I27"/>
  <c r="L27" s="1"/>
  <c r="I26"/>
  <c r="I14"/>
  <c r="L14" s="1"/>
  <c r="I12"/>
  <c r="L12" s="1"/>
  <c r="I10"/>
  <c r="L10" s="1"/>
  <c r="I9"/>
  <c r="L9" s="1"/>
  <c r="I8"/>
  <c r="L8" s="1"/>
  <c r="H48"/>
  <c r="H41"/>
  <c r="H38"/>
  <c r="H31"/>
  <c r="H18"/>
  <c r="H25"/>
  <c r="G54"/>
  <c r="G53"/>
  <c r="G52"/>
  <c r="G51"/>
  <c r="G50"/>
  <c r="G49"/>
  <c r="G47"/>
  <c r="G46"/>
  <c r="G45"/>
  <c r="G44"/>
  <c r="G43"/>
  <c r="G42"/>
  <c r="G40"/>
  <c r="G39"/>
  <c r="G37"/>
  <c r="G36"/>
  <c r="G35"/>
  <c r="G34"/>
  <c r="G33"/>
  <c r="G32"/>
  <c r="G27"/>
  <c r="G26"/>
  <c r="G24"/>
  <c r="G23"/>
  <c r="G22"/>
  <c r="G21"/>
  <c r="G20"/>
  <c r="G19"/>
  <c r="G14"/>
  <c r="G12"/>
  <c r="F54"/>
  <c r="F53"/>
  <c r="F52"/>
  <c r="F51"/>
  <c r="F50"/>
  <c r="F49"/>
  <c r="F47"/>
  <c r="F46"/>
  <c r="F45"/>
  <c r="F44"/>
  <c r="F43"/>
  <c r="F42"/>
  <c r="F40"/>
  <c r="F39"/>
  <c r="F37"/>
  <c r="F36"/>
  <c r="F35"/>
  <c r="F34"/>
  <c r="F33"/>
  <c r="F32"/>
  <c r="F28"/>
  <c r="J28" s="1"/>
  <c r="M28" s="1"/>
  <c r="E28"/>
  <c r="G28" s="1"/>
  <c r="K28" s="1"/>
  <c r="N28" s="1"/>
  <c r="F27"/>
  <c r="F26"/>
  <c r="F24"/>
  <c r="F23"/>
  <c r="F22"/>
  <c r="F21"/>
  <c r="F20"/>
  <c r="F19"/>
  <c r="F14"/>
  <c r="F12"/>
  <c r="F312" i="17"/>
  <c r="F310"/>
  <c r="F273"/>
  <c r="F271"/>
  <c r="F235"/>
  <c r="F204"/>
  <c r="K308"/>
  <c r="K305"/>
  <c r="F299"/>
  <c r="F293"/>
  <c r="F296" s="1"/>
  <c r="F287"/>
  <c r="F284"/>
  <c r="F314" s="1"/>
  <c r="F283"/>
  <c r="H287"/>
  <c r="H289"/>
  <c r="H296"/>
  <c r="H293"/>
  <c r="H297"/>
  <c r="H315"/>
  <c r="H312"/>
  <c r="H294"/>
  <c r="H318"/>
  <c r="H314"/>
  <c r="H279"/>
  <c r="H310"/>
  <c r="H299"/>
  <c r="H300"/>
  <c r="H278"/>
  <c r="H317"/>
  <c r="I28" i="11" l="1"/>
  <c r="L28" s="1"/>
  <c r="F344" i="14"/>
  <c r="J52" i="11" s="1"/>
  <c r="F342" i="14"/>
  <c r="J49" i="11" s="1"/>
  <c r="F356" i="14"/>
  <c r="M49" i="11" s="1"/>
  <c r="F358" i="14"/>
  <c r="M52" i="11" s="1"/>
  <c r="F353" i="13"/>
  <c r="F355" s="1"/>
  <c r="F357" s="1"/>
  <c r="F339"/>
  <c r="F341" s="1"/>
  <c r="F343" s="1"/>
  <c r="F337"/>
  <c r="F317" i="17"/>
  <c r="F289"/>
  <c r="K269"/>
  <c r="K266"/>
  <c r="F260"/>
  <c r="F254"/>
  <c r="F257" s="1"/>
  <c r="H250"/>
  <c r="H258"/>
  <c r="H260"/>
  <c r="H271"/>
  <c r="H255"/>
  <c r="H257"/>
  <c r="H254"/>
  <c r="H275"/>
  <c r="H276"/>
  <c r="H273"/>
  <c r="H261"/>
  <c r="F359" i="13" l="1"/>
  <c r="L49" i="11" s="1"/>
  <c r="F361" i="13"/>
  <c r="L52" i="11" s="1"/>
  <c r="F345" i="13"/>
  <c r="I49" i="11" s="1"/>
  <c r="F347" i="13"/>
  <c r="I52" i="11" s="1"/>
  <c r="F278" i="17"/>
  <c r="F275"/>
  <c r="F250"/>
  <c r="F248"/>
  <c r="J233"/>
  <c r="F227"/>
  <c r="F221"/>
  <c r="F224" s="1"/>
  <c r="H248"/>
  <c r="H237"/>
  <c r="H238"/>
  <c r="H225"/>
  <c r="H222"/>
  <c r="H224"/>
  <c r="H221"/>
  <c r="H228"/>
  <c r="H216"/>
  <c r="H227"/>
  <c r="H235"/>
  <c r="F237" l="1"/>
  <c r="F216"/>
  <c r="F213"/>
  <c r="F196"/>
  <c r="F190"/>
  <c r="F193" s="1"/>
  <c r="H204"/>
  <c r="H191"/>
  <c r="H196"/>
  <c r="H207"/>
  <c r="H197"/>
  <c r="H190"/>
  <c r="H193"/>
  <c r="H194"/>
  <c r="H186"/>
  <c r="H206"/>
  <c r="F183" l="1"/>
  <c r="F186" s="1"/>
  <c r="H174"/>
  <c r="H175"/>
  <c r="F206" l="1"/>
  <c r="F166"/>
  <c r="F160"/>
  <c r="F163" s="1"/>
  <c r="H160"/>
  <c r="H158"/>
  <c r="H161"/>
  <c r="H166"/>
  <c r="H164"/>
  <c r="H163"/>
  <c r="H167"/>
  <c r="F174" l="1"/>
  <c r="F158"/>
  <c r="F156"/>
  <c r="F144"/>
  <c r="F313" i="14"/>
  <c r="F311"/>
  <c r="F274"/>
  <c r="F272"/>
  <c r="F236"/>
  <c r="F205"/>
  <c r="H311"/>
  <c r="H315"/>
  <c r="H318"/>
  <c r="H313"/>
  <c r="H316"/>
  <c r="H319"/>
  <c r="K309" l="1"/>
  <c r="K306"/>
  <c r="F300"/>
  <c r="F294"/>
  <c r="F297" s="1"/>
  <c r="F288"/>
  <c r="F285"/>
  <c r="F315" s="1"/>
  <c r="F284"/>
  <c r="H298"/>
  <c r="H279"/>
  <c r="H295"/>
  <c r="H294"/>
  <c r="H301"/>
  <c r="H300"/>
  <c r="H297"/>
  <c r="H280"/>
  <c r="H290"/>
  <c r="H288"/>
  <c r="F290" l="1"/>
  <c r="F318"/>
  <c r="K270"/>
  <c r="K267"/>
  <c r="F261"/>
  <c r="F255"/>
  <c r="F258" s="1"/>
  <c r="H272"/>
  <c r="H256"/>
  <c r="H255"/>
  <c r="H276"/>
  <c r="H258"/>
  <c r="H261"/>
  <c r="H251"/>
  <c r="H259"/>
  <c r="H274"/>
  <c r="H262"/>
  <c r="H277"/>
  <c r="F279" l="1"/>
  <c r="F276"/>
  <c r="F251"/>
  <c r="F249"/>
  <c r="J234"/>
  <c r="F228"/>
  <c r="F222"/>
  <c r="F225" s="1"/>
  <c r="H249"/>
  <c r="H223"/>
  <c r="H229"/>
  <c r="H228"/>
  <c r="H217"/>
  <c r="H226"/>
  <c r="H222"/>
  <c r="H225"/>
  <c r="H239"/>
  <c r="H236"/>
  <c r="H238"/>
  <c r="F238" l="1"/>
  <c r="F217"/>
  <c r="F214"/>
  <c r="F197"/>
  <c r="F191"/>
  <c r="F194" s="1"/>
  <c r="H187"/>
  <c r="H207"/>
  <c r="H208"/>
  <c r="H195"/>
  <c r="H191"/>
  <c r="H205"/>
  <c r="H197"/>
  <c r="H192"/>
  <c r="H198"/>
  <c r="H194"/>
  <c r="F207" l="1"/>
  <c r="F187"/>
  <c r="F184"/>
  <c r="F167"/>
  <c r="F161"/>
  <c r="F164" s="1"/>
  <c r="H168"/>
  <c r="H176"/>
  <c r="H159"/>
  <c r="H167"/>
  <c r="H175"/>
  <c r="H161"/>
  <c r="H164"/>
  <c r="H162"/>
  <c r="H165"/>
  <c r="F175" l="1"/>
  <c r="F157"/>
  <c r="F145"/>
  <c r="F303" i="13"/>
  <c r="K312"/>
  <c r="K309"/>
  <c r="F297"/>
  <c r="F300" s="1"/>
  <c r="F288"/>
  <c r="F287"/>
  <c r="K273"/>
  <c r="K270"/>
  <c r="F264"/>
  <c r="F258"/>
  <c r="F261" s="1"/>
  <c r="J237"/>
  <c r="F231"/>
  <c r="F225"/>
  <c r="F228" s="1"/>
  <c r="F217"/>
  <c r="F200"/>
  <c r="F194"/>
  <c r="F197" s="1"/>
  <c r="F187"/>
  <c r="F170"/>
  <c r="F164"/>
  <c r="F167" s="1"/>
  <c r="F160"/>
  <c r="H164"/>
  <c r="H319"/>
  <c r="H322"/>
  <c r="H321"/>
  <c r="H318"/>
  <c r="H316"/>
  <c r="F159" i="14" l="1"/>
  <c r="F316" i="13"/>
  <c r="F314"/>
  <c r="H303"/>
  <c r="H304"/>
  <c r="H298"/>
  <c r="H297"/>
  <c r="H314"/>
  <c r="H300"/>
  <c r="H301"/>
  <c r="H293"/>
  <c r="F321" l="1"/>
  <c r="F318"/>
  <c r="F293"/>
  <c r="F291"/>
  <c r="F277"/>
  <c r="F275"/>
  <c r="H275"/>
  <c r="H261"/>
  <c r="H282"/>
  <c r="H264"/>
  <c r="H258"/>
  <c r="H283"/>
  <c r="H277"/>
  <c r="H265"/>
  <c r="H259"/>
  <c r="H280"/>
  <c r="H254"/>
  <c r="H279"/>
  <c r="H291"/>
  <c r="H262"/>
  <c r="F282" l="1"/>
  <c r="F279"/>
  <c r="F254"/>
  <c r="F252"/>
  <c r="F239"/>
  <c r="F241"/>
  <c r="F220"/>
  <c r="F208"/>
  <c r="F210" s="1"/>
  <c r="H190"/>
  <c r="H252"/>
  <c r="H239"/>
  <c r="H229"/>
  <c r="H231"/>
  <c r="H201"/>
  <c r="H200"/>
  <c r="H241"/>
  <c r="H195"/>
  <c r="H194"/>
  <c r="H226"/>
  <c r="H225"/>
  <c r="H197"/>
  <c r="H242"/>
  <c r="H232"/>
  <c r="H198"/>
  <c r="H210"/>
  <c r="H228"/>
  <c r="H220"/>
  <c r="H208"/>
  <c r="H211"/>
  <c r="F190" l="1"/>
  <c r="H170"/>
  <c r="H168"/>
  <c r="H179"/>
  <c r="H178"/>
  <c r="H165"/>
  <c r="H167"/>
  <c r="H171"/>
  <c r="H162"/>
  <c r="F162" l="1"/>
  <c r="F148"/>
  <c r="E15" i="11"/>
  <c r="H13"/>
  <c r="H11"/>
  <c r="H8"/>
  <c r="F60" i="14"/>
  <c r="F58"/>
  <c r="F138" i="17"/>
  <c r="F136"/>
  <c r="F124"/>
  <c r="F122"/>
  <c r="F99"/>
  <c r="F97"/>
  <c r="F85"/>
  <c r="F83"/>
  <c r="F60"/>
  <c r="F58"/>
  <c r="F46"/>
  <c r="F44"/>
  <c r="F114"/>
  <c r="F110"/>
  <c r="F106"/>
  <c r="F105"/>
  <c r="F130" s="1"/>
  <c r="H135"/>
  <c r="H121"/>
  <c r="H133"/>
  <c r="H96"/>
  <c r="H119"/>
  <c r="H117"/>
  <c r="J15" i="11" l="1"/>
  <c r="M15" s="1"/>
  <c r="F15"/>
  <c r="G15"/>
  <c r="I15"/>
  <c r="L15" s="1"/>
  <c r="K15"/>
  <c r="N15" s="1"/>
  <c r="F131" i="17"/>
  <c r="F133" s="1"/>
  <c r="F135" s="1"/>
  <c r="F178" i="13"/>
  <c r="F115" i="17"/>
  <c r="F117" s="1"/>
  <c r="F119" s="1"/>
  <c r="F121" s="1"/>
  <c r="H94"/>
  <c r="F182" i="13" l="1"/>
  <c r="F181"/>
  <c r="F123" i="17"/>
  <c r="K42" i="11" s="1"/>
  <c r="F125" i="17"/>
  <c r="K45" i="11" s="1"/>
  <c r="F137" i="17"/>
  <c r="N42" i="11" s="1"/>
  <c r="F139" i="17"/>
  <c r="N45" i="11" s="1"/>
  <c r="F75" i="17"/>
  <c r="F71"/>
  <c r="F67"/>
  <c r="F92" s="1"/>
  <c r="F66"/>
  <c r="F91" s="1"/>
  <c r="H78"/>
  <c r="H80"/>
  <c r="H57"/>
  <c r="H82"/>
  <c r="F76" l="1"/>
  <c r="F78" s="1"/>
  <c r="F80" s="1"/>
  <c r="F82" s="1"/>
  <c r="F94"/>
  <c r="F96" s="1"/>
  <c r="H55"/>
  <c r="F84" l="1"/>
  <c r="K32" i="11" s="1"/>
  <c r="F86" i="17"/>
  <c r="K35" i="11" s="1"/>
  <c r="F98" i="17"/>
  <c r="N32" i="11" s="1"/>
  <c r="F100" i="17"/>
  <c r="N35" i="11" s="1"/>
  <c r="F36" i="17"/>
  <c r="F32"/>
  <c r="F27"/>
  <c r="F52" s="1"/>
  <c r="F53" s="1"/>
  <c r="F138" i="14"/>
  <c r="F136"/>
  <c r="F124"/>
  <c r="F122"/>
  <c r="F99"/>
  <c r="F97"/>
  <c r="F85"/>
  <c r="F83"/>
  <c r="F46"/>
  <c r="F44"/>
  <c r="F139" i="13"/>
  <c r="F137"/>
  <c r="F125"/>
  <c r="F123"/>
  <c r="F100"/>
  <c r="F98"/>
  <c r="F86"/>
  <c r="F84"/>
  <c r="F61"/>
  <c r="F59"/>
  <c r="F47"/>
  <c r="F45"/>
  <c r="F415" i="16"/>
  <c r="F408"/>
  <c r="F359"/>
  <c r="F352"/>
  <c r="F304"/>
  <c r="F297"/>
  <c r="F257"/>
  <c r="F255"/>
  <c r="F216"/>
  <c r="F214"/>
  <c r="F166"/>
  <c r="F164"/>
  <c r="F117"/>
  <c r="F77"/>
  <c r="H419"/>
  <c r="H43" i="17"/>
  <c r="H39"/>
  <c r="H403" i="16"/>
  <c r="H405"/>
  <c r="H420"/>
  <c r="H410"/>
  <c r="H415"/>
  <c r="H41" i="17"/>
  <c r="H408" i="16"/>
  <c r="H417"/>
  <c r="H402"/>
  <c r="H412"/>
  <c r="H413"/>
  <c r="H398"/>
  <c r="F37" i="17" l="1"/>
  <c r="F39" s="1"/>
  <c r="F41" s="1"/>
  <c r="F43" s="1"/>
  <c r="F55"/>
  <c r="F57" s="1"/>
  <c r="F398" i="16"/>
  <c r="H394"/>
  <c r="H393"/>
  <c r="F45" i="17" l="1"/>
  <c r="K19" i="11" s="1"/>
  <c r="F47" i="17"/>
  <c r="K22" i="11" s="1"/>
  <c r="F61" i="17"/>
  <c r="N22" i="11" s="1"/>
  <c r="F59" i="17"/>
  <c r="N19" i="11" s="1"/>
  <c r="F393" i="16"/>
  <c r="F387"/>
  <c r="F390" s="1"/>
  <c r="F402" s="1"/>
  <c r="F405" s="1"/>
  <c r="H391"/>
  <c r="H387"/>
  <c r="H380"/>
  <c r="H388"/>
  <c r="H390"/>
  <c r="F417" l="1"/>
  <c r="F410"/>
  <c r="H379"/>
  <c r="F413" l="1"/>
  <c r="F412"/>
  <c r="F420"/>
  <c r="F419"/>
  <c r="F371"/>
  <c r="F342"/>
  <c r="F337"/>
  <c r="F370" s="1"/>
  <c r="F331"/>
  <c r="F334" s="1"/>
  <c r="H346"/>
  <c r="H352"/>
  <c r="H375"/>
  <c r="H338"/>
  <c r="H335"/>
  <c r="H323"/>
  <c r="H356"/>
  <c r="H359"/>
  <c r="H363"/>
  <c r="H349"/>
  <c r="H354"/>
  <c r="H364"/>
  <c r="H337"/>
  <c r="H361"/>
  <c r="H357"/>
  <c r="H332"/>
  <c r="H342"/>
  <c r="H331"/>
  <c r="H334"/>
  <c r="H347"/>
  <c r="F369" l="1"/>
  <c r="F375" s="1"/>
  <c r="F346"/>
  <c r="F349" s="1"/>
  <c r="H322"/>
  <c r="F361" l="1"/>
  <c r="F354"/>
  <c r="H319"/>
  <c r="F364" l="1"/>
  <c r="F363"/>
  <c r="F357"/>
  <c r="F356"/>
  <c r="F315"/>
  <c r="F287"/>
  <c r="F282"/>
  <c r="F314" s="1"/>
  <c r="F276"/>
  <c r="F279" s="1"/>
  <c r="H282"/>
  <c r="H276"/>
  <c r="H292"/>
  <c r="H306"/>
  <c r="H266"/>
  <c r="H304"/>
  <c r="H309"/>
  <c r="H308"/>
  <c r="H283"/>
  <c r="H301"/>
  <c r="H291"/>
  <c r="H299"/>
  <c r="H302"/>
  <c r="H294"/>
  <c r="H297"/>
  <c r="H280"/>
  <c r="H279"/>
  <c r="H287"/>
  <c r="H277"/>
  <c r="F313" l="1"/>
  <c r="F319" s="1"/>
  <c r="F291"/>
  <c r="F294" s="1"/>
  <c r="H265"/>
  <c r="H264"/>
  <c r="F306" l="1"/>
  <c r="F299"/>
  <c r="H261"/>
  <c r="F309" l="1"/>
  <c r="F308"/>
  <c r="F302"/>
  <c r="F301"/>
  <c r="F249"/>
  <c r="F248"/>
  <c r="F243"/>
  <c r="F237"/>
  <c r="H237"/>
  <c r="H240"/>
  <c r="H244"/>
  <c r="H243"/>
  <c r="H257"/>
  <c r="H260"/>
  <c r="H259"/>
  <c r="H241"/>
  <c r="H238"/>
  <c r="H251"/>
  <c r="H255"/>
  <c r="H235"/>
  <c r="F251" l="1"/>
  <c r="F240"/>
  <c r="F235"/>
  <c r="H222"/>
  <c r="H221"/>
  <c r="F264" l="1"/>
  <c r="F266" s="1"/>
  <c r="F259"/>
  <c r="F261" s="1"/>
  <c r="F211"/>
  <c r="F208"/>
  <c r="F200"/>
  <c r="F192"/>
  <c r="F186"/>
  <c r="F189" s="1"/>
  <c r="H218"/>
  <c r="H187"/>
  <c r="H214"/>
  <c r="H189"/>
  <c r="H182"/>
  <c r="H216"/>
  <c r="H193"/>
  <c r="H211"/>
  <c r="H208"/>
  <c r="H209"/>
  <c r="H192"/>
  <c r="H186"/>
  <c r="H190"/>
  <c r="H212"/>
  <c r="H219"/>
  <c r="F221" l="1"/>
  <c r="F218"/>
  <c r="F182"/>
  <c r="F180"/>
  <c r="F161"/>
  <c r="F158"/>
  <c r="F150"/>
  <c r="F142"/>
  <c r="F136"/>
  <c r="F139" s="1"/>
  <c r="H136"/>
  <c r="H172"/>
  <c r="H158"/>
  <c r="H168"/>
  <c r="H142"/>
  <c r="H159"/>
  <c r="H180"/>
  <c r="H164"/>
  <c r="H139"/>
  <c r="H132"/>
  <c r="H143"/>
  <c r="H162"/>
  <c r="H161"/>
  <c r="H140"/>
  <c r="H150"/>
  <c r="H166"/>
  <c r="H169"/>
  <c r="H171"/>
  <c r="H137"/>
  <c r="F171" l="1"/>
  <c r="F168"/>
  <c r="F132"/>
  <c r="F130"/>
  <c r="F114"/>
  <c r="F108"/>
  <c r="F100"/>
  <c r="F94"/>
  <c r="F97" s="1"/>
  <c r="F119" s="1"/>
  <c r="F89"/>
  <c r="F72"/>
  <c r="F68"/>
  <c r="F67"/>
  <c r="F62"/>
  <c r="F56"/>
  <c r="H60"/>
  <c r="H70"/>
  <c r="H79"/>
  <c r="H100"/>
  <c r="H52"/>
  <c r="H71"/>
  <c r="H94"/>
  <c r="H62"/>
  <c r="H63"/>
  <c r="H119"/>
  <c r="H75"/>
  <c r="H101"/>
  <c r="H80"/>
  <c r="H95"/>
  <c r="H117"/>
  <c r="H98"/>
  <c r="H130"/>
  <c r="H59"/>
  <c r="H120"/>
  <c r="H115"/>
  <c r="H97"/>
  <c r="H77"/>
  <c r="H89"/>
  <c r="H57"/>
  <c r="H56"/>
  <c r="H74"/>
  <c r="H114"/>
  <c r="F70" l="1"/>
  <c r="F74" s="1"/>
  <c r="F59"/>
  <c r="F52"/>
  <c r="H41"/>
  <c r="H40"/>
  <c r="F79" l="1"/>
  <c r="F35"/>
  <c r="F32"/>
  <c r="F31"/>
  <c r="F26"/>
  <c r="F20"/>
  <c r="H23"/>
  <c r="H18"/>
  <c r="H20"/>
  <c r="H21"/>
  <c r="H26"/>
  <c r="H34"/>
  <c r="H24"/>
  <c r="H37"/>
  <c r="H27"/>
  <c r="H38"/>
  <c r="F34" l="1"/>
  <c r="F37" s="1"/>
  <c r="F23"/>
  <c r="F18"/>
  <c r="F4"/>
  <c r="F415" i="15"/>
  <c r="F408"/>
  <c r="F359"/>
  <c r="F352"/>
  <c r="F304"/>
  <c r="F297"/>
  <c r="F257"/>
  <c r="F255"/>
  <c r="F216"/>
  <c r="F214"/>
  <c r="F166"/>
  <c r="F164"/>
  <c r="F117"/>
  <c r="F77"/>
  <c r="H410"/>
  <c r="H412"/>
  <c r="H419"/>
  <c r="H408"/>
  <c r="H405"/>
  <c r="H398"/>
  <c r="H420"/>
  <c r="H413"/>
  <c r="H403"/>
  <c r="H417"/>
  <c r="H402"/>
  <c r="H415"/>
  <c r="F40" i="16" l="1"/>
  <c r="F398" i="15"/>
  <c r="H393"/>
  <c r="H394"/>
  <c r="F44" i="16" l="1"/>
  <c r="F43"/>
  <c r="F393" i="15"/>
  <c r="F387"/>
  <c r="F390" s="1"/>
  <c r="F402" s="1"/>
  <c r="F405" s="1"/>
  <c r="H380"/>
  <c r="H387"/>
  <c r="H390"/>
  <c r="H391"/>
  <c r="H388"/>
  <c r="F417" l="1"/>
  <c r="F410"/>
  <c r="H379"/>
  <c r="F413" l="1"/>
  <c r="F412"/>
  <c r="F420"/>
  <c r="F419"/>
  <c r="F371"/>
  <c r="F342"/>
  <c r="F337"/>
  <c r="F370" s="1"/>
  <c r="F331"/>
  <c r="F334" s="1"/>
  <c r="H331"/>
  <c r="H352"/>
  <c r="H349"/>
  <c r="H375"/>
  <c r="H338"/>
  <c r="H363"/>
  <c r="H347"/>
  <c r="H332"/>
  <c r="H323"/>
  <c r="H342"/>
  <c r="H335"/>
  <c r="H354"/>
  <c r="H359"/>
  <c r="H356"/>
  <c r="H364"/>
  <c r="H334"/>
  <c r="H337"/>
  <c r="H346"/>
  <c r="H361"/>
  <c r="H357"/>
  <c r="F369" l="1"/>
  <c r="F375" s="1"/>
  <c r="F346"/>
  <c r="F349" s="1"/>
  <c r="H322"/>
  <c r="F361" l="1"/>
  <c r="F354"/>
  <c r="H319"/>
  <c r="F364" l="1"/>
  <c r="F363"/>
  <c r="F357"/>
  <c r="F356"/>
  <c r="F315"/>
  <c r="F287"/>
  <c r="F282"/>
  <c r="F314" s="1"/>
  <c r="F276"/>
  <c r="F279" s="1"/>
  <c r="H297"/>
  <c r="H276"/>
  <c r="H266"/>
  <c r="H282"/>
  <c r="H294"/>
  <c r="H291"/>
  <c r="H304"/>
  <c r="H279"/>
  <c r="H299"/>
  <c r="H292"/>
  <c r="H308"/>
  <c r="H283"/>
  <c r="H301"/>
  <c r="H306"/>
  <c r="H302"/>
  <c r="H277"/>
  <c r="H309"/>
  <c r="H287"/>
  <c r="H280"/>
  <c r="F313" l="1"/>
  <c r="F319" s="1"/>
  <c r="F291"/>
  <c r="F294" s="1"/>
  <c r="H265"/>
  <c r="H264"/>
  <c r="F306" l="1"/>
  <c r="F299"/>
  <c r="H261"/>
  <c r="F309" l="1"/>
  <c r="F308"/>
  <c r="F302"/>
  <c r="F301"/>
  <c r="F249"/>
  <c r="F248"/>
  <c r="F243"/>
  <c r="F237"/>
  <c r="H241"/>
  <c r="H235"/>
  <c r="H251"/>
  <c r="H255"/>
  <c r="H237"/>
  <c r="H259"/>
  <c r="H243"/>
  <c r="H257"/>
  <c r="H244"/>
  <c r="H238"/>
  <c r="H260"/>
  <c r="H240"/>
  <c r="F251" l="1"/>
  <c r="F240"/>
  <c r="F235"/>
  <c r="H222"/>
  <c r="H221"/>
  <c r="F264" l="1"/>
  <c r="F266" s="1"/>
  <c r="F259"/>
  <c r="F261" s="1"/>
  <c r="F211"/>
  <c r="F208"/>
  <c r="F200"/>
  <c r="F192"/>
  <c r="F186"/>
  <c r="F189" s="1"/>
  <c r="H218"/>
  <c r="H211"/>
  <c r="H192"/>
  <c r="H214"/>
  <c r="H193"/>
  <c r="H208"/>
  <c r="H219"/>
  <c r="H209"/>
  <c r="H186"/>
  <c r="H216"/>
  <c r="H182"/>
  <c r="H187"/>
  <c r="H212"/>
  <c r="H190"/>
  <c r="H189"/>
  <c r="F221" l="1"/>
  <c r="F218"/>
  <c r="F182"/>
  <c r="F180"/>
  <c r="F161"/>
  <c r="F158"/>
  <c r="F150"/>
  <c r="F142"/>
  <c r="F136"/>
  <c r="F139" s="1"/>
  <c r="H140"/>
  <c r="H169"/>
  <c r="H150"/>
  <c r="H137"/>
  <c r="H168"/>
  <c r="H172"/>
  <c r="H136"/>
  <c r="H158"/>
  <c r="H180"/>
  <c r="H139"/>
  <c r="H161"/>
  <c r="H162"/>
  <c r="H143"/>
  <c r="H166"/>
  <c r="H142"/>
  <c r="H171"/>
  <c r="H159"/>
  <c r="H132"/>
  <c r="H164"/>
  <c r="F171" l="1"/>
  <c r="F168"/>
  <c r="F132"/>
  <c r="F130"/>
  <c r="F114"/>
  <c r="F108"/>
  <c r="F100"/>
  <c r="F94"/>
  <c r="F97" s="1"/>
  <c r="F119" s="1"/>
  <c r="F89"/>
  <c r="F72"/>
  <c r="F68"/>
  <c r="F67"/>
  <c r="F62"/>
  <c r="F56"/>
  <c r="H130"/>
  <c r="H75"/>
  <c r="H101"/>
  <c r="H59"/>
  <c r="H98"/>
  <c r="H89"/>
  <c r="H80"/>
  <c r="H97"/>
  <c r="H77"/>
  <c r="H62"/>
  <c r="H60"/>
  <c r="H70"/>
  <c r="H79"/>
  <c r="H95"/>
  <c r="H56"/>
  <c r="H94"/>
  <c r="H115"/>
  <c r="H117"/>
  <c r="H120"/>
  <c r="H52"/>
  <c r="H63"/>
  <c r="H71"/>
  <c r="H100"/>
  <c r="H114"/>
  <c r="H119"/>
  <c r="H74"/>
  <c r="H57"/>
  <c r="F70" l="1"/>
  <c r="F74" s="1"/>
  <c r="F59"/>
  <c r="F52"/>
  <c r="H41"/>
  <c r="H40"/>
  <c r="F79" l="1"/>
  <c r="F35"/>
  <c r="F32"/>
  <c r="F31"/>
  <c r="F26"/>
  <c r="F20"/>
  <c r="H21"/>
  <c r="H23"/>
  <c r="H20"/>
  <c r="H37"/>
  <c r="H18"/>
  <c r="H27"/>
  <c r="H26"/>
  <c r="H38"/>
  <c r="H24"/>
  <c r="H34"/>
  <c r="F34" l="1"/>
  <c r="F37" s="1"/>
  <c r="F23"/>
  <c r="F18"/>
  <c r="F4"/>
  <c r="F415" i="5"/>
  <c r="F408"/>
  <c r="F359"/>
  <c r="F352"/>
  <c r="F297"/>
  <c r="F304"/>
  <c r="F334" i="8"/>
  <c r="F327"/>
  <c r="H133" i="14"/>
  <c r="H352" i="5"/>
  <c r="H135" i="14"/>
  <c r="F40" i="15" l="1"/>
  <c r="H117" i="14"/>
  <c r="H119"/>
  <c r="H121"/>
  <c r="F44" i="15" l="1"/>
  <c r="F43"/>
  <c r="F114" i="14"/>
  <c r="F106"/>
  <c r="F105"/>
  <c r="F130" s="1"/>
  <c r="H96"/>
  <c r="F131" l="1"/>
  <c r="F115"/>
  <c r="F117" s="1"/>
  <c r="F75"/>
  <c r="F67"/>
  <c r="F66"/>
  <c r="F91" s="1"/>
  <c r="F36"/>
  <c r="F27"/>
  <c r="F52" s="1"/>
  <c r="F53" s="1"/>
  <c r="F107" i="13"/>
  <c r="F106"/>
  <c r="H134"/>
  <c r="H43" i="14"/>
  <c r="H55"/>
  <c r="H39"/>
  <c r="H78"/>
  <c r="H57"/>
  <c r="H136" i="13"/>
  <c r="H41" i="14"/>
  <c r="H80"/>
  <c r="H82"/>
  <c r="H94"/>
  <c r="F76" l="1"/>
  <c r="F78" s="1"/>
  <c r="F92"/>
  <c r="F37"/>
  <c r="F39" s="1"/>
  <c r="H118" i="13"/>
  <c r="H120"/>
  <c r="H122"/>
  <c r="F115" l="1"/>
  <c r="F131"/>
  <c r="F132" s="1"/>
  <c r="F68"/>
  <c r="F67"/>
  <c r="H97"/>
  <c r="H95"/>
  <c r="F116" l="1"/>
  <c r="F118" s="1"/>
  <c r="H79"/>
  <c r="H81"/>
  <c r="H83"/>
  <c r="F76" l="1"/>
  <c r="F92"/>
  <c r="F93" s="1"/>
  <c r="H56"/>
  <c r="H58"/>
  <c r="F77" l="1"/>
  <c r="F79" s="1"/>
  <c r="H42"/>
  <c r="H39"/>
  <c r="H44"/>
  <c r="F36" l="1"/>
  <c r="F27"/>
  <c r="F53" s="1"/>
  <c r="F54" s="1"/>
  <c r="F398" i="5"/>
  <c r="F393"/>
  <c r="F387"/>
  <c r="F390" s="1"/>
  <c r="F315"/>
  <c r="F371"/>
  <c r="F342"/>
  <c r="F337"/>
  <c r="F370" s="1"/>
  <c r="F331"/>
  <c r="F334" s="1"/>
  <c r="H394"/>
  <c r="H342"/>
  <c r="H291"/>
  <c r="H398"/>
  <c r="H338"/>
  <c r="H390"/>
  <c r="H387"/>
  <c r="H403"/>
  <c r="H391"/>
  <c r="H346"/>
  <c r="H393"/>
  <c r="H402"/>
  <c r="H335"/>
  <c r="H332"/>
  <c r="H331"/>
  <c r="H388"/>
  <c r="H337"/>
  <c r="H319"/>
  <c r="H347"/>
  <c r="H405"/>
  <c r="H375"/>
  <c r="H287"/>
  <c r="H349"/>
  <c r="H292"/>
  <c r="H294"/>
  <c r="H334"/>
  <c r="F110" i="14" l="1"/>
  <c r="F111" i="13"/>
  <c r="F71" i="14"/>
  <c r="F72" i="13"/>
  <c r="F37"/>
  <c r="F39" s="1"/>
  <c r="F402" i="5"/>
  <c r="F405" s="1"/>
  <c r="F346"/>
  <c r="F349" s="1"/>
  <c r="F369"/>
  <c r="F375" s="1"/>
  <c r="F287"/>
  <c r="H282"/>
  <c r="H283"/>
  <c r="F95" i="13" l="1"/>
  <c r="F97" s="1"/>
  <c r="F81"/>
  <c r="F83" s="1"/>
  <c r="F133" i="14"/>
  <c r="F135" s="1"/>
  <c r="F119"/>
  <c r="F121" s="1"/>
  <c r="F134" i="13"/>
  <c r="F136" s="1"/>
  <c r="F120"/>
  <c r="F122" s="1"/>
  <c r="F80" i="14"/>
  <c r="F82" s="1"/>
  <c r="F94"/>
  <c r="F96" s="1"/>
  <c r="F379" i="5"/>
  <c r="F380"/>
  <c r="F282"/>
  <c r="F314" s="1"/>
  <c r="F276"/>
  <c r="F279" s="1"/>
  <c r="H279"/>
  <c r="H277"/>
  <c r="H280"/>
  <c r="H276"/>
  <c r="F138" i="13" l="1"/>
  <c r="L42" i="11" s="1"/>
  <c r="F140" i="13"/>
  <c r="L45" i="11" s="1"/>
  <c r="F101" i="13"/>
  <c r="L35" i="11" s="1"/>
  <c r="F99" i="13"/>
  <c r="L32" i="11" s="1"/>
  <c r="F126" i="13"/>
  <c r="I45" i="11" s="1"/>
  <c r="F124" i="13"/>
  <c r="I42" i="11" s="1"/>
  <c r="F85" i="13"/>
  <c r="I32" i="11" s="1"/>
  <c r="F87" i="13"/>
  <c r="I35" i="11" s="1"/>
  <c r="F137" i="14"/>
  <c r="M42" i="11" s="1"/>
  <c r="F139" i="14"/>
  <c r="M45" i="11" s="1"/>
  <c r="F32" i="14"/>
  <c r="F32" i="13"/>
  <c r="F86" i="14"/>
  <c r="J35" i="11" s="1"/>
  <c r="F84" i="14"/>
  <c r="J32" i="11" s="1"/>
  <c r="F100" i="14"/>
  <c r="M35" i="11" s="1"/>
  <c r="F98" i="14"/>
  <c r="M32" i="11" s="1"/>
  <c r="F125" i="14"/>
  <c r="J45" i="11" s="1"/>
  <c r="F123" i="14"/>
  <c r="J42" i="11" s="1"/>
  <c r="F291" i="5"/>
  <c r="F294" s="1"/>
  <c r="F313"/>
  <c r="F319" s="1"/>
  <c r="F55" i="14" l="1"/>
  <c r="F57" s="1"/>
  <c r="F41"/>
  <c r="F43" s="1"/>
  <c r="F56" i="13"/>
  <c r="F58" s="1"/>
  <c r="F42"/>
  <c r="F44" s="1"/>
  <c r="F322" i="5"/>
  <c r="F323"/>
  <c r="F61" i="14" l="1"/>
  <c r="M22" i="11" s="1"/>
  <c r="F59" i="14"/>
  <c r="M19" i="11" s="1"/>
  <c r="F47" i="14"/>
  <c r="J22" i="11" s="1"/>
  <c r="F45" i="14"/>
  <c r="J19" i="11" s="1"/>
  <c r="F62" i="13"/>
  <c r="L22" i="11" s="1"/>
  <c r="F60" i="13"/>
  <c r="L19" i="11" s="1"/>
  <c r="F48" i="13"/>
  <c r="I22" i="11" s="1"/>
  <c r="F46" i="13"/>
  <c r="I19" i="11" s="1"/>
  <c r="F132" i="12"/>
  <c r="F134" s="1"/>
  <c r="F118"/>
  <c r="F120" s="1"/>
  <c r="F122" s="1"/>
  <c r="F104"/>
  <c r="F101"/>
  <c r="F102" s="1"/>
  <c r="F90"/>
  <c r="F92" s="1"/>
  <c r="H98"/>
  <c r="H101"/>
  <c r="H100"/>
  <c r="H122"/>
  <c r="H120"/>
  <c r="H94"/>
  <c r="H105"/>
  <c r="H102"/>
  <c r="H134"/>
  <c r="H99"/>
  <c r="H106"/>
  <c r="H103"/>
  <c r="H135"/>
  <c r="H92"/>
  <c r="F94" l="1"/>
  <c r="F105"/>
  <c r="F106" s="1"/>
  <c r="F62" l="1"/>
  <c r="E77"/>
  <c r="H62"/>
  <c r="H53"/>
  <c r="H51"/>
  <c r="H76"/>
  <c r="F51" l="1"/>
  <c r="H33"/>
  <c r="H22"/>
  <c r="H29"/>
  <c r="H43"/>
  <c r="H31"/>
  <c r="F53" l="1"/>
  <c r="F29"/>
  <c r="F10"/>
  <c r="H20"/>
  <c r="F64" l="1"/>
  <c r="F76"/>
  <c r="F43"/>
  <c r="F18"/>
  <c r="F20" s="1"/>
  <c r="F22" s="1"/>
  <c r="H18"/>
  <c r="F31" l="1"/>
  <c r="F33" s="1"/>
  <c r="F4" l="1"/>
  <c r="E15" i="7" l="1"/>
  <c r="D28" i="11" s="1"/>
  <c r="E10" i="7"/>
  <c r="C8" i="11"/>
  <c r="D15"/>
  <c r="F320" i="9" l="1"/>
  <c r="F319"/>
  <c r="F308"/>
  <c r="F301"/>
  <c r="F293"/>
  <c r="F292"/>
  <c r="F281"/>
  <c r="F274"/>
  <c r="F255"/>
  <c r="F253"/>
  <c r="F214"/>
  <c r="F212"/>
  <c r="F164"/>
  <c r="F162"/>
  <c r="F115"/>
  <c r="F75"/>
  <c r="F334"/>
  <c r="F327"/>
  <c r="F324"/>
  <c r="H334"/>
  <c r="H320"/>
  <c r="H327"/>
  <c r="H338"/>
  <c r="H332"/>
  <c r="H331"/>
  <c r="H336"/>
  <c r="H329"/>
  <c r="H339"/>
  <c r="F336" l="1"/>
  <c r="F329"/>
  <c r="H319"/>
  <c r="F339" l="1"/>
  <c r="F338"/>
  <c r="F332"/>
  <c r="F331"/>
  <c r="F298"/>
  <c r="H312"/>
  <c r="H305"/>
  <c r="H313"/>
  <c r="H308"/>
  <c r="H293"/>
  <c r="H310"/>
  <c r="H306"/>
  <c r="H301"/>
  <c r="H303"/>
  <c r="F310" l="1"/>
  <c r="F303"/>
  <c r="H292"/>
  <c r="F306" l="1"/>
  <c r="F305"/>
  <c r="F313"/>
  <c r="F312"/>
  <c r="F271"/>
  <c r="H285"/>
  <c r="H278"/>
  <c r="H274"/>
  <c r="H279"/>
  <c r="H286"/>
  <c r="H264"/>
  <c r="H281"/>
  <c r="H276"/>
  <c r="H283"/>
  <c r="F283" l="1"/>
  <c r="F276"/>
  <c r="H262"/>
  <c r="H263"/>
  <c r="F279" l="1"/>
  <c r="F278"/>
  <c r="F286"/>
  <c r="F285"/>
  <c r="F247"/>
  <c r="F246"/>
  <c r="F241"/>
  <c r="F235"/>
  <c r="H239"/>
  <c r="H253"/>
  <c r="H259"/>
  <c r="H238"/>
  <c r="H242"/>
  <c r="H236"/>
  <c r="H235"/>
  <c r="H257"/>
  <c r="H241"/>
  <c r="H258"/>
  <c r="H249"/>
  <c r="H233"/>
  <c r="H255"/>
  <c r="F249" l="1"/>
  <c r="F238"/>
  <c r="F233"/>
  <c r="H220"/>
  <c r="H219"/>
  <c r="F262" l="1"/>
  <c r="F264" s="1"/>
  <c r="F257"/>
  <c r="F259" s="1"/>
  <c r="F209"/>
  <c r="F206"/>
  <c r="F198"/>
  <c r="F190"/>
  <c r="F184"/>
  <c r="F187" s="1"/>
  <c r="H216"/>
  <c r="H191"/>
  <c r="H217"/>
  <c r="H206"/>
  <c r="H184"/>
  <c r="H188"/>
  <c r="H210"/>
  <c r="H209"/>
  <c r="H214"/>
  <c r="H190"/>
  <c r="H180"/>
  <c r="H212"/>
  <c r="H187"/>
  <c r="H207"/>
  <c r="H185"/>
  <c r="H198"/>
  <c r="F219" l="1"/>
  <c r="F216"/>
  <c r="F180"/>
  <c r="F178"/>
  <c r="F159"/>
  <c r="F156"/>
  <c r="F148"/>
  <c r="F140"/>
  <c r="F134"/>
  <c r="F137" s="1"/>
  <c r="H162"/>
  <c r="H141"/>
  <c r="H138"/>
  <c r="H178"/>
  <c r="H160"/>
  <c r="H170"/>
  <c r="H130"/>
  <c r="H137"/>
  <c r="H140"/>
  <c r="H134"/>
  <c r="H169"/>
  <c r="H167"/>
  <c r="H166"/>
  <c r="H157"/>
  <c r="H135"/>
  <c r="H156"/>
  <c r="H164"/>
  <c r="H148"/>
  <c r="H159"/>
  <c r="F169" l="1"/>
  <c r="F166"/>
  <c r="F130"/>
  <c r="F128"/>
  <c r="F112"/>
  <c r="F106"/>
  <c r="F98"/>
  <c r="F92"/>
  <c r="F95" s="1"/>
  <c r="F117" s="1"/>
  <c r="F87"/>
  <c r="F70"/>
  <c r="F66"/>
  <c r="F65"/>
  <c r="F60"/>
  <c r="F54"/>
  <c r="H87"/>
  <c r="H128"/>
  <c r="H93"/>
  <c r="H61"/>
  <c r="H115"/>
  <c r="H55"/>
  <c r="H113"/>
  <c r="H73"/>
  <c r="H57"/>
  <c r="H58"/>
  <c r="H99"/>
  <c r="H95"/>
  <c r="H98"/>
  <c r="H112"/>
  <c r="H117"/>
  <c r="H69"/>
  <c r="H96"/>
  <c r="H118"/>
  <c r="H78"/>
  <c r="H92"/>
  <c r="H72"/>
  <c r="H60"/>
  <c r="H68"/>
  <c r="H77"/>
  <c r="H50"/>
  <c r="H75"/>
  <c r="H54"/>
  <c r="F68" l="1"/>
  <c r="F72" s="1"/>
  <c r="F57"/>
  <c r="F50"/>
  <c r="H41"/>
  <c r="H40"/>
  <c r="F77" l="1"/>
  <c r="F35"/>
  <c r="F32"/>
  <c r="F31"/>
  <c r="F26"/>
  <c r="F20"/>
  <c r="H27"/>
  <c r="H21"/>
  <c r="H23"/>
  <c r="H38"/>
  <c r="H37"/>
  <c r="H18"/>
  <c r="H20"/>
  <c r="H24"/>
  <c r="H26"/>
  <c r="H34"/>
  <c r="F34" l="1"/>
  <c r="F37" s="1"/>
  <c r="F23"/>
  <c r="F18"/>
  <c r="F4"/>
  <c r="F320" i="8"/>
  <c r="F319"/>
  <c r="F308"/>
  <c r="F301"/>
  <c r="F293"/>
  <c r="F292"/>
  <c r="F281"/>
  <c r="F274"/>
  <c r="F255"/>
  <c r="F253"/>
  <c r="F214"/>
  <c r="F212"/>
  <c r="F164"/>
  <c r="F162"/>
  <c r="F115"/>
  <c r="F75"/>
  <c r="H339"/>
  <c r="H327"/>
  <c r="H329"/>
  <c r="H336"/>
  <c r="H331"/>
  <c r="H332"/>
  <c r="H338"/>
  <c r="H334"/>
  <c r="F40" i="9" l="1"/>
  <c r="F324" i="8"/>
  <c r="H320"/>
  <c r="F336" l="1"/>
  <c r="F329"/>
  <c r="H319"/>
  <c r="F339" l="1"/>
  <c r="F338"/>
  <c r="F332"/>
  <c r="F331"/>
  <c r="F298"/>
  <c r="H312"/>
  <c r="H306"/>
  <c r="H301"/>
  <c r="H293"/>
  <c r="H313"/>
  <c r="H305"/>
  <c r="H308"/>
  <c r="H310"/>
  <c r="H303"/>
  <c r="F310" l="1"/>
  <c r="F303"/>
  <c r="H292"/>
  <c r="F313" l="1"/>
  <c r="F312"/>
  <c r="F306"/>
  <c r="F305"/>
  <c r="F271"/>
  <c r="H276"/>
  <c r="H278"/>
  <c r="H283"/>
  <c r="H274"/>
  <c r="H279"/>
  <c r="H285"/>
  <c r="H286"/>
  <c r="H281"/>
  <c r="H264"/>
  <c r="F283" l="1"/>
  <c r="F276"/>
  <c r="H263"/>
  <c r="H262"/>
  <c r="F286" l="1"/>
  <c r="F285"/>
  <c r="F279"/>
  <c r="F278"/>
  <c r="F247"/>
  <c r="F246"/>
  <c r="H242"/>
  <c r="H255"/>
  <c r="H259"/>
  <c r="H241"/>
  <c r="H249"/>
  <c r="H257"/>
  <c r="H253"/>
  <c r="H258"/>
  <c r="F241" l="1"/>
  <c r="F235"/>
  <c r="H238"/>
  <c r="H239"/>
  <c r="H236"/>
  <c r="H235"/>
  <c r="H233"/>
  <c r="F249" l="1"/>
  <c r="F238"/>
  <c r="F233"/>
  <c r="H220"/>
  <c r="H219"/>
  <c r="F262" l="1"/>
  <c r="F264" s="1"/>
  <c r="F257"/>
  <c r="F259" s="1"/>
  <c r="F209"/>
  <c r="F206"/>
  <c r="F198"/>
  <c r="F190"/>
  <c r="F184"/>
  <c r="F187" s="1"/>
  <c r="H216"/>
  <c r="H217"/>
  <c r="H187"/>
  <c r="H184"/>
  <c r="H214"/>
  <c r="H190"/>
  <c r="H207"/>
  <c r="H210"/>
  <c r="H180"/>
  <c r="H185"/>
  <c r="H188"/>
  <c r="H191"/>
  <c r="H209"/>
  <c r="H198"/>
  <c r="H206"/>
  <c r="H212"/>
  <c r="F219" l="1"/>
  <c r="F216"/>
  <c r="F180"/>
  <c r="F178"/>
  <c r="F159"/>
  <c r="F156"/>
  <c r="F148"/>
  <c r="F140"/>
  <c r="F134"/>
  <c r="F137" s="1"/>
  <c r="H148"/>
  <c r="H159"/>
  <c r="H130"/>
  <c r="H166"/>
  <c r="H170"/>
  <c r="H141"/>
  <c r="H135"/>
  <c r="H160"/>
  <c r="H169"/>
  <c r="H157"/>
  <c r="H138"/>
  <c r="H134"/>
  <c r="H156"/>
  <c r="H137"/>
  <c r="H164"/>
  <c r="H140"/>
  <c r="H167"/>
  <c r="H162"/>
  <c r="H178"/>
  <c r="F169" l="1"/>
  <c r="F166"/>
  <c r="F130"/>
  <c r="F128"/>
  <c r="F112"/>
  <c r="F106"/>
  <c r="F98"/>
  <c r="F92"/>
  <c r="F95" s="1"/>
  <c r="F117" s="1"/>
  <c r="F87"/>
  <c r="F70"/>
  <c r="F66"/>
  <c r="F65"/>
  <c r="F60"/>
  <c r="F54"/>
  <c r="H55"/>
  <c r="H75"/>
  <c r="H98"/>
  <c r="H54"/>
  <c r="H58"/>
  <c r="H96"/>
  <c r="H92"/>
  <c r="H113"/>
  <c r="H72"/>
  <c r="H73"/>
  <c r="H128"/>
  <c r="H87"/>
  <c r="H93"/>
  <c r="H117"/>
  <c r="H115"/>
  <c r="H95"/>
  <c r="H61"/>
  <c r="H68"/>
  <c r="H78"/>
  <c r="H77"/>
  <c r="H99"/>
  <c r="H60"/>
  <c r="H57"/>
  <c r="H50"/>
  <c r="H112"/>
  <c r="H118"/>
  <c r="H69"/>
  <c r="F68" l="1"/>
  <c r="F72" s="1"/>
  <c r="F57"/>
  <c r="F50"/>
  <c r="H40"/>
  <c r="H41"/>
  <c r="F77" l="1"/>
  <c r="F35"/>
  <c r="F32"/>
  <c r="F31"/>
  <c r="F26"/>
  <c r="F20"/>
  <c r="H37"/>
  <c r="H23"/>
  <c r="H24"/>
  <c r="H34"/>
  <c r="H21"/>
  <c r="H20"/>
  <c r="H18"/>
  <c r="H38"/>
  <c r="H27"/>
  <c r="H26"/>
  <c r="F34" l="1"/>
  <c r="F37" s="1"/>
  <c r="F23"/>
  <c r="F18"/>
  <c r="F4"/>
  <c r="E14" i="7"/>
  <c r="E9"/>
  <c r="E17" i="11"/>
  <c r="I17" s="1"/>
  <c r="L17" s="1"/>
  <c r="E16"/>
  <c r="I16" s="1"/>
  <c r="L16" s="1"/>
  <c r="E30"/>
  <c r="I30" s="1"/>
  <c r="L30" s="1"/>
  <c r="E29"/>
  <c r="I29" s="1"/>
  <c r="L29" s="1"/>
  <c r="F417" i="5"/>
  <c r="F410"/>
  <c r="H417"/>
  <c r="H380"/>
  <c r="H415"/>
  <c r="H322"/>
  <c r="H408"/>
  <c r="H413"/>
  <c r="H410"/>
  <c r="H364"/>
  <c r="H420"/>
  <c r="H379"/>
  <c r="H419"/>
  <c r="H412"/>
  <c r="H323"/>
  <c r="F40" i="8" l="1"/>
  <c r="E45" i="11"/>
  <c r="E42"/>
  <c r="H363" i="5"/>
  <c r="F420" l="1"/>
  <c r="E47" i="11" s="1"/>
  <c r="F419" i="5"/>
  <c r="E46" i="11" s="1"/>
  <c r="F413" i="5"/>
  <c r="E44" i="11" s="1"/>
  <c r="F412" i="5"/>
  <c r="E43" i="11" s="1"/>
  <c r="F306" i="5"/>
  <c r="F299"/>
  <c r="F361"/>
  <c r="E35" i="11" s="1"/>
  <c r="H356" i="5"/>
  <c r="H309"/>
  <c r="H306"/>
  <c r="H359"/>
  <c r="H308"/>
  <c r="H297"/>
  <c r="H299"/>
  <c r="H361"/>
  <c r="H301"/>
  <c r="H302"/>
  <c r="H304"/>
  <c r="H357"/>
  <c r="F364" l="1"/>
  <c r="E37" i="11" s="1"/>
  <c r="F363" i="5"/>
  <c r="E36" i="11" s="1"/>
  <c r="E22"/>
  <c r="E19"/>
  <c r="F354" i="5"/>
  <c r="E32" i="11" s="1"/>
  <c r="H354" i="5"/>
  <c r="F357" l="1"/>
  <c r="E34" i="11" s="1"/>
  <c r="F356" i="5"/>
  <c r="E33" i="11" s="1"/>
  <c r="F309" i="5"/>
  <c r="E24" i="11" s="1"/>
  <c r="F308" i="5"/>
  <c r="E23" i="11" s="1"/>
  <c r="F302" i="5"/>
  <c r="E21" i="11" s="1"/>
  <c r="F301" i="5"/>
  <c r="E20" i="11" s="1"/>
  <c r="F257" i="5"/>
  <c r="F255"/>
  <c r="F235"/>
  <c r="H264"/>
  <c r="H259"/>
  <c r="H266"/>
  <c r="H257"/>
  <c r="H251"/>
  <c r="H261"/>
  <c r="H265"/>
  <c r="H260"/>
  <c r="H255"/>
  <c r="F249" l="1"/>
  <c r="F248"/>
  <c r="F243"/>
  <c r="F237"/>
  <c r="H243"/>
  <c r="H244"/>
  <c r="H237"/>
  <c r="H240"/>
  <c r="H238"/>
  <c r="H235"/>
  <c r="H241"/>
  <c r="F251" l="1"/>
  <c r="F240"/>
  <c r="F211"/>
  <c r="F208"/>
  <c r="F200"/>
  <c r="F182"/>
  <c r="F180"/>
  <c r="F216"/>
  <c r="F214"/>
  <c r="F192"/>
  <c r="F186"/>
  <c r="F189" s="1"/>
  <c r="F166"/>
  <c r="F158"/>
  <c r="F161"/>
  <c r="F132"/>
  <c r="F164"/>
  <c r="F150"/>
  <c r="H209"/>
  <c r="H216"/>
  <c r="H166"/>
  <c r="H192"/>
  <c r="H222"/>
  <c r="H187"/>
  <c r="H158"/>
  <c r="H171"/>
  <c r="H168"/>
  <c r="H150"/>
  <c r="H189"/>
  <c r="H219"/>
  <c r="H180"/>
  <c r="H161"/>
  <c r="H132"/>
  <c r="H186"/>
  <c r="H164"/>
  <c r="H182"/>
  <c r="H212"/>
  <c r="H190"/>
  <c r="H169"/>
  <c r="H162"/>
  <c r="H172"/>
  <c r="H159"/>
  <c r="H193"/>
  <c r="H143"/>
  <c r="H221"/>
  <c r="H211"/>
  <c r="H218"/>
  <c r="H208"/>
  <c r="H214"/>
  <c r="H142"/>
  <c r="F259" l="1"/>
  <c r="F264"/>
  <c r="F218"/>
  <c r="E39" i="11" s="1"/>
  <c r="F221" i="5"/>
  <c r="E40" i="11" s="1"/>
  <c r="F142" i="5"/>
  <c r="F136"/>
  <c r="H140"/>
  <c r="H130"/>
  <c r="H137"/>
  <c r="H139"/>
  <c r="H136"/>
  <c r="F266" l="1"/>
  <c r="E52" i="11"/>
  <c r="F261" i="5"/>
  <c r="E49" i="11"/>
  <c r="F139" i="5"/>
  <c r="F130"/>
  <c r="F108"/>
  <c r="F117"/>
  <c r="H117"/>
  <c r="H114"/>
  <c r="H120"/>
  <c r="H115"/>
  <c r="H119"/>
  <c r="E53" i="11" l="1"/>
  <c r="E54"/>
  <c r="E50"/>
  <c r="E51"/>
  <c r="F171" i="5"/>
  <c r="E27" i="11" s="1"/>
  <c r="F168" i="5"/>
  <c r="E26" i="11" s="1"/>
  <c r="F100" i="5"/>
  <c r="F94"/>
  <c r="H89"/>
  <c r="H97"/>
  <c r="H94"/>
  <c r="H100"/>
  <c r="H101"/>
  <c r="H98"/>
  <c r="H95"/>
  <c r="F114" l="1"/>
  <c r="F97"/>
  <c r="F89"/>
  <c r="F77"/>
  <c r="H77"/>
  <c r="F119" l="1"/>
  <c r="E14" i="11" s="1"/>
  <c r="F72" i="5"/>
  <c r="F52"/>
  <c r="H71"/>
  <c r="H20"/>
  <c r="H70"/>
  <c r="H57"/>
  <c r="H75"/>
  <c r="H74"/>
  <c r="H56"/>
  <c r="H21"/>
  <c r="H80"/>
  <c r="H79"/>
  <c r="F68" l="1"/>
  <c r="F67"/>
  <c r="F62"/>
  <c r="F56"/>
  <c r="H62"/>
  <c r="H52"/>
  <c r="H63"/>
  <c r="H59"/>
  <c r="H60"/>
  <c r="F70" l="1"/>
  <c r="F74" s="1"/>
  <c r="F59"/>
  <c r="F18"/>
  <c r="F26"/>
  <c r="F35"/>
  <c r="F32"/>
  <c r="F31"/>
  <c r="F20"/>
  <c r="F23" s="1"/>
  <c r="F4"/>
  <c r="H27"/>
  <c r="H26"/>
  <c r="H37"/>
  <c r="H34"/>
  <c r="H41"/>
  <c r="H40"/>
  <c r="H18"/>
  <c r="H24"/>
  <c r="H23"/>
  <c r="H38"/>
  <c r="F79" l="1"/>
  <c r="E12" i="11" s="1"/>
  <c r="F34" i="5"/>
  <c r="F37" s="1"/>
  <c r="F40" s="1"/>
  <c r="E8" i="11" l="1"/>
  <c r="F44" i="5"/>
  <c r="E10" i="11" s="1"/>
  <c r="F43" i="5"/>
  <c r="E9" i="11" s="1"/>
  <c r="G8" l="1"/>
  <c r="F8"/>
  <c r="G10"/>
  <c r="F10"/>
  <c r="F9"/>
  <c r="G9"/>
</calcChain>
</file>

<file path=xl/comments1.xml><?xml version="1.0" encoding="utf-8"?>
<comments xmlns="http://schemas.openxmlformats.org/spreadsheetml/2006/main">
  <authors>
    <author>erik</author>
  </authors>
  <commentList>
    <comment ref="C28" authorId="0">
      <text>
        <r>
          <rPr>
            <b/>
            <sz val="9"/>
            <color indexed="81"/>
            <rFont val="Tahoma"/>
            <charset val="1"/>
          </rPr>
          <t>erik:</t>
        </r>
        <r>
          <rPr>
            <sz val="9"/>
            <color indexed="81"/>
            <rFont val="Tahoma"/>
            <charset val="1"/>
          </rPr>
          <t xml:space="preserve">
põhimõtteliselt sama, mis on CsCd
50341-1 ptk4.2.2.4.4
Märkus. Vabaltseisvatele (tõmmitsateta) teraspostmastidele on G[pol] tüüpiliseks väärtuseks 1,15.
Kas selle kasutamine on ikka tagavara kasuks?
</t>
        </r>
      </text>
    </comment>
  </commentList>
</comments>
</file>

<file path=xl/comments2.xml><?xml version="1.0" encoding="utf-8"?>
<comments xmlns="http://schemas.openxmlformats.org/spreadsheetml/2006/main">
  <authors>
    <author>erik</author>
  </authors>
  <commentList>
    <comment ref="C28" authorId="0">
      <text>
        <r>
          <rPr>
            <b/>
            <sz val="9"/>
            <color indexed="81"/>
            <rFont val="Tahoma"/>
            <charset val="1"/>
          </rPr>
          <t>erik:</t>
        </r>
        <r>
          <rPr>
            <sz val="9"/>
            <color indexed="81"/>
            <rFont val="Tahoma"/>
            <charset val="1"/>
          </rPr>
          <t xml:space="preserve">
põhimõtteliselt sama, mis on CsCd
50341-1 ptk4.2.2.4.4
Märkus. Vabaltseisvatele (tõmmitsateta) teraspostmastidele on G[pol] tüüpiliseks väärtuseks 1,15.
Kas selle kasutamine on ikka tagavara kasuks?
</t>
        </r>
      </text>
    </comment>
  </commentList>
</comments>
</file>

<file path=xl/comments3.xml><?xml version="1.0" encoding="utf-8"?>
<comments xmlns="http://schemas.openxmlformats.org/spreadsheetml/2006/main">
  <authors>
    <author>erik</author>
  </authors>
  <commentList>
    <comment ref="C28" authorId="0">
      <text>
        <r>
          <rPr>
            <b/>
            <sz val="9"/>
            <color indexed="81"/>
            <rFont val="Tahoma"/>
            <charset val="1"/>
          </rPr>
          <t>erik:</t>
        </r>
        <r>
          <rPr>
            <sz val="9"/>
            <color indexed="81"/>
            <rFont val="Tahoma"/>
            <charset val="1"/>
          </rPr>
          <t xml:space="preserve">
põhimõtteliselt sama, mis on CsCd
50341-1 ptk4.2.2.4.4
Märkus. Vabaltseisvatele (tõmmitsateta) teraspostmastidele on G[pol] tüüpiliseks väärtuseks 1,15.
Kas selle kasutamine on ikka tagavara kasuks?
</t>
        </r>
      </text>
    </comment>
  </commentList>
</comments>
</file>

<file path=xl/comments4.xml><?xml version="1.0" encoding="utf-8"?>
<comments xmlns="http://schemas.openxmlformats.org/spreadsheetml/2006/main">
  <authors>
    <author>erik</author>
  </authors>
  <commentList>
    <comment ref="C28" authorId="0">
      <text>
        <r>
          <rPr>
            <b/>
            <sz val="9"/>
            <color indexed="81"/>
            <rFont val="Tahoma"/>
            <charset val="1"/>
          </rPr>
          <t>erik:</t>
        </r>
        <r>
          <rPr>
            <sz val="9"/>
            <color indexed="81"/>
            <rFont val="Tahoma"/>
            <charset val="1"/>
          </rPr>
          <t xml:space="preserve">
põhimõtteliselt sama, mis on CsCd
50341-1 ptk4.2.2.4.4
Märkus. Vabaltseisvatele (tõmmitsateta) teraspostmastidele on G[pol] tüüpiliseks väärtuseks 1,15.
Kas selle kasutamine on ikka tagavara kasuks?
</t>
        </r>
      </text>
    </comment>
  </commentList>
</comments>
</file>

<file path=xl/comments5.xml><?xml version="1.0" encoding="utf-8"?>
<comments xmlns="http://schemas.openxmlformats.org/spreadsheetml/2006/main">
  <authors>
    <author>erik</author>
  </authors>
  <commentList>
    <comment ref="C28" authorId="0">
      <text>
        <r>
          <rPr>
            <b/>
            <sz val="9"/>
            <color indexed="81"/>
            <rFont val="Tahoma"/>
            <charset val="1"/>
          </rPr>
          <t>erik:</t>
        </r>
        <r>
          <rPr>
            <sz val="9"/>
            <color indexed="81"/>
            <rFont val="Tahoma"/>
            <charset val="1"/>
          </rPr>
          <t xml:space="preserve">
põhimõtteliselt sama, mis on CsCd
50341-1 ptk4.2.2.4.4
Märkus. Vabaltseisvatele (tõmmitsateta) teraspostmastidele on G[pol] tüüpiliseks väärtuseks 1,15.
Kas selle kasutamine on ikka tagavara kasuks?
</t>
        </r>
      </text>
    </comment>
  </commentList>
</comments>
</file>

<file path=xl/comments6.xml><?xml version="1.0" encoding="utf-8"?>
<comments xmlns="http://schemas.openxmlformats.org/spreadsheetml/2006/main">
  <authors>
    <author>erik</author>
  </authors>
  <commentList>
    <comment ref="J32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  <comment ref="J72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  <comment ref="J111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  <comment ref="C172" authorId="0">
      <text>
        <r>
          <rPr>
            <b/>
            <sz val="9"/>
            <color indexed="81"/>
            <rFont val="Tahoma"/>
            <charset val="1"/>
          </rPr>
          <t>erik:</t>
        </r>
        <r>
          <rPr>
            <sz val="9"/>
            <color indexed="81"/>
            <rFont val="Tahoma"/>
            <charset val="1"/>
          </rPr>
          <t xml:space="preserve">
põhimõtteliselt sama, mis on CsCd
50341-1 ptk4.2.2.4.4
Märkus. Vabaltseisvatele (tõmmitsateta) teraspostmastidele on G[pol] tüüpiliseks väärtuseks 1,15.
Kas selle kasutamine on ikka tagavara kasuks?
</t>
        </r>
      </text>
    </comment>
    <comment ref="J332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</commentList>
</comments>
</file>

<file path=xl/comments7.xml><?xml version="1.0" encoding="utf-8"?>
<comments xmlns="http://schemas.openxmlformats.org/spreadsheetml/2006/main">
  <authors>
    <author>erik</author>
  </authors>
  <commentList>
    <comment ref="J32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  <comment ref="J71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  <comment ref="J110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  <comment ref="C169" authorId="0">
      <text>
        <r>
          <rPr>
            <b/>
            <sz val="9"/>
            <color indexed="81"/>
            <rFont val="Tahoma"/>
            <charset val="1"/>
          </rPr>
          <t>erik:</t>
        </r>
        <r>
          <rPr>
            <sz val="9"/>
            <color indexed="81"/>
            <rFont val="Tahoma"/>
            <charset val="1"/>
          </rPr>
          <t xml:space="preserve">
põhimõtteliselt sama, mis on CsCd
50341-1 ptk4.2.2.4.4
Märkus. Vabaltseisvatele (tõmmitsateta) teraspostmastidele on G[pol] tüüpiliseks väärtuseks 1,15.
Kas selle kasutamine on ikka tagavara kasuks?
</t>
        </r>
      </text>
    </comment>
    <comment ref="J329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</commentList>
</comments>
</file>

<file path=xl/comments8.xml><?xml version="1.0" encoding="utf-8"?>
<comments xmlns="http://schemas.openxmlformats.org/spreadsheetml/2006/main">
  <authors>
    <author>erik</author>
  </authors>
  <commentList>
    <comment ref="J32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  <comment ref="J71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  <comment ref="J110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  <comment ref="C168" authorId="0">
      <text>
        <r>
          <rPr>
            <b/>
            <sz val="9"/>
            <color indexed="81"/>
            <rFont val="Tahoma"/>
            <charset val="1"/>
          </rPr>
          <t>erik:</t>
        </r>
        <r>
          <rPr>
            <sz val="9"/>
            <color indexed="81"/>
            <rFont val="Tahoma"/>
            <charset val="1"/>
          </rPr>
          <t xml:space="preserve">
põhimõtteliselt sama, mis on CsCd
50341-1 ptk4.2.2.4.4
Märkus. Vabaltseisvatele (tõmmitsateta) teraspostmastidele on G[pol] tüüpiliseks väärtuseks 1,15.
Kas selle kasutamine on ikka tagavara kasuks?
</t>
        </r>
      </text>
    </comment>
    <comment ref="J329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qh*Gq*Gc*Gd
</t>
        </r>
      </text>
    </comment>
  </commentList>
</comments>
</file>

<file path=xl/comments9.xml><?xml version="1.0" encoding="utf-8"?>
<comments xmlns="http://schemas.openxmlformats.org/spreadsheetml/2006/main">
  <authors>
    <author>erik</author>
  </authors>
  <commentList>
    <comment ref="D4" authorId="0">
      <text>
        <r>
          <rPr>
            <b/>
            <sz val="9"/>
            <color indexed="81"/>
            <rFont val="Tahoma"/>
            <family val="2"/>
            <charset val="186"/>
          </rPr>
          <t>erik:</t>
        </r>
        <r>
          <rPr>
            <sz val="9"/>
            <color indexed="81"/>
            <rFont val="Tahoma"/>
            <family val="2"/>
            <charset val="186"/>
          </rPr>
          <t xml:space="preserve">
Mõeldud mittemodelleeritavate elementide omakaalu lisamiseks.</t>
        </r>
      </text>
    </comment>
  </commentList>
</comments>
</file>

<file path=xl/sharedStrings.xml><?xml version="1.0" encoding="UTF-8" standalone="yes"?>
<sst xmlns="http://schemas.openxmlformats.org/spreadsheetml/2006/main" count="5763" uniqueCount="1054"><si><t>Nr</t></si><si><t>Kombinatsioon</t></si><si><t>Temp</t></si><si><t>Tuul</t></si><si><t>Jäide</t></si><si><t>Omakaal</t></si><si><t>C°</t></si><si><r><t>γ</t></r><r><rPr><vertAlign val="subscript"/><sz val="11"/><color theme="1"/><rFont val="Calibri"/><family val="2"/><charset val="186"/></rPr><t>W</t></r></si><si><r><rPr><sz val="11"/><color theme="1"/><rFont val="Calibri"/><family val="2"/><charset val="186"/></rPr><t>Ψ</t></r><r><rPr><vertAlign val="subscript"/><sz val="11"/><color theme="1"/><rFont val="Calibri"/><family val="2"/><charset val="186"/></rPr><t>W</t></r></si><si><r><t>γ</t></r><r><rPr><vertAlign val="subscript"/><sz val="11"/><color theme="1"/><rFont val="Calibri"/><family val="2"/><charset val="186"/></rPr><t>I</t></r></si><si><r><t>Ψ</t></r><r><rPr><vertAlign val="subscript"/><sz val="11"/><color theme="1"/><rFont val="Calibri"/><family val="2"/><charset val="186"/></rPr><t>I</t></r></si><si><r><t>γ</t></r><r><rPr><vertAlign val="subscript"/><sz val="11"/><color theme="1"/><rFont val="Calibri"/><family val="2"/><charset val="186"/></rPr><t>G</t></r></si><si><t>Tuule piirkiirus 
(tuul juhtmega risti)</t></si><si><r><t>Tuule piirkiirus 
(tuul 45</t></r><r><rPr><sz val="11"/><color theme="1"/><rFont val="Calibri"/><family val="2"/><charset val="186"/></rPr><t>° mastiga</t></r><r><rPr><sz val="9"/><color theme="1"/><rFont val="Verdana"/><family val="2"/><charset val="186"/></rPr><t>)</t></r></si><si><r><t>Tuule piirkiirus 
(tuul 90</t></r><r><rPr><sz val="11"/><color theme="1"/><rFont val="Calibri"/><family val="2"/><charset val="186"/></rPr><t>° mastiga, piki traaversit</t></r><r><rPr><sz val="9"/><color theme="1"/><rFont val="Verdana"/><family val="2"/><charset val="186"/></rPr><t>)</t></r></si><si><t>Ühtlane piirjäitekoormus</t></si><si><t>Ebaühtlane piirjäitekoormus,  põikpaine</t></si><si><t>α=0.5 (osaliselt)</t></si><si><t>Ebaühtlane jäitekoormus,  pikipaine</t></si><si><r><t>α</t></r><r><rPr><vertAlign val="subscript"/><sz val="11"/><color theme="1"/><rFont val="Calibri"/><family val="2"/><charset val="186"/></rPr><t>1</t></r><r><rPr><sz val="11"/><color theme="1"/><rFont val="Calibri"/><family val="2"/><charset val="186"/></rPr><t>=0.3; α</t></r><r><rPr><vertAlign val="subscript"/><sz val="11"/><color theme="1"/><rFont val="Calibri"/><family val="2"/><charset val="186"/></rPr><t>2</t></r><r><rPr><sz val="11"/><color theme="1"/><rFont val="Calibri"/><family val="2"/><charset val="186"/></rPr><t>=0.7 (osaliselt)</t></r></si><si><t>Ebaühtlane jäitekoormus,  väändepaine</t></si><si><r><t>α</t></r><r><rPr><vertAlign val="subscript"/><sz val="11"/><color theme="1"/><rFont val="Calibri"/><family val="2"/><charset val="186"/></rPr><t>3</t></r><r><rPr><sz val="11"/><color theme="1"/><rFont val="Calibri"/><family val="2"/><charset val="186"/></rPr><t>=0.3; α</t></r><r><rPr><vertAlign val="subscript"/><sz val="11"/><color theme="1"/><rFont val="Calibri"/><family val="2"/><charset val="186"/></rPr><t>4</t></r><r><rPr><sz val="11"/><color theme="1"/><rFont val="Calibri"/><family val="2"/><charset val="186"/></rPr><t>=0.7 (osaliselt)</t></r></si><si><t>5a</t></si><si><t>5b</t></si><si><t>Avariikoormus (vääne)</t></si><si><r><t>γ</t></r><r><rPr><vertAlign val="subscript"/><sz val="11"/><color theme="1"/><rFont val="Calibri"/><family val="2"/><charset val="186"/><scheme val="minor"/></rPr><t>A</t></r><r><rPr><sz val="9"/><color theme="1"/><rFont val="Verdana"/><family val="2"/><charset val="186"/></rPr><t>=1.5</t></r></si><si><t>Avariikoormus (piki liini)</t></si><si><r><t>γ</t></r><r><rPr><vertAlign val="subscript"/><sz val="11"/><color theme="1"/><rFont val="Calibri"/><family val="2"/><charset val="186"/><scheme val="minor"/></rPr><t>A</t></r><r><rPr><sz val="9"/><color theme="1"/><rFont val="Verdana"/><family val="2"/><charset val="186"/></rPr><t>=1.0</t></r></si><si><r><t xml:space="preserve">Kõigi ühel pool visangut olevate juhtmete ja maanduse katkemine, tõmme juhtmetes vähendatud, lisaks korrutada leitud </t></r><r><rPr><b/><sz val="11"/><color rgb="FFFF0000"/><rFont val="Calibri"/><family val="2"/><charset val="186"/></rPr><t>β</t></r><r><rPr><b/><sz val="11"/><color rgb="FFFF0000"/><rFont val="Calibri"/><family val="2"/><charset val="186"/><scheme val="minor"/></rPr><t xml:space="preserve"> veel 0,8-ga</t></r></si><si><t>Ehitus ja hoolduskoormused</t></si><si><t>1a_1</t></si><si><t>1a_2</t></si><si><t>1a_3</t></si><si><t>2a</t></si><si><t>2b</t></si><si><t>2c</t></si><si><t>2d</t></si><si><t>Vaja täpsustada koormusi</t></si><si><t>1b_1</t></si><si><t>1b_2</t></si><si><t>Maksimaaltemperatuur</t></si><si><t>+60</t></si><si><r><t>V</t></r><r><rPr><vertAlign val="subscript"/><sz val="11"/><color theme="1"/><rFont val="Calibri"/><family val="2"/><charset val="186"/><scheme val="minor"/></rPr><t>R</t></r><r><rPr><sz val="9"/><color theme="1"/><rFont val="Verdana"/><family val="2"/><charset val="186"/></rPr><t>=</t></r></si><si><t>m/s</t></si><si><t>Tuule baaskiirus</t></si><si><r><t>V</t></r><r><rPr><vertAlign val="subscript"/><sz val="11"/><color theme="1"/><rFont val="Calibri"/><family val="2"/><charset val="186"/><scheme val="minor"/></rPr><t>mean</t></r><r><rPr><sz val="9"/><color theme="1"/><rFont val="Verdana"/><family val="2"/><charset val="186"/></rPr><t>=</t></r></si><si><t>Keskmine tuulekiirus</t></si><si><t>ρ=</t></si><si><r><t>kg/m</t></r><r><rPr><vertAlign val="superscript"/><sz val="11"/><color theme="1"/><rFont val="Calibri"/><family val="2"/><charset val="186"/><scheme val="minor"/></rPr><t>3</t></r></si><si><t>Õhu tihedus temperatuuril 15 kraadi ja atmosfääri rõhul</t></si><si><t>Mehaanilise resonantsi tegur</t></si><si><t>m</t></si><si><r><t>G</t></r><r><rPr><vertAlign val="subscript"/><sz val="11"/><color theme="1"/><rFont val="Calibri"/><family val="2"/><charset val="186"/><scheme val="minor"/></rPr><t>pol</t></r><r><rPr><sz val="9"/><color theme="1"/><rFont val="Verdana"/><family val="2"/><charset val="186"/></rPr><t>=</t></r></si><si><t>Raami postidele mõjuv tuulejõud</t></si><si><t>h =</t></si><si><t>posti pikkus</t></si><si><t>posti läbimõõt</t></si><si><r><t>V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=</t></r></si><si><r><t>k</t></r><r><rPr><vertAlign val="subscript"/><sz val="11"/><color theme="1"/><rFont val="Calibri"/><family val="2"/><charset val="186"/></rPr><t>T</t></r><r><rPr><sz val="11"/><color theme="1"/><rFont val="Calibri"/><family val="2"/><charset val="186"/></rPr><t xml:space="preserve"> =</t></r></si><si><t>Maastikutüübi tegur</t></si><si><r><t>z</t></r><r><rPr><vertAlign val="subscript"/><sz val="11"/><color theme="1"/><rFont val="Calibri"/><family val="2"/><charset val="186"/></rPr><t>0</t></r><r><rPr><sz val="11"/><color theme="1"/><rFont val="Calibri"/><family val="2"/><charset val="186"/></rPr><t xml:space="preserve"> =</t></r></si><si><t>karedusmõõt</t></si><si><r><t>h</t></r><r><rPr><vertAlign val="subscript"/><sz val="11"/><color theme="1"/><rFont val="Calibri"/><family val="2"/><charset val="186"/></rPr><t>min</t></r><r><rPr><sz val="11"/><color theme="1"/><rFont val="Calibri"/><family val="2"/><charset val="186"/></rPr><t xml:space="preserve"> =</t></r></si><si><r><t>kõrgus, milleni V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>=V</t></r><r><rPr><vertAlign val="subscript"/><sz val="11"/><color theme="1"/><rFont val="Calibri"/><family val="2"/><charset val="186"/><scheme val="minor"/></rPr><t>min</t></r></si><si><t xml:space="preserve">= 0,19 · ln(36 / 0,05) · 21 </t></si><si><t>Tuule kiirus kõrgusel h:</t></si><si><t>m²/s</t></si><si><t>õhu kinemaatiline viskoossus</t></si><si><t>diameeter</t></si><si><t>Re=</t></si><si><r><t>Jõuteguri C</t></r><r><rPr><vertAlign val="subscript"/><sz val="11"/><color theme="1"/><rFont val="Calibri"/><family val="2"/><charset val="186"/><scheme val="minor"/></rPr><t>post</t></r><r><rPr><sz val="11"/><color theme="1"/><rFont val="Calibri"/><family val="2"/><charset val="186"/><scheme val="minor"/></rPr><t xml:space="preserve"> leidmine</t></r></si><si><t>k/b=</t></si><si><t>suhteline karedus</t></si><si><t>Reinoldsi arv</t></si><si><r><t>C</t></r><r><rPr><vertAlign val="subscript"/><sz val="11"/><color theme="1"/><rFont val="Calibri"/><family val="2"/><charset val="186"/><scheme val="minor"/></rPr><t>post</t></r><r><rPr><sz val="11"/><color theme="1"/><rFont val="Calibri"/><family val="2"/><charset val="186"/><scheme val="minor"/></rPr><t xml:space="preserve"> =</t></r></si><si><r><t>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=</t></r></si><si><t>N/m²</t></si><si><t>dünaamiline tuule surve</t></si><si><t xml:space="preserve">= 0,324 · 26,25 / 0,000015 </t></si><si><t>iilireaktsiooni tegur</t></si><si><r><t>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=</t></r></si><si><t>m²</t></si><si><t>tuule suunaga risti olev pind</t></si><si><t xml:space="preserve">= 0,324 · 36 </t></si><si><t>tuule jõutegur ilma vaba otsa mõjuta</t></si><si><r><t>Q</t></r><r><rPr><vertAlign val="subscript"/><sz val="11"/><color theme="1"/><rFont val="Calibri"/><family val="2"/><charset val="186"/><scheme val="minor"/></rPr><t>W,Post</t></r><r><rPr><sz val="11"/><color theme="1"/><rFont val="Calibri"/><family val="2"/><charset val="186"/><scheme val="minor"/></rPr><t xml:space="preserve"> =</t></r></si><si><t>N/m</t></si><si><t>Ümara posti puhul ei pea arvestama suunategurit.</t></si><si><t xml:space="preserve">= 422,09 · 1,81 · 1,15 · 7,59E-01 · 0,324 </t></si><si><t>Postile mõjuv tuulejõu joonkoormus</t></si><si><t>Jäikustalale mõjuv tuulejõud</t></si><si><t>jäikustala kõrgus maapinnast</t></si><si><t>tala läbimõõt</t></si><si><t>Eeldan jäikustala ristlõikeks Ø 273</t></si><si><t>Tala pikkus</t></si><si><t xml:space="preserve">= 0,273 · 15,5 </t></si><si><t xml:space="preserve">= 0,273 · 22,48 / 0,000015 </t></si><si><r><t>A</t></r><r><rPr><vertAlign val="subscript"/><sz val="11"/><color theme="1"/><rFont val="Calibri"/><family val="2"/><charset val="186"/><scheme val="minor"/></rPr><t>ref</t></r><r><rPr><sz val="11"/><color theme="1"/><rFont val="Calibri"/><family val="2"/><charset val="186"/><scheme val="minor"/></rPr><t xml:space="preserve"> =</t></r></si><si><r><t>A</t></r><r><rPr><vertAlign val="subscript"/><sz val="11"/><color theme="1"/><rFont val="Calibri"/><family val="2"/><charset val="186"/><scheme val="minor"/></rPr><t>ref,1</t></r><r><rPr><sz val="11"/><color theme="1"/><rFont val="Calibri"/><family val="2"/><charset val="186"/><scheme val="minor"/></rPr><t xml:space="preserve"> =</t></r></si><si><t>1. külje pind</t></si><si><t xml:space="preserve">Eeldan posti ristlõikeks terastoru Ø 323. </t></si><si><t>Tagavara kasuks eeldan kogu posti pikkusel maksimaalset tuulekoormust.</t></si><si><t xml:space="preserve">= 0,19 · ln(14 / 0,05) · 21 </t></si><si><t>Jäikustalale mõjuv tuulejõu joonkoormus</t></si><si><t>Suunategur</t></si><si><r><t>k</t></r><r><rPr><vertAlign val="subscript"/><sz val="11"/><color theme="1"/><rFont val="Calibri"/><family val="2"/><charset val="186"/><scheme val="minor"/></rPr><t>φ</t></r><r><rPr><sz val="11"/><color theme="1"/><rFont val="Calibri"/><family val="2"/><charset val="186"/><scheme val="minor"/></rPr><t xml:space="preserve"> =</t></r></si><si><t xml:space="preserve">= 309,60 · 1,97 · 1,15 · 2,02 · 0,273 · 0,004866 </t></si><si><t>110kV traaversile mõjuv tuulejõud</t></si><si><t>Eeldan traaversi ristlõikeks 2xUPE220</t></si><si><t>traaversi kõrgus maapinnast</t></si><si><t>traversi ristlõike kõrgus</t></si><si><t xml:space="preserve">= 0,19 · ln(28 / 0,05) · 21 </t></si><si><t>2. külje pinda ei arvesta</t></si><si><r><t>Jõuteguri C</t></r><r><rPr><vertAlign val="subscript"/><sz val="11"/><color theme="1"/><rFont val="Calibri"/><family val="2"/><charset val="186"/><scheme val="minor"/></rPr><t>tr110</t></r><r><rPr><sz val="11"/><color theme="1"/><rFont val="Calibri"/><family val="2"/><charset val="186"/><scheme val="minor"/></rPr><t xml:space="preserve"> leidmine</t></r></si><si><r><t>C</t></r><r><rPr><vertAlign val="subscript"/><sz val="11"/><color theme="1"/><rFont val="Calibri"/><family val="2"/><charset val="186"/><scheme val="minor"/></rPr><t>tr110</t></r><r><rPr><sz val="11"/><color theme="1"/><rFont val="Calibri"/><family val="2"/><charset val="186"/><scheme val="minor"/></rPr><t xml:space="preserve"> =</t></r></si><si><r><t>C</t></r><r><rPr><vertAlign val="subscript"/><sz val="11"/><color theme="1"/><rFont val="Calibri"/><family val="2"/><charset val="186"/><scheme val="minor"/></rPr><t>tr110,0</t></r><r><rPr><sz val="11"/><color theme="1"/><rFont val="Calibri"/><family val="2"/><charset val="186"/><scheme val="minor"/></rPr><t xml:space="preserve"> =</t></r></si><si><t>efektiivsaledus</t></si><si><t>täitetegur</t></si><si><r><t>Ψ</t></r><r><rPr><vertAlign val="subscript"/><sz val="11"/><color theme="1"/><rFont val="Calibri"/><family val="2"/><charset val="186"/><scheme val="minor"/></rPr><t>λ</t></r><r><rPr><sz val="11"/><color theme="1"/><rFont val="Calibri"/><family val="2"/><charset val="186"/><scheme val="minor"/></rPr><t xml:space="preserve"> =</t></r></si><si><t>Otsa mõju tegur</t></si><si><t>Jõutegur</t></si><si><t xml:space="preserve">= 0,22 · 23 </t></si><si><t>110kV traaversile mõjuv tuulejõu joonkoormus</t></si><si><t>330kV traaversile mõjuv tuulejõud</t></si><si><t>traversi ristlõike laius</t></si><si><r><t>A</t></r><r><rPr><vertAlign val="subscript"/><sz val="11"/><color theme="1"/><rFont val="Calibri"/><family val="2"/><charset val="186"/><scheme val="minor"/></rPr><t>ref,2</t></r><r><rPr><sz val="11"/><color theme="1"/><rFont val="Calibri"/><family val="2"/><charset val="186"/><scheme val="minor"/></rPr><t xml:space="preserve"> =</t></r></si><si><t>L =</t></si><si><t xml:space="preserve">= 0,25 · 23 </t></si><si><t xml:space="preserve">= 0,25 · 0,25 </t></si><si><r><t>Jõuteguri C</t></r><r><rPr><vertAlign val="subscript"/><sz val="11"/><color theme="1"/><rFont val="Calibri"/><family val="2"/><charset val="186"/><scheme val="minor"/></rPr><t>tr330</t></r><r><rPr><sz val="11"/><color theme="1"/><rFont val="Calibri"/><family val="2"/><charset val="186"/><scheme val="minor"/></rPr><t xml:space="preserve"> leidmine</t></r></si><si><t xml:space="preserve">= 2,00 · 0,92 </t></si><si><t xml:space="preserve">= 390,46 · 1,85 · 1,15 · 1,84 · 0,22 · 0,005 </t></si><si><r><t>C</t></r><r><rPr><vertAlign val="subscript"/><sz val="11"/><color theme="1"/><rFont val="Calibri"/><family val="2"/><charset val="186"/><scheme val="minor"/></rPr><t>tr330,0</t></r><r><rPr><sz val="11"/><color theme="1"/><rFont val="Calibri"/><family val="2"/><charset val="186"/><scheme val="minor"/></rPr><t xml:space="preserve"> =</t></r></si><si><t xml:space="preserve">= min(70,2 · 23 / 0,25) </t></si><si><t>Suunategur küljele 1</t></si><si><t>330kV traaversile mõjuv tuulejõu joonkoormus küljel 1</t></si><si><r><t>Q</t></r><r><rPr><vertAlign val="subscript"/><sz val="11"/><color theme="1"/><rFont val="Calibri"/><family val="2"/><charset val="186"/><scheme val="minor"/></rPr><t>W,tr110</t></r><r><rPr><sz val="11"/><color theme="1"/><rFont val="Calibri"/><family val="2"/><charset val="186"/><scheme val="minor"/></rPr><t xml:space="preserve"> =</t></r></si><si><r><t>Q</t></r><r><rPr><vertAlign val="subscript"/><sz val="11"/><color theme="1"/><rFont val="Calibri"/><family val="2"/><charset val="186"/><scheme val="minor"/></rPr><t>W,JT</t></r><r><rPr><sz val="11"/><color theme="1"/><rFont val="Calibri"/><family val="2"/><charset val="186"/><scheme val="minor"/></rPr><t xml:space="preserve"> =</t></r></si><si><r><t>C</t></r><r><rPr><vertAlign val="subscript"/><sz val="11"/><color theme="1"/><rFont val="Calibri"/><family val="2"/><charset val="186"/><scheme val="minor"/></rPr><t>JT</t></r><r><rPr><sz val="11"/><color theme="1"/><rFont val="Calibri"/><family val="2"/><charset val="186"/><scheme val="minor"/></rPr><t xml:space="preserve"> =</t></r></si><si><r><t>Jõuteguri C</t></r><r><rPr><vertAlign val="subscript"/><sz val="11"/><color theme="1"/><rFont val="Calibri"/><family val="2"/><charset val="186"/><scheme val="minor"/></rPr><t>JT</t></r><r><rPr><sz val="11"/><color theme="1"/><rFont val="Calibri"/><family val="2"/><charset val="186"/><scheme val="minor"/></rPr><t xml:space="preserve"> leidmine</t></r></si><si><r><t>A</t></r><r><rPr><vertAlign val="subscript"/><sz val="11"/><color theme="1"/><rFont val="Calibri"/><family val="2"/><charset val="186"/><scheme val="minor"/></rPr><t>ref,JT,1</t></r><r><rPr><sz val="11"/><color theme="1"/><rFont val="Calibri"/><family val="2"/><charset val="186"/><scheme val="minor"/></rPr><t xml:space="preserve"> =</t></r></si><si><t>Eeldan traaversi ristlõikeks Trec 250x6</t></si><si><t>ümardatud servade mõju</t></si><si><r><t>Ψ</t></r><r><rPr><vertAlign val="subscript"/><sz val="11"/><color theme="1"/><rFont val="Calibri"/><family val="2"/><charset val="186"/><scheme val="minor"/></rPr><t>r</t></r><r><rPr><sz val="11"/><color theme="1"/><rFont val="Calibri"/><family val="2"/><charset val="186"/><scheme val="minor"/></rPr><t xml:space="preserve"> =</t></r></si><si><t>(kus r=12 ja b=250)</t></si><si><t>Jõutegur küljel 1</t></si><si><t>Jõutegur küljel 2</t></si><si><t xml:space="preserve">= 2,00 · 0,92 · 0,88 </t></si><si><t xml:space="preserve">= 422,09 · 1,81 · 1,15 · 1,62 · 0,25 · 0,005 </t></si><si><r><t>C</t></r><r><rPr><vertAlign val="subscript"/><sz val="11"/><color theme="1"/><rFont val="Calibri"/><family val="2"/><charset val="186"/><scheme val="minor"/></rPr><t>tr330,1</t></r><r><rPr><sz val="11"/><color theme="1"/><rFont val="Calibri"/><family val="2"/><charset val="186"/><scheme val="minor"/></rPr><t xml:space="preserve"> =</t></r></si><si><r><t>C</t></r><r><rPr><vertAlign val="subscript"/><sz val="11"/><color theme="1"/><rFont val="Calibri"/><family val="2"/><charset val="186"/><scheme val="minor"/></rPr><t>tr330,2</t></r><r><rPr><sz val="11"/><color theme="1"/><rFont val="Calibri"/><family val="2"/><charset val="186"/><scheme val="minor"/></rPr><t xml:space="preserve"> =</t></r></si><si><t>Suunategur külele 2</t></si><si><r><t>Q</t></r><r><rPr><vertAlign val="subscript"/><sz val="11"/><color theme="1"/><rFont val="Calibri"/><family val="2"/><charset val="186"/><scheme val="minor"/></rPr><t>W,Tr330,1</t></r><r><rPr><sz val="11"/><color theme="1"/><rFont val="Calibri"/><family val="2"/><charset val="186"/><scheme val="minor"/></rPr><t xml:space="preserve"> =</t></r></si><si><r><t>Q</t></r><r><rPr><vertAlign val="subscript"/><sz val="11"/><color theme="1"/><rFont val="Calibri"/><family val="2"/><charset val="186"/><scheme val="minor"/></rPr><t>W,TR330,2</t></r><r><rPr><sz val="11"/><color theme="1"/><rFont val="Calibri"/><family val="2"/><charset val="186"/><scheme val="minor"/></rPr><t xml:space="preserve"> =</t></r></si><si><t>N</t></si><si><r><t>k</t></r><r><rPr><vertAlign val="subscript"/><sz val="11"/><color theme="1"/><rFont val="Calibri"/><family val="2"/><charset val="186"/><scheme val="minor"/></rPr><t>φ1</t></r><r><rPr><sz val="11"/><color theme="1"/><rFont val="Calibri"/><family val="2"/><charset val="186"/><scheme val="minor"/></rPr><t xml:space="preserve"> =</t></r></si><si><r><t>k</t></r><r><rPr><vertAlign val="subscript"/><sz val="11"/><color theme="1"/><rFont val="Calibri"/><family val="2"/><charset val="186"/><scheme val="minor"/></rPr><t>φ2</t></r><r><rPr><sz val="11"/><color theme="1"/><rFont val="Calibri"/><family val="2"/><charset val="186"/><scheme val="minor"/></rPr><t xml:space="preserve"> =</t></r></si><si><t xml:space="preserve">= 422,09 · 1,81 · 1,15 · 1,84 · 0,25 · 0,25 · 0,995 </t></si><si><t>330kV traaversile mõjuv tuulejõu punktkoormus küljel 2</t></si><si><t>Piksekaitse kinnitustele mõjuv tuulejõud</t></si><si><t>Eeldan traaversi ristlõikeks 250x150x5</t></si><si><t xml:space="preserve">= 0,19 · ln(41 / 0,05) · 21 </t></si><si><t xml:space="preserve">= min(70,2 · 5 / 0,25) </t></si><si><t xml:space="preserve">= 0,15 · 5 </t></si><si><t xml:space="preserve">= 5 · 0,25 </t></si><si><t>2. külje pind</t></si><si><r><t>Jõuteguri C</t></r><r><rPr><vertAlign val="subscript"/><sz val="11"/><color theme="1"/><rFont val="Calibri"/><family val="2"/><charset val="186"/><scheme val="minor"/></rPr><t>PK</t></r><r><rPr><sz val="11"/><color theme="1"/><rFont val="Calibri"/><family val="2"/><charset val="186"/><scheme val="minor"/></rPr><t xml:space="preserve"> leidmine</t></r></si><si><r><t>C</t></r><r><rPr><vertAlign val="subscript"/><sz val="11"/><color theme="1"/><rFont val="Calibri"/><family val="2"/><charset val="186"/><scheme val="minor"/></rPr><t>PK,0</t></r><r><rPr><sz val="11"/><color theme="1"/><rFont val="Calibri"/><family val="2"/><charset val="186"/><scheme val="minor"/></rPr><t xml:space="preserve"> =</t></r></si><si><t>(kus r=10 ja b=250)</t></si><si><t xml:space="preserve">= 2,00 · 0,85 · 0,9 </t></si><si><r><t>C</t></r><r><rPr><vertAlign val="subscript"/><sz val="11"/><color theme="1"/><rFont val="Calibri"/><family val="2"/><charset val="186"/><scheme val="minor"/></rPr><t>PK,1</t></r><r><rPr><sz val="11"/><color theme="1"/><rFont val="Calibri"/><family val="2"/><charset val="186"/><scheme val="minor"/></rPr><t xml:space="preserve"> =</t></r></si><si><r><t>C</t></r><r><rPr><vertAlign val="subscript"/><sz val="11"/><color theme="1"/><rFont val="Calibri"/><family val="2"/><charset val="186"/><scheme val="minor"/></rPr><t>PK,2</t></r><r><rPr><sz val="11"/><color theme="1"/><rFont val="Calibri"/><family val="2"/><charset val="186"/><scheme val="minor"/></rPr><t xml:space="preserve"> =</t></r></si><si><t xml:space="preserve">= 438,94 · 1,80 · 1,15 · 1,53 · 0,15 · 0,005 </t></si><si><t>Piksekaitse kinnitustele mõjuv tuulejõu joonkoormus küljel 1</t></si><si><t>Piksekaitse kinnitustele mõjuv tuulejõu joonkoormus küljel 2</t></si><si><t xml:space="preserve">= 438,94 · 1,80 · 1,15 · 1,53 · 0,25 · 0,995 </t></si><si><t>Lihtsustusena eeldan, et kõigi tasemete vastavate</t></si><si><t xml:space="preserve"> vantide tuule mõjunurk vandi kõõlu suhtes on sama</t></si><si><t>110kv liinidele mõjuv tuulejõud</t></si><si><t>330kv liinidele mõjuv tuulejõud</t></si><si><t>piksekaitse liinidele mõjuv tuulejõud</t></si><si><r><t>Vandi ristlõikeks eeldan terastrossi Ø20,1mm. (19kiudu, A=241mm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>)(certex.ee)</t></r></si><si><t>Eeldan kogu vandi pikkusel maksimaalset tuulekoormust.</t></si><si><t>Vantidele mõjuv tuulejõud (3.taseme vant)</t></si><si><t>vandi kinnituskõrgus</t></si><si><t>vandi läbimõõt</t></si><si><t xml:space="preserve">= 0,0201 · 40,59 </t></si><si><r><t>Jõuteguri C</t></r><r><rPr><vertAlign val="subscript"/><sz val="11"/><color theme="1"/><rFont val="Calibri"/><family val="2"/><charset val="186"/><scheme val="minor"/></rPr><t>vant</t></r><r><rPr><sz val="11"/><color theme="1"/><rFont val="Calibri"/><family val="2"/><charset val="186"/><scheme val="minor"/></rPr><t xml:space="preserve"> leidmine</t></r></si><si><t>Vastavalt Tabelile B.2.1 (EVS-EN 1993-3-1:2006)</t></si><si><r><t>C</t></r><r><rPr><vertAlign val="subscript"/><sz val="11"/><color theme="1"/><rFont val="Calibri"/><family val="2"/><charset val="186"/><scheme val="minor"/></rPr><t>vant</t></r><r><rPr><sz val="11"/><color theme="1"/><rFont val="Calibri"/><family val="2"/><charset val="186"/><scheme val="minor"/></rPr><t xml:space="preserve"> =</t></r></si><si><t>Suunategur vantidele A</t></si><si><t>Suunategur vantidele B</t></si><si><t>A.vantidele mõjuv tuulejõu joonkoormus</t></si><si><t>B.vantidele mõjuv tuulejõu joonkoormus</t></si><si><t xml:space="preserve">= 422,09 · 1,81 · 1,15 · 1,20 · 0,0201 · 0,430 </t></si><si><t xml:space="preserve">= 422,09 · 1,81 · 1,15 · 1,20 · 0,0201 · 0,570 </t></si><si><r><t>k</t></r><r><rPr><vertAlign val="subscript"/><sz val="11"/><color theme="1"/><rFont val="Calibri"/><family val="2"/><charset val="186"/><scheme val="minor"/></rPr><t>φ,A</t></r><r><rPr><sz val="11"/><color theme="1"/><rFont val="Calibri"/><family val="2"/><charset val="186"/><scheme val="minor"/></rPr><t xml:space="preserve"> =</t></r></si><si><r><t>k</t></r><r><rPr><vertAlign val="subscript"/><sz val="11"/><color theme="1"/><rFont val="Calibri"/><family val="2"/><charset val="186"/><scheme val="minor"/></rPr><t>φ,B</t></r><r><rPr><sz val="11"/><color theme="1"/><rFont val="Calibri"/><family val="2"/><charset val="186"/><scheme val="minor"/></rPr><t xml:space="preserve"> =</t></r></si><si><t>vandi pikkus (mõõdetud mudelist)</t></si><si><r><t>Q</t></r><r><rPr><vertAlign val="subscript"/><sz val="11"/><color theme="1"/><rFont val="Calibri"/><family val="2"/><charset val="186"/><scheme val="minor"/></rPr><t>W,A-vant</t></r><r><rPr><sz val="11"/><color theme="1"/><rFont val="Calibri"/><family val="2"/><charset val="186"/><scheme val="minor"/></rPr><t xml:space="preserve"> =</t></r></si><si><r><t>Q</t></r><r><rPr><vertAlign val="subscript"/><sz val="11"/><color theme="1"/><rFont val="Calibri"/><family val="2"/><charset val="186"/><scheme val="minor"/></rPr><t>W,B-vant</t></r><r><rPr><sz val="11"/><color theme="1"/><rFont val="Calibri"/><family val="2"/><charset val="186"/><scheme val="minor"/></rPr><t xml:space="preserve"> =</t></r></si><si><r><t>Q</t></r><r><rPr><vertAlign val="subscript"/><sz val="11"/><color theme="1"/><rFont val="Calibri"/><family val="2"/><charset val="186"/><scheme val="minor"/></rPr><t>W,A-vant,x</t></r><r><rPr><sz val="11"/><color theme="1"/><rFont val="Calibri"/><family val="2"/><charset val="186"/><scheme val="minor"/></rPr><t xml:space="preserve"> =</t></r></si><si><r><t>Q</t></r><r><rPr><vertAlign val="subscript"/><sz val="11"/><color theme="1"/><rFont val="Calibri"/><family val="2"/><charset val="186"/><scheme val="minor"/></rPr><t>W,A-vant,y</t></r><r><rPr><sz val="11"/><color theme="1"/><rFont val="Calibri"/><family val="2"/><charset val="186"/><scheme val="minor"/></rPr><t xml:space="preserve"> =</t></r></si><si><r><t>Q</t></r><r><rPr><vertAlign val="subscript"/><sz val="11"/><color theme="1"/><rFont val="Calibri"/><family val="2"/><charset val="186"/><scheme val="minor"/></rPr><t>W,A-vant,x</t></r><r><rPr><sz val="11"/><color theme="1"/><rFont val="Calibri"/><family val="2"/><charset val="186"/><scheme val="minor"/></rPr><t xml:space="preserve"> </t></r></si><si><r><t>Q</t></r><r><rPr><vertAlign val="subscript"/><sz val="11"/><color theme="1"/><rFont val="Calibri"/><family val="2"/><charset val="186"/><scheme val="minor"/></rPr><t>W,B-vant,x</t></r><r><rPr><sz val="11"/><color theme="1"/><rFont val="Calibri"/><family val="2"/><charset val="186"/><scheme val="minor"/></rPr><t xml:space="preserve"> =</t></r></si><si><r><t>Q</t></r><r><rPr><vertAlign val="subscript"/><sz val="11"/><color theme="1"/><rFont val="Calibri"/><family val="2"/><charset val="186"/><scheme val="minor"/></rPr><t>W,B-vant,y</t></r><r><rPr><sz val="11"/><color theme="1"/><rFont val="Calibri"/><family val="2"/><charset val="186"/><scheme val="minor"/></rPr><t xml:space="preserve"> =</t></r></si><si><r><t>Q</t></r><r><rPr><vertAlign val="subscript"/><sz val="11"/><color theme="1"/><rFont val="Calibri"/><family val="2"/><charset val="186"/><scheme val="minor"/></rPr><t>W,B-vant,x</t></r><r><rPr><sz val="11"/><color theme="1"/><rFont val="Calibri"/><family val="2"/><charset val="186"/><scheme val="minor"/></rPr><t xml:space="preserve"> </t></r></si><si><t xml:space="preserve">= 0,0201 · 26,25 / 0,000015 </t></si><si><t>Henri failist:</t></si><si><r><t>Q</t></r><r><rPr><vertAlign val="subscript"/><sz val="11"/><color theme="1"/><rFont val="Calibri"/><family val="2"/><charset val="186"/><scheme val="minor"/></rPr><t>W,110faas</t></r><r><rPr><sz val="11"/><color theme="1"/><rFont val="Calibri"/><family val="2"/><charset val="186"/><scheme val="minor"/></rPr><t xml:space="preserve"> =</t></r></si><si><t>Suunategur 1.liinidele</t></si><si><r><t>k</t></r><r><rPr><vertAlign val="subscript"/><sz val="11"/><color theme="1"/><rFont val="Calibri"/><family val="2"/><charset val="186"/><scheme val="minor"/></rPr><t>Φ,1liin</t></r><r><rPr><sz val="11"/><color theme="1"/><rFont val="Calibri"/><family val="2"/><charset val="186"/><scheme val="minor"/></rPr><t xml:space="preserve"> =</t></r></si><si><t>Tuulekoormus 1. liinidele</t></si><si><r><t>Q</t></r><r><rPr><vertAlign val="subscript"/><sz val="11"/><color theme="1"/><rFont val="Calibri"/><family val="2"/><charset val="186"/><scheme val="minor"/></rPr><t>W,110faas,1liin</t></r><r><rPr><sz val="11"/><color theme="1"/><rFont val="Calibri"/><family val="2"/><charset val="186"/><scheme val="minor"/></rPr><t xml:space="preserve"> =</t></r></si><si><t>Suunategur 2.liinidele</t></si><si><t>Tuulekoormus 2. liinidele</t></si><si><r><t>Q</t></r><r><rPr><vertAlign val="subscript"/><sz val="11"/><color theme="1"/><rFont val="Calibri"/><family val="2"/><charset val="186"/><scheme val="minor"/></rPr><t>W,110faas,2liin</t></r><r><rPr><sz val="11"/><color theme="1"/><rFont val="Calibri"/><family val="2"/><charset val="186"/><scheme val="minor"/></rPr><t xml:space="preserve"> =</t></r></si><si><t>Henri failist: ühele faasile mõjuv tuulejõud (3xlõhisfaas)</t></si><si><t>Henri failist: ühele faasile mõjuv tuulejõud (2xlõhisfaas)</t></si><si><t>Tuulekoormus 1. liinidele (liiniga risti)</t></si><si><t>Tuulekoormus 2. liinidele (liiniga risti)</t></si><si><r><t>Q</t></r><r><rPr><vertAlign val="subscript"/><sz val="11"/><color theme="1"/><rFont val="Calibri"/><family val="2"/><charset val="186"/><scheme val="minor"/></rPr><t>x</t></r><r><rPr><sz val="11"/><color theme="1"/><rFont val="Calibri"/><family val="2"/><charset val="186"/><scheme val="minor"/></rPr><t xml:space="preserve"> =</t></r></si><si><r><t>Q</t></r><r><rPr><vertAlign val="subscript"/><sz val="11"/><color theme="1"/><rFont val="Calibri"/><family val="2"/><charset val="186"/><scheme val="minor"/></rPr><t>y</t></r><r><rPr><sz val="11"/><color theme="1"/><rFont val="Calibri"/><family val="2"/><charset val="186"/><scheme val="minor"/></rPr><t xml:space="preserve"> =</t></r></si><si><r><t>Q</t></r><r><rPr><vertAlign val="subscript"/><sz val="11"/><color theme="1"/><rFont val="Calibri"/><family val="2"/><charset val="186"/><scheme val="minor"/></rPr><t>W,330faas,1liin</t></r><r><rPr><sz val="11"/><color theme="1"/><rFont val="Calibri"/><family val="2"/><charset val="186"/><scheme val="minor"/></rPr><t xml:space="preserve"> =</t></r></si><si><r><t>Q</t></r><r><rPr><vertAlign val="subscript"/><sz val="11"/><color theme="1"/><rFont val="Calibri"/><family val="2"/><charset val="186"/><scheme val="minor"/></rPr><t>W,330faas,2liin</t></r><r><rPr><sz val="11"/><color theme="1"/><rFont val="Calibri"/><family val="2"/><charset val="186"/><scheme val="minor"/></rPr><t xml:space="preserve"> =</t></r></si><si><t>jõu komponendid globaalses teljestikus</t></si><si><t>110kv isolaatorkettidele mõjuv tuulejõud</t></si><si><r><t>Q</t></r><r><rPr><vertAlign val="subscript"/><sz val="11"/><color theme="1"/><rFont val="Calibri"/><family val="2"/><charset val="186"/><scheme val="minor"/></rPr><t>Wins110</t></r><r><rPr><sz val="11"/><color theme="1"/><rFont val="Calibri"/><family val="2"/><charset val="186"/><scheme val="minor"/></rPr><t xml:space="preserve"> =</t></r></si><si><t>330kv isolaatorkettidele mõjuv tuulejõud</t></si><si><r><t>Q</t></r><r><rPr><vertAlign val="subscript"/><sz val="11"/><color theme="1"/><rFont val="Calibri"/><family val="2"/><charset val="186"/><scheme val="minor"/></rPr><t>Wins330</t></r><r><rPr><sz val="11"/><color theme="1"/><rFont val="Calibri"/><family val="2"/><charset val="186"/><scheme val="minor"/></rPr><t xml:space="preserve"> =</t></r></si><si><t>Lisaks masti omakaalule tuleb arvestada ka isolaatorite omakaalu.</t></si><si><t>110kV faasi isolaatorkett</t></si><si><t>330kV faasi isolaatorkett</t></si><si><t>ühe taldriku kaal</t></si><si><r><t>m</t></r><r><rPr><vertAlign val="subscript"/><sz val="9"/><color theme="1"/><rFont val="Verdana"/><family val="2"/><charset val="186"/></rPr><t>110,1</t></r><r><rPr><sz val="9"/><color theme="1"/><rFont val="Verdana"/><family val="2"/><charset val="186"/></rPr><t xml:space="preserve"> =</t></r></si><si><r><t>m</t></r><r><rPr><vertAlign val="subscript"/><sz val="9"/><color theme="1"/><rFont val="Verdana"/><family val="2"/><charset val="186"/></rPr><t>110,kett</t></r><r><rPr><sz val="9"/><color theme="1"/><rFont val="Verdana"/><family val="2"/><charset val="186"/></rPr><t xml:space="preserve"> =</t></r></si><si><r><t>Q</t></r><r><rPr><vertAlign val="subscript"/><sz val="9"/><color theme="1"/><rFont val="Verdana"/><family val="2"/><charset val="186"/></rPr><t>110,kett</t></r><r><rPr><sz val="9"/><color theme="1"/><rFont val="Verdana"/><family val="2"/><charset val="186"/></rPr><t xml:space="preserve"> =</t></r></si><si><t>kg</t></si><si><r><t>m</t></r><r><rPr><vertAlign val="subscript"/><sz val="9"/><color theme="1"/><rFont val="Verdana"/><family val="2"/><charset val="186"/></rPr><t>330,1</t></r><r><rPr><sz val="9"/><color theme="1"/><rFont val="Verdana"/><family val="2"/><charset val="186"/></rPr><t xml:space="preserve"> =</t></r></si><si><r><t>m</t></r><r><rPr><vertAlign val="subscript"/><sz val="9"/><color theme="1"/><rFont val="Verdana"/><family val="2"/><charset val="186"/></rPr><t>330,kett</t></r><r><rPr><sz val="9"/><color theme="1"/><rFont val="Verdana"/><family val="2"/><charset val="186"/></rPr><t xml:space="preserve"> =</t></r></si><si><r><t>Q</t></r><r><rPr><vertAlign val="subscript"/><sz val="9"/><color theme="1"/><rFont val="Verdana"/><family val="2"/><charset val="186"/></rPr><t>330,kett</t></r><r><rPr><sz val="9"/><color theme="1"/><rFont val="Verdana"/><family val="2"/><charset val="186"/></rPr><t xml:space="preserve"> =</t></r></si><si><t>Lisan need mudelisse punktkoormustena</t></si><si><r><t>h</t></r><r><rPr><sz val="11"/><color theme="1"/><rFont val="Calibri"/><family val="2"/><charset val="186"/><scheme val="minor"/></rPr><t xml:space="preserve"> =</t></r></si><si><r><t>D</t></r><r><rPr><sz val="11"/><color theme="1"/><rFont val="Calibri"/><family val="2"/><charset val="186"/><scheme val="minor"/></rPr><t xml:space="preserve"> =</t></r></si><si><t>v =</t></si><si><t>b =</t></si><si><t>z =</t></si><si><r><t>λ</t></r><r><rPr><sz val="11"/><color theme="1"/><rFont val="Calibri"/><family val="2"/><charset val="186"/><scheme val="minor"/></rPr><t xml:space="preserve"> =</t></r></si><si><r><t>φ</t></r><r><rPr><sz val="11"/><color theme="1"/><rFont val="Calibri"/><family val="2"/><charset val="186"/><scheme val="minor"/></rPr><t xml:space="preserve"> =</t></r></si><si><r><t>L</t></r><r><rPr><sz val="11"/><color theme="1"/><rFont val="Calibri"/><family val="2"/><charset val="186"/><scheme val="minor"/></rPr><t xml:space="preserve"> =</t></r></si><si><r><t>= k</t></r><r><rPr><vertAlign val="subscript"/><sz val="11"/><color theme="1"/><rFont val="Calibri"/><family val="2"/><charset val="186"/><scheme val="minor"/></rPr><t>T</t></r><r><rPr><sz val="11"/><color theme="1"/><rFont val="Calibri"/><family val="2"/><charset val="186"/><scheme val="minor"/></rPr><t xml:space="preserve"> · ln(h / z</t></r><r><rPr><vertAlign val="subscript"/><sz val="11"/><color theme="1"/><rFont val="Calibri"/><family val="2"/><charset val="186"/><scheme val="minor"/></rPr><t>0</t></r><r><rPr><sz val="11"/><color theme="1"/><rFont val="Calibri"/><family val="2"/><charset val="186"/><scheme val="minor"/></rPr><t>) · V</t></r><r><rPr><vertAlign val="subscript"/><sz val="11"/><color theme="1"/><rFont val="Calibri"/><family val="2"/><charset val="186"/><scheme val="minor"/></rPr><t>R</t></r><r><rPr><sz val="11"/><color theme="1"/><rFont val="Calibri"/><family val="2"/><charset val="186"/><scheme val="minor"/></rPr><t xml:space="preserve"> </t></r></si><si><r><t>= 1 / 2 · ρ · V</t></r><r><rPr><vertAlign val="subscript"/><sz val="11"/><color theme="1"/><rFont val="Calibri"/><family val="2"/><charset val="186"/><scheme val="minor"/></rPr><t>h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</si><si>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1 / 2 · 1,225 · 26,25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</si><si>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(1 + 2.28 / ln[h / z</t></r><r><rPr><vertAlign val="subscript"/><sz val="11"/><color theme="1"/><rFont val="Calibri"/><family val="2"/><charset val="186"/><scheme val="minor"/></rPr><t>0</t></r><r><rPr><sz val="11"/><color theme="1"/><rFont val="Calibri"/><family val="2"/><charset val="186"/><scheme val="minor"/></rPr><t>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</si><si>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(1+2.28 / ln[36 / 0,05])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</si><si>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1.2 + (0.18 · log[10 · k / b]) / (1 + 0.4 · log[Re / 10</t></r><r><rPr><vertAlign val="superscript"/><sz val="11"/><color theme="1"/><rFont val="Calibri"/><family val="2"/><charset val="186"/><scheme val="minor"/></rPr><t>6</t></r><r><rPr><sz val="11"/><color theme="1"/><rFont val="Calibri"/><family val="2"/><charset val="186"/><scheme val="minor"/></rPr><t xml:space="preserve">]) </t></r></si><si><r><t>= 1.2+(0.18 · log[10 · 6,18E-04]) / (1+0.4 · log[5,67E+05 / 10</t></r><r><rPr><vertAlign val="superscript"/><sz val="11"/><color theme="1"/><rFont val="Calibri"/><family val="2"/><charset val="186"/><scheme val="minor"/></rPr><t>6</t></r><r><rPr><sz val="11"/><color theme="1"/><rFont val="Calibri"/><family val="2"/><charset val="186"/><scheme val="minor"/></rPr><t xml:space="preserve">])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</si><si>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post</t></r><r><rPr><sz val="11"/><color theme="1"/><rFont val="Calibri"/><family val="2"/><charset val="186"/><scheme val="minor"/></rPr><t xml:space="preserve"> · D </t></r></si><si><r><t>= k</t></r><r><rPr><vertAlign val="subscript"/><sz val="11"/><color theme="1"/><rFont val="Calibri"/><family val="2"/><charset val="186"/><scheme val="minor"/></rPr><t>T</t></r><r><rPr><sz val="11"/><color theme="1"/><rFont val="Calibri"/><family val="2"/><charset val="186"/><scheme val="minor"/></rPr><t xml:space="preserve"> · ln(z / z</t></r><r><rPr><vertAlign val="subscript"/><sz val="11"/><color theme="1"/><rFont val="Calibri"/><family val="2"/><charset val="186"/><scheme val="minor"/></rPr><t>0</t></r><r><rPr><sz val="11"/><color theme="1"/><rFont val="Calibri"/><family val="2"/><charset val="186"/><scheme val="minor"/></rPr><t>) · V</t></r><r><rPr><vertAlign val="subscript"/><sz val="11"/><color theme="1"/><rFont val="Calibri"/><family val="2"/><charset val="186"/><scheme val="minor"/></rPr><t>R</t></r><r><rPr><sz val="11"/><color theme="1"/><rFont val="Calibri"/><family val="2"/><charset val="186"/><scheme val="minor"/></rPr><t xml:space="preserve"> </t></r></si><si><r><t>= 1 / 2 · 1,225 · 22,48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</si><si>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(1 + 2.28 / ln[z / z</t></r><r><rPr><vertAlign val="subscript"/><sz val="11"/><color theme="1"/><rFont val="Calibri"/><family val="2"/><charset val="186"/><scheme val="minor"/></rPr><t>0</t></r><r><rPr><sz val="11"/><color theme="1"/><rFont val="Calibri"/><family val="2"/><charset val="186"/><scheme val="minor"/></rPr><t>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</si><si>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(1+2.28 / ln[14 / 0,05])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</si><si>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b · V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/ v </t></r></si><si><r><t>= 1.2+(0.18 · log[10 · 7,33E+02]) / (1+0.4 · log[4,09E+05 / 10</t></r><r><rPr><vertAlign val="superscript"/><sz val="11"/><color theme="1"/><rFont val="Calibri"/><family val="2"/><charset val="186"/><scheme val="minor"/></rPr><t>6</t></r><r><rPr><sz val="11"/><color theme="1"/><rFont val="Calibri"/><family val="2"/><charset val="186"/><scheme val="minor"/></rPr><t xml:space="preserve">]) </t></r></si><si><r><t>= cos(radians[45])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</si><si>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JT</t></r><r><rPr><sz val="11"/><color theme="1"/><rFont val="Calibri"/><family val="2"/><charset val="186"/><scheme val="minor"/></rPr><t xml:space="preserve"> · D · k</t></r><r><rPr><vertAlign val="subscript"/><sz val="11"/><color theme="1"/><rFont val="Calibri"/><family val="2"/><charset val="186"/><scheme val="minor"/></rPr><t>φ</t></r><r><rPr><sz val="11"/><color theme="1"/><rFont val="Calibri"/><family val="2"/><charset val="186"/><scheme val="minor"/></rPr><t xml:space="preserve"> </t></r></si><si><t xml:space="preserve">= 309,60 · 1,97 · 1,15 · 2,02 · 0,273 · 0,5 </t></si><si><r><t>= 1 / 2 · 1,225 · 25,25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</si><si>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(1+2.28 / ln[28 / 0,05])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</si><si>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C</t></r><r><rPr><vertAlign val="subscript"/><sz val="11"/><color theme="1"/><rFont val="Calibri"/><family val="2"/><charset val="186"/><scheme val="minor"/></rPr><t>tr110,0</t></r><r><rPr><sz val="11"/><color theme="1"/><rFont val="Calibri"/><family val="2"/><charset val="186"/><scheme val="minor"/></rPr><t xml:space="preserve"> · Ψ</t></r><r><rPr><vertAlign val="subscript"/><sz val="11"/><color theme="1"/><rFont val="Calibri"/><family val="2"/><charset val="186"/><scheme val="minor"/></rPr><t>λ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</si><si>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tr110</t></r><r><rPr><sz val="11"/><color theme="1"/><rFont val="Calibri"/><family val="2"/><charset val="186"/><scheme val="minor"/></rPr><t xml:space="preserve"> · h · k</t></r><r><rPr><vertAlign val="subscript"/><sz val="11"/><color theme="1"/><rFont val="Calibri"/><family val="2"/><charset val="186"/><scheme val="minor"/></rPr><t>φ</t></r><r><rPr><sz val="11"/><color theme="1"/><rFont val="Calibri"/><family val="2"/><charset val="186"/><scheme val="minor"/></rPr><t xml:space="preserve"> </t></r></si><si><t xml:space="preserve">= 390,46 · 1,85 · 1,15 · 1,84 · 0,22 · 0,5 </t></si><si><r><t>= C</t></r><r><rPr><vertAlign val="subscript"/><sz val="11"/><color theme="1"/><rFont val="Calibri"/><family val="2"/><charset val="186"/><scheme val="minor"/></rPr><t>tr330,0</t></r><r><rPr><sz val="11"/><color theme="1"/><rFont val="Calibri"/><family val="2"/><charset val="186"/><scheme val="minor"/></rPr><t xml:space="preserve"> · Ψ</t></r><r><rPr><vertAlign val="subscript"/><sz val="11"/><color theme="1"/><rFont val="Calibri"/><family val="2"/><charset val="186"/><scheme val="minor"/></rPr><t>λ</t></r><r><rPr><sz val="11"/><color theme="1"/><rFont val="Calibri"/><family val="2"/><charset val="186"/><scheme val="minor"/></rPr><t xml:space="preserve"> · Ψ</t></r><r><rPr><vertAlign val="subscript"/><sz val="11"/><color theme="1"/><rFont val="Calibri"/><family val="2"/><charset val="186"/><scheme val="minor"/></rPr><t>r</t></r><r><rPr><sz val="11"/><color theme="1"/><rFont val="Calibri"/><family val="2"/><charset val="186"/><scheme val="minor"/></rPr><t xml:space="preserve"> </t></r></si><si><r><t>= C</t></r><r><rPr><vertAlign val="subscript"/><sz val="11"/><color theme="1"/><rFont val="Calibri"/><family val="2"/><charset val="186"/><scheme val="minor"/></rPr><t>tr330,0</t></r><r><rPr><sz val="11"/><color theme="1"/><rFont val="Calibri"/><family val="2"/><charset val="186"/><scheme val="minor"/></rPr><t xml:space="preserve"> · Ψ</t></r><r><rPr><vertAlign val="subscript"/><sz val="11"/><color theme="1"/><rFont val="Calibri"/><family val="2"/><charset val="186"/><scheme val="minor"/></rPr><t>λ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</si><si>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tr330,1</t></r><r><rPr><sz val="11"/><color theme="1"/><rFont val="Calibri"/><family val="2"/><charset val="186"/><scheme val="minor"/></rPr><t xml:space="preserve"> · h · k</t></r><r><rPr><vertAlign val="subscript"/><sz val="11"/><color theme="1"/><rFont val="Calibri"/><family val="2"/><charset val="186"/><scheme val="minor"/></rPr><t>φ1</t></r><r><rPr><sz val="11"/><color theme="1"/><rFont val="Calibri"/><family val="2"/><charset val="186"/><scheme val="minor"/></rPr><t xml:space="preserve"> </t></r></si><si><t xml:space="preserve">= 422,09 · 1,81 · 1,15 · 1,62 · 0,25 · 0,5 </t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</si><si>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tr330,2</t></r><r><rPr><sz val="11"/><color theme="1"/><rFont val="Calibri"/><family val="2"/><charset val="186"/><scheme val="minor"/></rPr><t xml:space="preserve"> · b · h · k</t></r><r><rPr><vertAlign val="subscript"/><sz val="11"/><color theme="1"/><rFont val="Calibri"/><family val="2"/><charset val="186"/><scheme val="minor"/></rPr><t>φ2</t></r><r><rPr><sz val="11"/><color theme="1"/><rFont val="Calibri"/><family val="2"/><charset val="186"/><scheme val="minor"/></rPr><t xml:space="preserve"> </t></r></si><si><t xml:space="preserve">= 422,09 · 1,81 · 1,15 · 1,84 · 0,25 · 0,25 · 0,5 </t></si><si><r><t>= 1 / 2 · 1,225 · 26,77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</si><si>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(1+2.28 / ln[41 / 0,05])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</si><si>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C</t></r><r><rPr><vertAlign val="subscript"/><sz val="11"/><color theme="1"/><rFont val="Calibri"/><family val="2"/><charset val="186"/><scheme val="minor"/></rPr><t>PK,0</t></r><r><rPr><sz val="11"/><color theme="1"/><rFont val="Calibri"/><family val="2"/><charset val="186"/><scheme val="minor"/></rPr><t xml:space="preserve"> · Ψ</t></r><r><rPr><vertAlign val="subscript"/><sz val="11"/><color theme="1"/><rFont val="Calibri"/><family val="2"/><charset val="186"/><scheme val="minor"/></rPr><t>λ</t></r><r><rPr><sz val="11"/><color theme="1"/><rFont val="Calibri"/><family val="2"/><charset val="186"/><scheme val="minor"/></rPr><t xml:space="preserve"> · Ψ</t></r><r><rPr><vertAlign val="subscript"/><sz val="11"/><color theme="1"/><rFont val="Calibri"/><family val="2"/><charset val="186"/><scheme val="minor"/></rPr><t>r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</si><si>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PK,1</t></r><r><rPr><sz val="11"/><color theme="1"/><rFont val="Calibri"/><family val="2"/><charset val="186"/><scheme val="minor"/></rPr><t xml:space="preserve"> · b · k</t></r><r><rPr><vertAlign val="subscript"/><sz val="11"/><color theme="1"/><rFont val="Calibri"/><family val="2"/><charset val="186"/><scheme val="minor"/></rPr><t>φ1</t></r><r><rPr><sz val="11"/><color theme="1"/><rFont val="Calibri"/><family val="2"/><charset val="186"/><scheme val="minor"/></rPr><t xml:space="preserve"> </t></r></si><si><t xml:space="preserve">= 438,94 · 1,80 · 1,15 · 1,53 · 0,15 · 0,5 </t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</si><si>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PK,2</t></r><r><rPr><sz val="11"/><color theme="1"/><rFont val="Calibri"/><family val="2"/><charset val="186"/><scheme val="minor"/></rPr><t xml:space="preserve"> · h · k</t></r><r><rPr><vertAlign val="subscript"/><sz val="11"/><color theme="1"/><rFont val="Calibri"/><family val="2"/><charset val="186"/><scheme val="minor"/></rPr><t>φ2</t></r><r><rPr><sz val="11"/><color theme="1"/><rFont val="Calibri"/><family val="2"/><charset val="186"/><scheme val="minor"/></rPr><t xml:space="preserve"> </t></r></si><si><t xml:space="preserve">= 438,94 · 1,80 · 1,15 · 1,53 · 0,25 · 0,5 </t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</si><si>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vant</t></r><r><rPr><sz val="11"/><color theme="1"/><rFont val="Calibri"/><family val="2"/><charset val="186"/><scheme val="minor"/></rPr><t xml:space="preserve"> · D · k</t></r><r><rPr><vertAlign val="subscript"/><sz val="11"/><color theme="1"/><rFont val="Calibri"/><family val="2"/><charset val="186"/><scheme val="minor"/></rPr><t>φ,A</t></r><r><rPr><sz val="11"/><color theme="1"/><rFont val="Calibri"/><family val="2"/><charset val="186"/><scheme val="minor"/></rPr><t xml:space="preserve"> </t></r></si><si><r><t>= cos(radians[45]) · Q</t></r><r><rPr><vertAlign val="subscript"/><sz val="11"/><color theme="1"/><rFont val="Calibri"/><family val="2"/><charset val="186"/><scheme val="minor"/></rPr><t>W,A</t></r><r><rPr><sz val="11"/><color theme="1"/><rFont val="Calibri"/><family val="2"/><charset val="186"/><scheme val="minor"/></rPr><t xml:space="preserve"> - </t></r><r><rPr><vertAlign val="subscript"/><sz val="11"/><color theme="1"/><rFont val="Calibri"/><family val="2"/><charset val="186"/><scheme val="minor"/></rPr><t>vant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</si><si>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vant</t></r><r><rPr><sz val="11"/><color theme="1"/><rFont val="Calibri"/><family val="2"/><charset val="186"/><scheme val="minor"/></rPr><t xml:space="preserve"> · D · k</t></r><r><rPr><vertAlign val="subscript"/><sz val="11"/><color theme="1"/><rFont val="Calibri"/><family val="2"/><charset val="186"/><scheme val="minor"/></rPr><t>φ,B</t></r><r><rPr><sz val="11"/><color theme="1"/><rFont val="Calibri"/><family val="2"/><charset val="186"/><scheme val="minor"/></rPr><t xml:space="preserve"> </t></r></si><si><r><t>= cos(radians[45]) · Q</t></r><r><rPr><vertAlign val="subscript"/><sz val="11"/><color theme="1"/><rFont val="Calibri"/><family val="2"/><charset val="186"/><scheme val="minor"/></rPr><t>W,B</t></r><r><rPr><sz val="11"/><color theme="1"/><rFont val="Calibri"/><family val="2"/><charset val="186"/><scheme val="minor"/></rPr><t xml:space="preserve"> - </t></r><r><rPr><vertAlign val="subscript"/><sz val="11"/><color theme="1"/><rFont val="Calibri"/><family val="2"/><charset val="186"/><scheme val="minor"/></rPr><t>vant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</si><si>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W,110faas</t></r><r><rPr><sz val="11"/><color theme="1"/><rFont val="Calibri"/><family val="2"/><charset val="186"/><scheme val="minor"/></rPr><t xml:space="preserve"> · k</t></r><r><rPr><vertAlign val="subscript"/><sz val="11"/><color theme="1"/><rFont val="Calibri"/><family val="2"/><charset val="186"/><scheme val="minor"/></rPr><t>Φ,1liin</t></r><r><rPr><sz val="11"/><color theme="1"/><rFont val="Calibri"/><family val="2"/><charset val="186"/><scheme val="minor"/></rPr><t xml:space="preserve"> </t></r></si><si><r><t>= cos(radians[4]) · Q</t></r><r><rPr><vertAlign val="subscript"/><sz val="11"/><color theme="1"/><rFont val="Calibri"/><family val="2"/><charset val="186"/><scheme val="minor"/></rPr><t>W,110faas,1liin</t></r><r><rPr><sz val="11"/><color theme="1"/><rFont val="Calibri"/><family val="2"/><charset val="186"/><scheme val="minor"/></rPr><t xml:space="preserve"> </t></r></si><si><r><t>= sin(radians[4]) · Q</t></r><r><rPr><vertAlign val="subscript"/><sz val="11"/><color theme="1"/><rFont val="Calibri"/><family val="2"/><charset val="186"/><scheme val="minor"/></rPr><t>W,110faas,1liin</t></r><r><rPr><sz val="11"/><color theme="1"/><rFont val="Calibri"/><family val="2"/><charset val="186"/><scheme val="minor"/></rPr><t xml:space="preserve"> </t></r></si><si><r><t>= cos(radians[4]) · Q</t></r><r><rPr><vertAlign val="subscript"/><sz val="11"/><color theme="1"/><rFont val="Calibri"/><family val="2"/><charset val="186"/><scheme val="minor"/></rPr><t>W,110faas,2liin</t></r><r><rPr><sz val="11"/><color theme="1"/><rFont val="Calibri"/><family val="2"/><charset val="186"/><scheme val="minor"/></rPr><t xml:space="preserve"> </t></r></si><si><r><t>= sin(radians[4]) · Q</t></r><r><rPr><vertAlign val="subscript"/><sz val="11"/><color theme="1"/><rFont val="Calibri"/><family val="2"/><charset val="186"/><scheme val="minor"/></rPr><t>W,110faas,2liin</t></r><r><rPr><sz val="11"/><color theme="1"/><rFont val="Calibri"/><family val="2"/><charset val="186"/><scheme val="minor"/></rPr><t xml:space="preserve"> </t></r></si><si><r><t>= cos(radians[4]) · Q</t></r><r><rPr><vertAlign val="subscript"/><sz val="11"/><color theme="1"/><rFont val="Calibri"/><family val="2"/><charset val="186"/><scheme val="minor"/></rPr><t>W,330faas,1liin</t></r><r><rPr><sz val="11"/><color theme="1"/><rFont val="Calibri"/><family val="2"/><charset val="186"/><scheme val="minor"/></rPr><t xml:space="preserve"> </t></r></si><si><r><t>= sin(radians[4]) · Q</t></r><r><rPr><vertAlign val="subscript"/><sz val="11"/><color theme="1"/><rFont val="Calibri"/><family val="2"/><charset val="186"/><scheme val="minor"/></rPr><t>W,330faas,1liin</t></r><r><rPr><sz val="11"/><color theme="1"/><rFont val="Calibri"/><family val="2"/><charset val="186"/><scheme val="minor"/></rPr><t xml:space="preserve"> </t></r></si><si><r><t>= cos(radians[4]) · Q</t></r><r><rPr><vertAlign val="subscript"/><sz val="11"/><color theme="1"/><rFont val="Calibri"/><family val="2"/><charset val="186"/><scheme val="minor"/></rPr><t>W,330faas,2liin</t></r><r><rPr><sz val="11"/><color theme="1"/><rFont val="Calibri"/><family val="2"/><charset val="186"/><scheme val="minor"/></rPr><t xml:space="preserve"> </t></r></si><si><r><t>= sin(radians[4]) · Q</t></r><r><rPr><vertAlign val="subscript"/><sz val="11"/><color theme="1"/><rFont val="Calibri"/><family val="2"/><charset val="186"/><scheme val="minor"/></rPr><t>W,330faas,2liin</t></r><r><rPr><sz val="11"/><color theme="1"/><rFont val="Calibri"/><family val="2"/><charset val="186"/><scheme val="minor"/></rPr><t xml:space="preserve"> </t></r></si><si><r><t>= cos(radians[90])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</si><si>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t xml:space="preserve">= 422,09 · 1,81 · 1,15 · 1,20 · 0,0201 · 0,000 </t></si><si><r><t>= cos(radians[0])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</si><si>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t xml:space="preserve">= 422,09 · 1,81 · 1,15 · 1,20 · 0,0201 · 1,000 </t></si><si><t xml:space="preserve">= cos(radians[41]) </t></si><si><t xml:space="preserve">= cos(radians[49]) </t></si><si><r><t>k</t></r><r><rPr><vertAlign val="subscript"/><sz val="11"/><color theme="1"/><rFont val="Calibri"/><family val="2"/><charset val="186"/><scheme val="minor"/></rPr><t>Φ,2liin</t></r><r><rPr><sz val="11"/><color theme="1"/><rFont val="Calibri"/><family val="2"/><charset val="186"/><scheme val="minor"/></rPr><t xml:space="preserve"> =</t></r></si><si><r><t>= Q</t></r><r><rPr><vertAlign val="subscript"/><sz val="11"/><color theme="1"/><rFont val="Calibri"/><family val="2"/><charset val="186"/><scheme val="minor"/></rPr><t>W,110faas</t></r><r><rPr><sz val="11"/><color theme="1"/><rFont val="Calibri"/><family val="2"/><charset val="186"/><scheme val="minor"/></rPr><t xml:space="preserve"> · k</t></r><r><rPr><vertAlign val="subscript"/><sz val="11"/><color theme="1"/><rFont val="Calibri"/><family val="2"/><charset val="186"/><scheme val="minor"/></rPr><t>Φ,2liin</t></r><r><rPr><sz val="11"/><color theme="1"/><rFont val="Calibri"/><family val="2"/><charset val="186"/><scheme val="minor"/></rPr><t xml:space="preserve"> </t></r></si><si><r><t>= cos(radians[45]) · Q</t></r><r><rPr><vertAlign val="subscript"/><sz val="11"/><color theme="1"/><rFont val="Calibri"/><family val="2"/><charset val="186"/><scheme val="minor"/></rPr><t>Wins110</t></r><r><rPr><sz val="11"/><color theme="1"/><rFont val="Calibri"/><family val="2"/><charset val="186"/><scheme val="minor"/></rPr><t xml:space="preserve"> </t></r></si><si><r><t>= sin(radians[45]) · Q</t></r><r><rPr><vertAlign val="subscript"/><sz val="11"/><color theme="1"/><rFont val="Calibri"/><family val="2"/><charset val="186"/><scheme val="minor"/></rPr><t>Wins110</t></r><r><rPr><sz val="11"/><color theme="1"/><rFont val="Calibri"/><family val="2"/><charset val="186"/><scheme val="minor"/></rPr><t xml:space="preserve"> </t></r></si><si><r><t>= cos(radians[45]) · Q</t></r><r><rPr><vertAlign val="subscript"/><sz val="11"/><color theme="1"/><rFont val="Calibri"/><family val="2"/><charset val="186"/><scheme val="minor"/></rPr><t>Wins330</t></r><r><rPr><sz val="11"/><color theme="1"/><rFont val="Calibri"/><family val="2"/><charset val="186"/><scheme val="minor"/></rPr><t xml:space="preserve"> </t></r></si><si><r><t>= sin(radians[45]) · Q</t></r><r><rPr><vertAlign val="subscript"/><sz val="11"/><color theme="1"/><rFont val="Calibri"/><family val="2"/><charset val="186"/><scheme val="minor"/></rPr><t>Wins330</t></r><r><rPr><sz val="11"/><color theme="1"/><rFont val="Calibri"/><family val="2"/><charset val="186"/><scheme val="minor"/></rPr><t xml:space="preserve"> </t></r></si><si><t>330kv faasile mõjuv tuulejõud</t></si><si><t>110kv faasile mõjuv tuulejõud</t></si><si><t xml:space="preserve">= 309,60 · 1,97 · 1,15 · 2,02 · 0,273 · 3,75E-33 </t></si><si><t xml:space="preserve">= 390,46 · 1,85 · 1,15 · 1,84 · 0,22 · 0,0 </t></si><si><t xml:space="preserve">= 422,09 · 1,81 · 1,15 · 1,62 · 0,25 · 0,0 </t></si><si><t xml:space="preserve">= 422,09 · 1,81 · 1,15 · 1,84 · 0,25 · 0,25 · 1,0 </t></si><si><t xml:space="preserve">= 438,94 · 1,80 · 1,15 · 1,53 · 0,15 · 0,0 </t></si><si><t xml:space="preserve">= 438,94 · 1,80 · 1,15 · 1,53 · 0,25 · 1,0 </t></si><si><t xml:space="preserve">= 422,09 · 1,81 · 1,15 · 1,20 · 0,0201 · 0,500 </t></si><si><t xml:space="preserve">= cos(radians[4]) </t></si><si><r><t>= cos(radians[0]) · Q</t></r><r><rPr><vertAlign val="subscript"/><sz val="11"/><color theme="1"/><rFont val="Calibri"/><family val="2"/><charset val="186"/><scheme val="minor"/></rPr><t>Wins110</t></r><r><rPr><sz val="11"/><color theme="1"/><rFont val="Calibri"/><family val="2"/><charset val="186"/><scheme val="minor"/></rPr><t xml:space="preserve"> </t></r></si><si><r><t>= sin(radians[0]) · Q</t></r><r><rPr><vertAlign val="subscript"/><sz val="11"/><color theme="1"/><rFont val="Calibri"/><family val="2"/><charset val="186"/><scheme val="minor"/></rPr><t>Wins110</t></r><r><rPr><sz val="11"/><color theme="1"/><rFont val="Calibri"/><family val="2"/><charset val="186"/><scheme val="minor"/></rPr><t xml:space="preserve"> </t></r></si><si><r><t>= cos(radians[0]) · Q</t></r><r><rPr><vertAlign val="subscript"/><sz val="11"/><color theme="1"/><rFont val="Calibri"/><family val="2"/><charset val="186"/><scheme val="minor"/></rPr><t>Wins330</t></r><r><rPr><sz val="11"/><color theme="1"/><rFont val="Calibri"/><family val="2"/><charset val="186"/><scheme val="minor"/></rPr><t xml:space="preserve"> </t></r></si><si><r><t>= sin(radians[0]) · Q</t></r><r><rPr><vertAlign val="subscript"/><sz val="11"/><color theme="1"/><rFont val="Calibri"/><family val="2"/><charset val="186"/><scheme val="minor"/></rPr><t>Wins330</t></r><r><rPr><sz val="11"/><color theme="1"/><rFont val="Calibri"/><family val="2"/><charset val="186"/><scheme val="minor"/></rPr><t xml:space="preserve"> </t></r></si><si><t>Vantidega kandemasti elementidele ja liinidele mõjuv normatiivne tuulekoormus olukorras 1: tuul risti liiniga</t></si><si><t>Vantidega kandemasti elementidele ja liinidele mõjuv normatiivne tuulekoormus olukorras 2: tuul 45°  mastiga</t></si><si><t>Vantidega kandemasti elementidele ja liinidele mõjuv normatiivne tuulekoormus olukorras 3: tuul 90°  mastiga</t></si><si><t>Element</t></si><si><t>post</t></si><si><t>jäikustala</t></si><si><t>110Tr</t></si><si><t>110isol</t></si><si><t>110faas</t></si><si><t>330Tr</t></si><si><t>330isol</t></si><si><t>330faas</t></si><si><t>Vandid</t></si><si><t>X</t></si><si><t>Y</t></si><si><t>x</t></si><si><t>y</t></si><si><t>1.külje liinid</t></si><si><t>2.külje liinid</t></si><si><t>juhtum</t></si><si><t>Tuul 1</t></si><si><t>väärtus</t></si><si><t>ühik</t></si><si><t>Tuul 2</t></si><si><t>Tuul 3</t></si><si><t>Väärtus</t></si><si><t>Tuul 1 kui jää</t></si><si><t>Tuul 2 kui jää</t></si><si><t>Domineeriva jäite korral</t></si><si><t>Domineeriva tuule korral</t></si><si><t>A.vandid</t></si><si><t>B.vandid</t></si><si><t>Piksekaitse liinid</t></si><si><t>Piksekaitse kinnitused</t></si><si><t>Vantidega kandemasti elementidele ja liinidele mõjuv normatiivne jäitekoormus</t></si><si><t>Raami postidele mõjuv jää koormus</t></si><si><t>jäitekihi paksus elementidel.</t></si><si><t>Tagavara kasuks eeldan kogu posti pikkusel ühtlast jäitekoormust.</t></si><si><t>Posti ümbermõõt</t></si><si><t>P =</t></si><si><r><t>=</t></r><r><rPr><sz val="11"/><color theme="1"/><rFont val="Symbol"/><family val="1"/><charset val="2"/></rPr><t xml:space="preserve"> p</t></r><r><rPr><sz val="11"/><color theme="1"/><rFont val="Calibri"/><family val="2"/><charset val="186"/><scheme val="minor"/></rPr><t xml:space="preserve"> · 0,324 </t></r></si><si><t>Jäite pindala</t></si><si><r><t>A</t></r><r><rPr><vertAlign val="subscript"/><sz val="11"/><color theme="1"/><rFont val="Calibri"/><family val="2"/><charset val="186"/><scheme val="minor"/></rPr><t>i,post</t></r><r><rPr><sz val="11"/><color theme="1"/><rFont val="Calibri"/><family val="2"/><charset val="186"/><scheme val="minor"/></rPr><t xml:space="preserve"> =</t></r></si><si><t xml:space="preserve">= 1,02 · 0,01 </t></si><si><r><t>ρ</t></r><r><rPr><vertAlign val="subscript"/><sz val="11"/><color theme="1"/><rFont val="Calibri"/><family val="2"/><charset val="186"/><scheme val="minor"/></rPr><t>i</t></r><r><rPr><sz val="11"/><color theme="1"/><rFont val="Calibri"/><family val="2"/><charset val="186"/><scheme val="minor"/></rPr><t xml:space="preserve"> =</t></r></si><si><t>kg/m³</t></si><si><t>jäite tihedus</t></si><si><t>g =</t></si><si><t>m/s²</t></si><si><t>raskuskiirendus</t></si><si><t>Normjäitekoormus posti pikkusühiku kohta</t></si><si><r><t>I</t></r><r><rPr><vertAlign val="subscript"/><sz val="11"/><color theme="1"/><rFont val="Calibri"/><family val="2"/><charset val="186"/><scheme val="minor"/></rPr><t>k,post</t></r><r><rPr><sz val="11"/><color theme="1"/><rFont val="Calibri"/><family val="2"/><charset val="186"/><scheme val="minor"/></rPr><t xml:space="preserve"> =</t></r></si><si><r><t>=</t></r><r><rPr><sz val="11"/><color theme="1"/><rFont val="Symbol"/><family val="1"/><charset val="2"/></rPr><t xml:space="preserve"> p</t></r><r><rPr><sz val="11"/><color theme="1"/><rFont val="Calibri"/><family val="2"/><charset val="186"/><scheme val="minor"/></rPr><t xml:space="preserve"> · 0,273 </t></r></si><si><t xml:space="preserve">= 0,86 · 0,0102 </t></si><si><t xml:space="preserve">= 0,0087 · 1 · 900 · 9,81 </t></si><si><t xml:space="preserve">= 0,0102 · 1 · 900 · 9,81 </t></si><si><r><t>UPE 220 pindala m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>/m</t></r></si><si><t>http://www.hickmansteels.com/Technical/UPE.pdf</t></si><si><r><t>A</t></r><r><rPr><vertAlign val="subscript"/><sz val="11"/><color theme="1"/><rFont val="Calibri"/><family val="2"/><charset val="186"/><scheme val="minor"/></rPr><t>UPE220</t></r><r><rPr><sz val="11"/><color theme="1"/><rFont val="Calibri"/><family val="2"/><charset val="186"/><scheme val="minor"/></rPr><t xml:space="preserve"> =</t></r></si><si><t>m²/m</t></si><si><t>Normjäitekoormus  traaversi pikkusühiku kohta</t></si><si><r><t>I</t></r><r><rPr><vertAlign val="subscript"/><sz val="11"/><color theme="1"/><rFont val="Calibri"/><family val="2"/><charset val="186"/><scheme val="minor"/></rPr><t>k,tr110</t></r><r><rPr><sz val="11"/><color theme="1"/><rFont val="Calibri"/><family val="2"/><charset val="186"/><scheme val="minor"/></rPr><t xml:space="preserve"> =</t></r></si><si><t xml:space="preserve">= 2 · 0,756 · 0,01 · 900 · 9,81 </t></si><si><t>110kV traaversile mõjuv jäitekoormus</t></si><si><t>330kV traaversile mõjuv jäitekoormus</t></si><si><t>traaversi pindala pikkusühiku kohta</t></si><si><r><t>A</t></r><r><rPr><vertAlign val="subscript"/><sz val="11"/><color theme="1"/><rFont val="Calibri"/><family val="2"/><charset val="186"/><scheme val="minor"/></rPr><t>tr330</t></r><r><rPr><sz val="11"/><color theme="1"/><rFont val="Calibri"/><family val="2"/><charset val="186"/><scheme val="minor"/></rPr><t xml:space="preserve"> =</t></r></si><si><r><t>I</t></r><r><rPr><vertAlign val="subscript"/><sz val="11"/><color theme="1"/><rFont val="Calibri"/><family val="2"/><charset val="186"/><scheme val="minor"/></rPr><t>k,tr330</t></r><r><rPr><sz val="11"/><color theme="1"/><rFont val="Calibri"/><family val="2"/><charset val="186"/><scheme val="minor"/></rPr><t xml:space="preserve"> =</t></r></si><si><t xml:space="preserve">= 1 · 0,01 · 900 · 9,81 </t></si><si><t xml:space="preserve">= 2 · (0,25+0,25) </t></si><si><t xml:space="preserve">= 2 · (0,15+0,25) </t></si><si><t xml:space="preserve">= 0,8 · 0,01 · 900 · 9,81 </t></si><si><t>Piksekaitse kinnitustele mõjuv jäitekoormus</t></si><si><t>Vantidele mõjuv jäitekoormus (3.taseme vant)</t></si><si><t>Jäitekoormuse vandile leian vastavalt 50341-3-20</t></si><si><r><t>k</t></r><r><rPr><vertAlign val="subscript"/><sz val="11"/><color theme="1"/><rFont val="Calibri"/><family val="2"/><charset val="186"/><scheme val="minor"/></rPr><t>I</t></r><r><rPr><sz val="11"/><color theme="1"/><rFont val="Calibri"/><family val="2"/><charset val="186"/><scheme val="minor"/></rPr><t xml:space="preserve"> =</t></r></si><si><r><t>k</t></r><r><rPr><vertAlign val="subscript"/><sz val="11"/><color theme="1"/><rFont val="Calibri"/><family val="2"/><charset val="186"/><scheme val="minor"/></rPr><t>d</t></r><r><rPr><sz val="11"/><color theme="1"/><rFont val="Calibri"/><family val="2"/><charset val="186"/><scheme val="minor"/></rPr><t xml:space="preserve"> =</t></r></si><si><t>Normjäitekoormus vandi pikkusühiku kohta</t></si><si><r><t>I</t></r><r><rPr><vertAlign val="subscript"/><sz val="11"/><color theme="1"/><rFont val="Calibri"/><family val="2"/><charset val="186"/><scheme val="minor"/></rPr><t>k,vant</t></r><r><rPr><sz val="11"/><color theme="1"/><rFont val="Calibri"/><family val="2"/><charset val="186"/><scheme val="minor"/></rPr><t xml:space="preserve"> =</t></r></si><si><r><t>=</t></r><r><rPr><sz val="11"/><color theme="1"/><rFont val="Symbol"/><family val="1"/><charset val="2"/></rPr><t xml:space="preserve"> p</t></r><r><rPr><sz val="11"/><color theme="1"/><rFont val="Calibri"/><family val="2"/><charset val="186"/><scheme val="minor"/></rPr><t xml:space="preserve"> · k</t></r><r><rPr><vertAlign val="subscript"/><sz val="11"/><color theme="1"/><rFont val="Calibri"/><family val="2"/><charset val="186"/><scheme val="minor"/></rPr><t>I</t></r><r><rPr><sz val="11"/><color theme="1"/><rFont val="Calibri"/><family val="2"/><charset val="186"/><scheme val="minor"/></rPr><t xml:space="preserve"> · k</t></r><r><rPr><vertAlign val="subscript"/><sz val="11"/><color theme="1"/><rFont val="Calibri"/><family val="2"/><charset val="186"/><scheme val="minor"/></rPr><t>d</t></r><r><rPr><sz val="11"/><color theme="1"/><rFont val="Calibri"/><family val="2"/><charset val="186"/><scheme val="minor"/></rPr><t xml:space="preserve"> · b · (D + k</t></r><r><rPr><vertAlign val="subscript"/><sz val="11"/><color theme="1"/><rFont val="Calibri"/><family val="2"/><charset val="186"/><scheme val="minor"/></rPr><t>I</t></r><r><rPr><sz val="11"/><color theme="1"/><rFont val="Calibri"/><family val="2"/><charset val="186"/><scheme val="minor"/></rPr><t xml:space="preserve"> · k</t></r><r><rPr><vertAlign val="subscript"/><sz val="11"/><color theme="1"/><rFont val="Calibri"/><family val="2"/><charset val="186"/><scheme val="minor"/></rPr><t>d</t></r><r><rPr><sz val="11"/><color theme="1"/><rFont val="Calibri"/><family val="2"/><charset val="186"/><scheme val="minor"/></rPr><t xml:space="preserve"> · b) · ρ</t></r><r><rPr><vertAlign val="subscript"/><sz val="11"/><color theme="1"/><rFont val="Calibri"/><family val="2"/><charset val="186"/><scheme val="minor"/></rPr><t>i</t></r><r><rPr><sz val="11"/><color theme="1"/><rFont val="Calibri"/><family val="2"/><charset val="186"/><scheme val="minor"/></rPr><t xml:space="preserve"> · g </t></r></si><si><r><t>=</t></r><r><rPr><sz val="11"/><color theme="1"/><rFont val="Symbol"/><family val="1"/><charset val="2"/></rPr><t xml:space="preserve"> p</t></r><r><rPr><sz val="11"/><color theme="1"/><rFont val="Calibri"/><family val="2"/><charset val="186"/><scheme val="minor"/></rPr><t xml:space="preserve"> · 1,4 · 0,9 · 0,01 · (0,0201+1,4 · 0,9 · 0,01) · 900 · 9,81 </t></r></si><si><t>110kv faasile mõjuv jäitekoormus</t></si><si><t>algandmed</t></si><si><t>d =</t></si><si><t>juhtme läbimõõt</t></si><si><r><t>ρ</t></r><r><rPr><vertAlign val="subscript"/><sz val="11"/><color theme="1"/><rFont val="Calibri"/><family val="2"/><charset val="186"/><scheme val="minor"/></rPr><t>1</t></r><r><rPr><sz val="11"/><color theme="1"/><rFont val="Calibri"/><family val="2"/><charset val="186"/><scheme val="minor"/></rPr><t xml:space="preserve"> =</t></r></si><si><t>kg/m3</t></si><si><t>π =</t></si><si><t>Tuul kombinatsioonis jäitega</t></si><si><t>domineeriva jäitekoormuse korral</t></si><si><t>domineeriva tuulekoormuse korral</t></si><si><r><t>I</t></r><r><rPr><vertAlign val="subscript"/><sz val="11"/><color theme="1"/><rFont val="Calibri"/><family val="2"/><charset val="186"/><scheme val="minor"/></rPr><t>1,1</t></r><r><rPr><sz val="11"/><color theme="1"/><rFont val="Calibri"/><family val="2"/><charset val="186"/><scheme val="minor"/></rPr><t xml:space="preserve"> =</t></r></si><si><r><t>I</t></r><r><rPr><vertAlign val="subscript"/><sz val="11"/><color theme="1"/><rFont val="Calibri"/><family val="2"/><charset val="186"/><scheme val="minor"/></rPr><t>1,2</t></r><r><rPr><sz val="11"/><color theme="1"/><rFont val="Calibri"/><family val="2"/><charset val="186"/><scheme val="minor"/></rPr><t xml:space="preserve"> =</t></r></si><si><r><t>D</t></r><r><rPr><vertAlign val="subscript"/><sz val="11"/><color theme="1"/><rFont val="Calibri"/><family val="2"/><charset val="186"/><scheme val="minor"/></rPr><t>1,2</t></r><r><rPr><sz val="11"/><color theme="1"/><rFont val="Calibri"/><family val="2"/><charset val="186"/><scheme val="minor"/></rPr><t xml:space="preserve"> =</t></r></si><si><r><t>D</t></r><r><rPr><vertAlign val="subscript"/><sz val="11"/><color theme="1"/><rFont val="Calibri"/><family val="2"/><charset val="186"/><scheme val="minor"/></rPr><t>1,1</t></r><r><rPr><sz val="11"/><color theme="1"/><rFont val="Calibri"/><family val="2"/><charset val="186"/><scheme val="minor"/></rPr><t xml:space="preserve"> =</t></r></si><si><t>Algandmed</t></si><si><r><t>I</t></r><r><rPr><vertAlign val="subscript"/><sz val="11"/><color theme="1"/><rFont val="Calibri"/><family val="2"/><charset val="186"/><scheme val="minor"/></rPr><t>k</t></r><r><rPr><sz val="11"/><color theme="1"/><rFont val="Calibri"/><family val="2"/><charset val="186"/><scheme val="minor"/></rPr><t xml:space="preserve"> =</t></r></si><si><r><t>Ψ</t></r><r><rPr><vertAlign val="subscript"/><sz val="11"/><color theme="1"/><rFont val="Calibri"/><family val="2"/><charset val="186"/><scheme val="minor"/></rPr><t>I</t></r><r><rPr><sz val="11"/><color theme="1"/><rFont val="Calibri"/><family val="2"/><charset val="186"/><scheme val="minor"/></rPr><t xml:space="preserve"> =</t></r></si><si><r><t>γ</t></r><r><rPr><vertAlign val="subscript"/><sz val="11"/><color theme="1"/><rFont val="Calibri"/><family val="2"/><charset val="186"/><scheme val="minor"/></rPr><t>I</t></r><r><rPr><sz val="11"/><color theme="1"/><rFont val="Calibri"/><family val="2"/><charset val="186"/><scheme val="minor"/></rPr><t xml:space="preserve"> =</t></r></si><si><t>(vaata jäitekoormuse leidmist)</t></si><si><t>ekvivalentne lõhisfaasi läbimõõt</t></si><si><t>lõhisfaasile mõjuv tuulekoormus</t></si><si><t>dünaamiline tuulesurve antud juhtmele</t></si><si><t>qGGC=</t></si><si><t>suunategur 1. liinidele</t></si><si><t>suunategur 2. liinidele</t></si><si><t>Faasile mõjuv tuulekoormus risti tuule korral</t></si><si><t>1. liinide faasile mõjuv tuulekoormus</t></si><si><t>2. liinide faasile mõjuv tuulekoormus</t></si><si><r><t>Q</t></r><r><rPr><vertAlign val="subscript"/><sz val="11"/><color theme="1"/><rFont val="Calibri"/><family val="2"/><charset val="186"/><scheme val="minor"/></rPr><t>W,lõhis</t></r><r><rPr><sz val="11"/><color theme="1"/><rFont val="Calibri"/><family val="2"/><charset val="186"/><scheme val="minor"/></rPr><t xml:space="preserve"> =</t></r></si><si><r><t>Q</t></r><r><rPr><vertAlign val="subscript"/><sz val="11"/><color theme="1"/><rFont val="Calibri"/><family val="2"/><charset val="186"/><scheme val="minor"/></rPr><t>W,faas,90</t></r><r><rPr><sz val="11"/><color theme="1"/><rFont val="Calibri"/><family val="2"/><charset val="186"/><scheme val="minor"/></rPr><t xml:space="preserve"> =</t></r></si><si><r><t>k</t></r><r><rPr><vertAlign val="subscript"/><sz val="11"/><color theme="1"/><rFont val="Calibri"/><family val="2"/><charset val="186"/><scheme val="minor"/></rPr><t>Φ,1</t></r><r><rPr><sz val="11"/><color theme="1"/><rFont val="Calibri"/><family val="2"/><charset val="186"/><scheme val="minor"/></rPr><t xml:space="preserve"> =</t></r></si><si><r><t>k</t></r><r><rPr><vertAlign val="subscript"/><sz val="11"/><color theme="1"/><rFont val="Calibri"/><family val="2"/><charset val="186"/><scheme val="minor"/></rPr><t>Φ,2</t></r><r><rPr><sz val="11"/><color theme="1"/><rFont val="Calibri"/><family val="2"/><charset val="186"/><scheme val="minor"/></rPr><t xml:space="preserve"> =</t></r></si><si><t xml:space="preserve">= min(70; 2 · 5 / 0,25) </t></si><si><t>mm</t></si><si><t>g/cm³</t></si><si><r><t>K</t></r><r><rPr><vertAlign val="subscript"/><sz val="11"/><color theme="1"/><rFont val="Calibri"/><family val="2"/><charset val="186"/><scheme val="minor"/></rPr><t>1</t></r><r><rPr><sz val="11"/><color theme="1"/><rFont val="Calibri"/><family val="2"/><charset val="186"/><scheme val="minor"/></rPr><t xml:space="preserve"> =</t></r></si><si><r><t>K</t></r><r><rPr><vertAlign val="subscript"/><sz val="11"/><color theme="1"/><rFont val="Calibri"/><family val="2"/><charset val="186"/><scheme val="minor"/></rPr><t>d</t></r><r><rPr><sz val="11"/><color theme="1"/><rFont val="Calibri"/><family val="2"/><charset val="186"/><scheme val="minor"/></rPr><t xml:space="preserve"> =</t></r></si><si><r><t>g</t></r><r><rPr><sz val="11"/><color theme="1"/><rFont val="Calibri"/><family val="2"/><charset val="186"/><scheme val="minor"/></rPr><t xml:space="preserve"> =</t></r></si><si><t>jäite paksus</t></si><si><t>Normjäitekoormus pikkusühiku kohta</t></si><si><t>tegurid, mis arvestavad jäite paksuse muutust</t></si><si><t>sõltuvalt kõrgusest ja juhtme läbimõõdust</t></si><si><r><t>ρ</t></r><r><rPr><vertAlign val="subscript"/><sz val="11"/><color theme="1"/><rFont val="Calibri"/><family val="2"/><charset val="186"/><scheme val="minor"/></rPr><t xml:space="preserve">I </t></r><r><rPr><sz val="11"/><color theme="1"/><rFont val="Calibri"/><family val="2"/><charset val="186"/><scheme val="minor"/></rPr><t xml:space="preserve"> =</t></r></si><si><r><t>= π · K</t></r><r><rPr><vertAlign val="subscript"/><sz val="11"/><color theme="1"/><rFont val="Calibri"/><family val="2"/><charset val="186"/><scheme val="minor"/></rPr><t>1</t></r><r><rPr><sz val="11"/><color theme="1"/><rFont val="Calibri"/><family val="2"/><charset val="186"/><scheme val="minor"/></rPr><t xml:space="preserve"> · K</t></r><r><rPr><vertAlign val="subscript"/><sz val="11"/><color theme="1"/><rFont val="Calibri"/><family val="2"/><charset val="186"/><scheme val="minor"/></rPr><t>d</t></r><r><rPr><sz val="11"/><color theme="1"/><rFont val="Calibri"/><family val="2"/><charset val="186"/><scheme val="minor"/></rPr><t xml:space="preserve"> · b · (d + K</t></r><r><rPr><vertAlign val="subscript"/><sz val="11"/><color theme="1"/><rFont val="Calibri"/><family val="2"/><charset val="186"/><scheme val="minor"/></rPr><t>1</t></r><r><rPr><sz val="11"/><color theme="1"/><rFont val="Calibri"/><family val="2"/><charset val="186"/><scheme val="minor"/></rPr><t xml:space="preserve"> · K</t></r><r><rPr><vertAlign val="subscript"/><sz val="11"/><color theme="1"/><rFont val="Calibri"/><family val="2"/><charset val="186"/><scheme val="minor"/></rPr><t>d</t></r><r><rPr><sz val="11"/><color theme="1"/><rFont val="Calibri"/><family val="2"/><charset val="186"/><scheme val="minor"/></rPr><t xml:space="preserve"> · b) · ρ</t></r><r><rPr><vertAlign val="subscript"/><sz val="11"/><color theme="1"/><rFont val="Calibri"/><family val="2"/><charset val="186"/><scheme val="minor"/></rPr><t>I</t></r><r><rPr><sz val="11"/><color theme="1"/><rFont val="Calibri"/><family val="2"/><charset val="186"/><scheme val="minor"/></rPr><t xml:space="preserve"> · g · 10</t></r><r><rPr><vertAlign val="superscript"/><sz val="11"/><color theme="1"/><rFont val="Calibri"/><family val="2"/><charset val="186"/><scheme val="minor"/></rPr><t xml:space="preserve"> - 3</t></r><r><rPr><sz val="11"/><color theme="1"/><rFont val="Calibri"/><family val="2"/><charset val="186"/><scheme val="minor"/></rPr><t xml:space="preserve"> </t></r></si><si><t>330kv faasile mõjuv jäitekoormus</t></si><si><t>Piksekaitse liinidele mõjuv jäitekoormus</t></si><si><r><t>r</t></r><r><rPr><vertAlign val="subscript"/><sz val="11"/><color theme="1"/><rFont val="Calibri"/><family val="2"/><charset val="186"/><scheme val="minor"/></rPr><t>min</t></r><r><rPr><sz val="11"/><color theme="1"/><rFont val="Calibri"/><family val="2"/><charset val="186"/><scheme val="minor"/></rPr><t xml:space="preserve"> =</t></r></si><si><r><t>r</t></r><r><rPr><vertAlign val="subscript"/><sz val="11"/><color theme="1"/><rFont val="Calibri"/><family val="2"/><charset val="186"/><scheme val="minor"/></rPr><t>max</t></r><r><rPr><sz val="11"/><color theme="1"/><rFont val="Calibri"/><family val="2"/><charset val="186"/><scheme val="minor"/></rPr><t xml:space="preserve"> =</t></r></si><si><r><t>A</t></r><r><rPr><vertAlign val="subscript"/><sz val="11"/><color theme="1"/><rFont val="Calibri"/><family val="2"/><charset val="186"/><scheme val="minor"/></rPr><t>min</t></r><r><rPr><sz val="11"/><color theme="1"/><rFont val="Calibri"/><family val="2"/><charset val="186"/><scheme val="minor"/></rPr><t xml:space="preserve"> =</t></r></si><si><r><t>A</t></r><r><rPr><vertAlign val="subscript"/><sz val="11"/><color theme="1"/><rFont val="Calibri"/><family val="2"/><charset val="186"/><scheme val="minor"/></rPr><t>max</t></r><r><rPr><sz val="11"/><color theme="1"/><rFont val="Calibri"/><family val="2"/><charset val="186"/><scheme val="minor"/></rPr><t xml:space="preserve"> =</t></r></si><si><r><t>ρ</t></r><r><rPr><vertAlign val="subscript"/><sz val="11"/><color theme="1"/><rFont val="Calibri"/><family val="2"/><charset val="186"/><scheme val="minor"/></rPr><t>I =</t></r></si><si><r><t>V</t></r><r><rPr><vertAlign val="subscript"/><sz val="11"/><color theme="1"/><rFont val="Calibri"/><family val="2"/><charset val="186"/><scheme val="minor"/></rPr><t>min</t></r><r><rPr><sz val="11"/><color theme="1"/><rFont val="Calibri"/><family val="2"/><charset val="186"/><scheme val="minor"/></rPr><t xml:space="preserve"> =</t></r></si><si><t>m3</t></si><si><r><t>F</t></r><r><rPr><vertAlign val="subscript"/><sz val="11"/><color theme="1"/><rFont val="Calibri"/><family val="2"/><charset val="186"/><scheme val="minor"/></rPr><t>kett,max</t></r><r><rPr><sz val="11"/><color theme="1"/><rFont val="Calibri"/><family val="2"/><charset val="186"/><scheme val="minor"/></rPr><t xml:space="preserve"> =</t></r></si><si><t>kN</t></si><si><r><t>= A</t></r><r><rPr><vertAlign val="subscript"/><sz val="11"/><color theme="1"/><rFont val="Calibri"/><family val="2"/><charset val="186"/><scheme val="minor"/></rPr><t>min</t></r><r><rPr><sz val="11"/><color theme="1"/><rFont val="Calibri"/><family val="2"/><charset val="186"/><scheme val="minor"/></rPr><t xml:space="preserve"> · 0.1 </t></r></si><si><r><t xml:space="preserve">= 2 · </t></r><r><rPr><sz val="11"/><color theme="1"/><rFont val="Symbol"/><family val="1"/><charset val="2"/></rPr><t>p</t></r><r><rPr><sz val="11"/><color theme="1"/><rFont val="Calibri"/><family val="2"/><charset val="186"/><scheme val="minor"/></rPr><t xml:space="preserve"> · r</t></r><r><rPr><vertAlign val="subscript"/><sz val="11"/><color theme="1"/><rFont val="Calibri"/><family val="2"/><charset val="186"/><scheme val="minor"/></rPr><t>min</t></r><r><rPr><sz val="11"/><color theme="1"/><rFont val="Calibri"/><family val="2"/><charset val="186"/><scheme val="minor"/></rPr><t xml:space="preserve"> · h / 10</t></r><r><rPr><vertAlign val="superscript"/><sz val="11"/><color theme="1"/><rFont val="Calibri"/><family val="2"/><charset val="186"/><scheme val="minor"/></rPr><t>6</t></r><r><rPr><sz val="11"/><color theme="1"/><rFont val="Calibri"/><family val="2"/><charset val="186"/><scheme val="minor"/></rPr><t xml:space="preserve"> </t></r></si><si><r><t>= 2 · A</t></r><r><rPr><vertAlign val="subscript"/><sz val="11"/><color theme="1"/><rFont val="Calibri"/><family val="2"/><charset val="186"/><scheme val="minor"/></rPr><t>min</t></r><r><rPr><sz val="11"/><color theme="1"/><rFont val="Calibri"/><family val="2"/><charset val="186"/><scheme val="minor"/></rPr><t xml:space="preserve"> </t></r></si><si><r><t>I</t></r><r><rPr><vertAlign val="subscript"/><sz val="11"/><color theme="1"/><rFont val="Calibri"/><family val="2"/><charset val="186"/><scheme val="minor"/></rPr><t>k,lõhis</t></r><r><rPr><sz val="11"/><color theme="1"/><rFont val="Calibri"/><family val="2"/><charset val="186"/><scheme val="minor"/></rPr><t xml:space="preserve"> =</t></r></si><si><r><t>p</t></r><r><rPr><vertAlign val="subscript"/><sz val="11"/><color theme="1"/><rFont val="Calibri"/><family val="2"/><charset val="186"/><scheme val="minor"/></rPr><t>I</t></r><r><rPr><sz val="11"/><color theme="1"/><rFont val="Calibri"/><family val="2"/><charset val="186"/><scheme val="minor"/></rPr><t xml:space="preserve"> =</t></r></si><si><t>kN/m3</t></si><si><r><t>= V</t></r><r><rPr><vertAlign val="subscript"/><sz val="11"/><color theme="1"/><rFont val="Calibri"/><family val="2"/><charset val="186"/><scheme val="minor"/></rPr><t>min</t></r><r><rPr><sz val="11"/><color theme="1"/><rFont val="Calibri"/><family val="2"/><charset val="186"/><scheme val="minor"/></rPr><t xml:space="preserve"> · p</t></r><r><rPr><vertAlign val="subscript"/><sz val="11"/><color theme="1"/><rFont val="Calibri"/><family val="2"/><charset val="186"/><scheme val="minor"/></rPr><t>I</t></r><r><rPr><sz val="11"/><color theme="1"/><rFont val="Calibri"/><family val="2"/><charset val="186"/><scheme val="minor"/></rPr><t xml:space="preserve"> · 2 </t></r></si><si><t>Isolaatorkettidele mõjuv jäitekoormus</t></si><si><t>Leian maksimaalse jäitekoormuse 330kv isolaatorketile.</t></si><si><r><t>= 2 · I</t></r><r><rPr><vertAlign val="subscript"/><sz val="11"/><color theme="1"/><rFont val="Calibri"/><family val="2"/><charset val="186"/><scheme val="minor"/></rPr><t>k,lõhis</t></r><r><rPr><sz val="11"/><color theme="1"/><rFont val="Calibri"/><family val="2"/><charset val="186"/><scheme val="minor"/></rPr><t xml:space="preserve"> </t></r></si><si><r><t>= 3 · I</t></r><r><rPr><vertAlign val="subscript"/><sz val="11"/><color theme="1"/><rFont val="Calibri"/><family val="2"/><charset val="186"/><scheme val="minor"/></rPr><t>k,lõhis</t></r><r><rPr><sz val="11"/><color theme="1"/><rFont val="Calibri"/><family val="2"/><charset val="186"/><scheme val="minor"/></rPr><t xml:space="preserve"> </t></r></si><si><t>juhtme läbimõõt ("Condor" tüüpi juhe)</t></si><si><t>juhtme läbimõõt ("Dorking" tüüpi juhe)</t></si><si><r><t>I</t></r><r><rPr><vertAlign val="subscript"/><sz val="11"/><color theme="1"/><rFont val="Calibri"/><family val="2"/><charset val="186"/><scheme val="minor"/></rPr><t>k,PK</t></r><r><rPr><sz val="11"/><color theme="1"/><rFont val="Calibri"/><family val="2"/><charset val="186"/><scheme val="minor"/></rPr><t xml:space="preserve"> =</t></r></si><si><r><t>I</t></r><r><rPr><b/><vertAlign val="subscript"/><sz val="11"/><color theme="1"/><rFont val="Calibri"/><family val="2"/><charset val="186"/><scheme val="minor"/></rPr><t>k,330faas</t></r><r><rPr><b/><sz val="11"/><color theme="1"/><rFont val="Calibri"/><family val="2"/><charset val="186"/><scheme val="minor"/></rPr><t xml:space="preserve"> =</t></r></si><si><r><t>I</t></r><r><rPr><b/><vertAlign val="subscript"/><sz val="11"/><color theme="1"/><rFont val="Calibri"/><family val="2"/><charset val="186"/><scheme val="minor"/></rPr><t>k,110faas</t></r><r><rPr><b/><sz val="11"/><color theme="1"/><rFont val="Calibri"/><family val="2"/><charset val="186"/><scheme val="minor"/></rPr><t xml:space="preserve"> =</t></r></si><si><r><t>= 3,14 · 1,50 · 0,96 · 10 · (16+1,50 · 0,96 · 10) · 0,90 · 9,81 · 10</t></r><r><rPr><vertAlign val="superscript"/><sz val="11"/><color theme="1"/><rFont val="Calibri"/><family val="2"/><charset val="186"/><scheme val="minor"/></rPr><t>-3</t></r><r><rPr><sz val="11"/><color theme="1"/><rFont val="Calibri"/><family val="2"/><charset val="186"/><scheme val="minor"/></rPr><t xml:space="preserve"> </t></r></si><si><t>Jäikustalale mõjuv jäitekoormus</t></si><si><t>Eeldan ristlõikeks 250x150x5</t></si><si><t>pindala pikkusühiku kohta</t></si><si><r><t>A</t></r><r><rPr><vertAlign val="subscript"/><sz val="11"/><color theme="1"/><rFont val="Calibri"/><family val="2"/><charset val="186"/><scheme val="minor"/></rPr><t>PK</t></r><r><rPr><sz val="11"/><color theme="1"/><rFont val="Calibri"/><family val="2"/><charset val="186"/><scheme val="minor"/></rPr><t xml:space="preserve"> =</t></r></si><si><t>n =</t></si><si><t>liini kõrgus</t></si><si><t>lõhisfaaside arv faasis</t></si><si><t>lõhisfaasi läbimõõt ("Hawk" tüüpi juhe)</t></si><si><t>Visangutegur</t></si><si><t>Tuulevisang</t></si><si><r><t>G</t></r><r><rPr><vertAlign val="subscript"/><sz val="11"/><color theme="1"/><rFont val="Calibri"/><family val="2"/><charset val="186"/><scheme val="minor"/></rPr><t>c</t></r><r><rPr><sz val="11"/><color theme="1"/><rFont val="Calibri"/><family val="2"/><charset val="186"/><scheme val="minor"/></rPr><t xml:space="preserve"> =</t></r></si><si><t>Juhtme tuuletakistustegur</t></si><si><r><t>C</t></r><r><rPr><vertAlign val="subscript"/><sz val="11"/><color theme="1"/><rFont val="Calibri"/><family val="2"/><charset val="186"/><scheme val="minor"/></rPr><t>c</t></r><r><rPr><sz val="11"/><color theme="1"/><rFont val="Calibri"/><family val="2"/><charset val="186"/><scheme val="minor"/></rPr><t xml:space="preserve"> =</t></r></si><si><t>Tuulejõud lõhisfaasile</t></si><si><t>Tuulejõud faasile</t></si><si><r><t>Q</t></r><r><rPr><vertAlign val="subscript"/><sz val="11"/><color theme="1"/><rFont val="Calibri"/><family val="2"/><charset val="186"/><scheme val="minor"/></rPr><t>W 110 lõhis</t></r><r><rPr><sz val="11"/><color theme="1"/><rFont val="Calibri"/><family val="2"/><charset val="186"/><scheme val="minor"/></rPr><t xml:space="preserve"> =</t></r></si><si><t xml:space="preserve">= 0,19 · ln(30 / 0,05) · 21 </t></si><si><t xml:space="preserve">= 399,02 · 1,84 · 0,82 · 1,10 · 21,8 / 1000 </t></si><si><t xml:space="preserve">= 1.3 - 0.082 · ln(L) </t></si><si><t>lõhisfaasi läbimõõt ("Condor" tüüpi juhe)</t></si><si><t xml:space="preserve">= 422,09 · 1,81 · 0,82 · 1,10 · 27,7 / 1000 </t></si><si><r><t>G</t></r><r><rPr><vertAlign val="subscript"/><sz val="11"/><color theme="1"/><rFont val="Calibri"/><family val="2"/><charset val="186"/><scheme val="minor"/></rPr><t>ins</t></r><r><rPr><sz val="11"/><color theme="1"/><rFont val="Calibri"/><family val="2"/><charset val="186"/><scheme val="minor"/></rPr><t xml:space="preserve"> =</t></r></si><si><r><t>C</t></r><r><rPr><vertAlign val="subscript"/><sz val="11"/><color theme="1"/><rFont val="Calibri"/><family val="2"/><charset val="186"/><scheme val="minor"/></rPr><t>ins</t></r><r><rPr><sz val="11"/><color theme="1"/><rFont val="Calibri"/><family val="2"/><charset val="186"/><scheme val="minor"/></rPr><t xml:space="preserve"> =</t></r></si><si><r><t>A</t></r><r><rPr><vertAlign val="subscript"/><sz val="11"/><color theme="1"/><rFont val="Calibri"/><family val="2"/><charset val="186"/><scheme val="minor"/></rPr><t>ins110</t></r><r><rPr><sz val="11"/><color theme="1"/><rFont val="Calibri"/><family val="2"/><charset val="186"/><scheme val="minor"/></rPr><t xml:space="preserve"> =</t></r></si><si><r><t>A</t></r><r><rPr><vertAlign val="subscript"/><sz val="11"/><color theme="1"/><rFont val="Calibri"/><family val="2"/><charset val="186"/><scheme val="minor"/></rPr><t>ins330</t></r><r><rPr><sz val="11"/><color theme="1"/><rFont val="Calibri"/><family val="2"/><charset val="186"/><scheme val="minor"/></rPr><t xml:space="preserve"> =</t></r></si><si><r><t>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=</t></r></si><si><t xml:space="preserve">Mehaanilise resonantsi tegur </t></si><si><t>dünaamiline surve</t></si><si><t>iilireaktsioonitegur</t></si><si><t>mehaanilise resonantsi tegur</t></si><si><t>tuuletakistustegur</t></si><si><t>tk</t></si><si><t>isolaatorite arv ketis</t></si><si><t>ühe isolaatori pindala</t></si><si><t>lõhisfaasi läbimõõt ("Dorking" tüüpi juhe)</t></si><si><r><t>Q</t></r><r><rPr><b/><vertAlign val="subscript"/><sz val="11"/><color theme="1"/><rFont val="Calibri"/><family val="2"/><charset val="186"/><scheme val="minor"/></rPr><t>W, faas1</t></r><r><rPr><b/><sz val="11"/><color theme="1"/><rFont val="Calibri"/><family val="2"/><charset val="186"/><scheme val="minor"/></rPr><t xml:space="preserve"> =</t></r></si><si><r><t>Q</t></r><r><rPr><b/><vertAlign val="subscript"/><sz val="11"/><color theme="1"/><rFont val="Calibri"/><family val="2"/><charset val="186"/><scheme val="minor"/></rPr><t>W,faas2</t></r><r><rPr><b/><sz val="11"/><color theme="1"/><rFont val="Calibri"/><family val="2"/><charset val="186"/><scheme val="minor"/></rPr><t xml:space="preserve"> =</t></r></si><si><t>D =</t></si><si><r><t>v</t></r><r><rPr><sz val="11"/><color theme="1"/><rFont val="Calibri"/><family val="2"/><charset val="186"/><scheme val="minor"/></rPr><t xml:space="preserve"> =</t></r></si><si><r><t>b</t></r><r><rPr><sz val="11"/><color theme="1"/><rFont val="Calibri"/><family val="2"/><charset val="186"/><scheme val="minor"/></rPr><t xml:space="preserve"> =</t></r></si><si><r><t>z</t></r><r><rPr><sz val="11"/><color theme="1"/><rFont val="Calibri"/><family val="2"/><charset val="186"/><scheme val="minor"/></rPr><t xml:space="preserve"> =</t></r></si><si><r><t>L</t></r><r><rPr><sz val="11"/><color theme="1"/><rFont val="Calibri"/><family val="2"/><charset val="186"/><scheme val="minor"/></rPr><t xml:space="preserve"> =</t></r></si><si><r><t>h</t></r><r><rPr><sz val="11"/><color theme="1"/><rFont val="Calibri"/><family val="2"/><charset val="186"/><scheme val="minor"/></rPr><t xml:space="preserve"> =</t></r></si><si><t>λ =</t></si><si><t>φ =</t></si><si><r><t>h</t></r><r><rPr><sz val="11"/><color theme="1"/><rFont val="Calibri"/><family val="2"/><charset val="186"/><scheme val="minor"/></rPr><t xml:space="preserve"> =</t></r></si><si><r><t>d</t></r><r><rPr><sz val="11"/><color theme="1"/><rFont val="Calibri"/><family val="2"/><charset val="186"/><scheme val="minor"/></rPr><t xml:space="preserve"> =</t></r></si><si><r><t>n</t></r><r><rPr><sz val="11"/><color theme="1"/><rFont val="Calibri"/><family val="2"/><charset val="186"/><scheme val="minor"/></rPr><t xml:space="preserve"> =</t></r></si><si><r><t>L</t></r><r><rPr><sz val="11"/><color theme="1"/><rFont val="Calibri"/><family val="2"/><charset val="186"/><scheme val="minor"/></rPr><t xml:space="preserve"> =</t></r></si><si><r><t>= k</t></r><r><rPr><vertAlign val="subscript"/><sz val="11"/><color theme="1"/><rFont val="Calibri"/><family val="2"/><charset val="186"/><scheme val="minor"/></rPr><t>T</t></r><r><rPr><sz val="11"/><color theme="1"/><rFont val="Calibri"/><family val="2"/><charset val="186"/><scheme val="minor"/></rPr><t xml:space="preserve"> · ln(h / z</t></r><r><rPr><vertAlign val="subscript"/><sz val="11"/><color theme="1"/><rFont val="Calibri"/><family val="2"/><charset val="186"/><scheme val="minor"/></rPr><t>0</t></r><r><rPr><sz val="11"/><color theme="1"/><rFont val="Calibri"/><family val="2"/><charset val="186"/><scheme val="minor"/></rPr><t>) · V</t></r><r><rPr><vertAlign val="subscript"/><sz val="11"/><color theme="1"/><rFont val="Calibri"/><family val="2"/><charset val="186"/><scheme val="minor"/></rPr><t>R</t></r><r><rPr><sz val="11"/><color theme="1"/><rFont val="Calibri"/><family val="2"/><charset val="186"/><scheme val="minor"/></rPr><t xml:space="preserve"> </t></r></si><si><r><t>= 1 / 2 · ρ · V</t></r><r><rPr><vertAlign val="subscript"/><sz val="11"/><color theme="1"/><rFont val="Calibri"/><family val="2"/><charset val="186"/><scheme val="minor"/></rPr><t>h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</si><si>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1 / 2 · 1,225 · 26,25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</si><si>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(1 + 2.28 / ln[h / z</t></r><r><rPr><vertAlign val="subscript"/><sz val="11"/><color theme="1"/><rFont val="Calibri"/><family val="2"/><charset val="186"/><scheme val="minor"/></rPr><t>0</t></r><r><rPr><sz val="11"/><color theme="1"/><rFont val="Calibri"/><family val="2"/><charset val="186"/><scheme val="minor"/></rPr><t>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</si><si>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(1+2.28 / ln[36 / 0,05])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</si><si>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1.2 + (0.18 · log[10 · k / b]) / (1 + 0.4 · log[Re / 10</t></r><r><rPr><vertAlign val="superscript"/><sz val="11"/><color theme="1"/><rFont val="Calibri"/><family val="2"/><charset val="186"/><scheme val="minor"/></rPr><t>6</t></r><r><rPr><sz val="11"/><color theme="1"/><rFont val="Calibri"/><family val="2"/><charset val="186"/><scheme val="minor"/></rPr><t xml:space="preserve">]) </t></r></si><si><r><t>= 1.2+(0.18 · log[10 · 6,18E-04]) / (1+0.4 · log[5,67E+05 / 10</t></r><r><rPr><vertAlign val="superscript"/><sz val="11"/><color theme="1"/><rFont val="Calibri"/><family val="2"/><charset val="186"/><scheme val="minor"/></rPr><t>6</t></r><r><rPr><sz val="11"/><color theme="1"/><rFont val="Calibri"/><family val="2"/><charset val="186"/><scheme val="minor"/></rPr><t xml:space="preserve">])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</si><si>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post</t></r><r><rPr><sz val="11"/><color theme="1"/><rFont val="Calibri"/><family val="2"/><charset val="186"/><scheme val="minor"/></rPr><t xml:space="preserve"> · D </t></r></si><si><r><t>= k</t></r><r><rPr><vertAlign val="subscript"/><sz val="11"/><color theme="1"/><rFont val="Calibri"/><family val="2"/><charset val="186"/><scheme val="minor"/></rPr><t>T</t></r><r><rPr><sz val="11"/><color theme="1"/><rFont val="Calibri"/><family val="2"/><charset val="186"/><scheme val="minor"/></rPr><t xml:space="preserve"> · ln(z / z</t></r><r><rPr><vertAlign val="subscript"/><sz val="11"/><color theme="1"/><rFont val="Calibri"/><family val="2"/><charset val="186"/><scheme val="minor"/></rPr><t>0</t></r><r><rPr><sz val="11"/><color theme="1"/><rFont val="Calibri"/><family val="2"/><charset val="186"/><scheme val="minor"/></rPr><t>) · V</t></r><r><rPr><vertAlign val="subscript"/><sz val="11"/><color theme="1"/><rFont val="Calibri"/><family val="2"/><charset val="186"/><scheme val="minor"/></rPr><t>R</t></r><r><rPr><sz val="11"/><color theme="1"/><rFont val="Calibri"/><family val="2"/><charset val="186"/><scheme val="minor"/></rPr><t xml:space="preserve"> </t></r></si><si><r><t>= 1 / 2 · 1,225 · 22,48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</si><si>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(1 + 2.28 / ln[z / z</t></r><r><rPr><vertAlign val="subscript"/><sz val="11"/><color theme="1"/><rFont val="Calibri"/><family val="2"/><charset val="186"/><scheme val="minor"/></rPr><t>0</t></r><r><rPr><sz val="11"/><color theme="1"/><rFont val="Calibri"/><family val="2"/><charset val="186"/><scheme val="minor"/></rPr><t>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</si><si>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(1+2.28 / ln[14 / 0,05])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</si><si>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b · V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/ v </t></r></si><si><r><t>= 1.2+(0.18 · log[10 · 7,33E+02]) / (1+0.4 · log[4,09E+05 / 10</t></r><r><rPr><vertAlign val="superscript"/><sz val="11"/><color theme="1"/><rFont val="Calibri"/><family val="2"/><charset val="186"/><scheme val="minor"/></rPr><t>6</t></r><r><rPr><sz val="11"/><color theme="1"/><rFont val="Calibri"/><family val="2"/><charset val="186"/><scheme val="minor"/></rPr><t xml:space="preserve">]) </t></r></si><si><r><t>= cos(radians[86])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</si><si>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JT</t></r><r><rPr><sz val="11"/><color theme="1"/><rFont val="Calibri"/><family val="2"/><charset val="186"/><scheme val="minor"/></rPr><t xml:space="preserve"> · D · k</t></r><r><rPr><vertAlign val="subscript"/><sz val="11"/><color theme="1"/><rFont val="Calibri"/><family val="2"/><charset val="186"/><scheme val="minor"/></rPr><t>φ</t></r><r><rPr><sz val="11"/><color theme="1"/><rFont val="Calibri"/><family val="2"/><charset val="186"/><scheme val="minor"/></rPr><t xml:space="preserve"> </t></r></si><si><r><t>= 1 / 2 · 1,225 · 25,25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</si><si>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(1+2.28 / ln[28 / 0,05])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</si><si>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C</t></r><r><rPr><vertAlign val="subscript"/><sz val="11"/><color theme="1"/><rFont val="Calibri"/><family val="2"/><charset val="186"/><scheme val="minor"/></rPr><t>tr110,0</t></r><r><rPr><sz val="11"/><color theme="1"/><rFont val="Calibri"/><family val="2"/><charset val="186"/><scheme val="minor"/></rPr><t xml:space="preserve"> · Ψ</t></r><r><rPr><vertAlign val="subscript"/><sz val="11"/><color theme="1"/><rFont val="Calibri"/><family val="2"/><charset val="186"/><scheme val="minor"/></rPr><t>λ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</si><si>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tr110</t></r><r><rPr><sz val="11"/><color theme="1"/><rFont val="Calibri"/><family val="2"/><charset val="186"/><scheme val="minor"/></rPr><t xml:space="preserve"> · h · k</t></r><r><rPr><vertAlign val="subscript"/><sz val="11"/><color theme="1"/><rFont val="Calibri"/><family val="2"/><charset val="186"/><scheme val="minor"/></rPr><t>φ</t></r><r><rPr><sz val="11"/><color theme="1"/><rFont val="Calibri"/><family val="2"/><charset val="186"/><scheme val="minor"/></rPr><t xml:space="preserve"> </t></r></si><si><r><t>= C</t></r><r><rPr><vertAlign val="subscript"/><sz val="11"/><color theme="1"/><rFont val="Calibri"/><family val="2"/><charset val="186"/><scheme val="minor"/></rPr><t>tr330,0</t></r><r><rPr><sz val="11"/><color theme="1"/><rFont val="Calibri"/><family val="2"/><charset val="186"/><scheme val="minor"/></rPr><t xml:space="preserve"> · Ψ</t></r><r><rPr><vertAlign val="subscript"/><sz val="11"/><color theme="1"/><rFont val="Calibri"/><family val="2"/><charset val="186"/><scheme val="minor"/></rPr><t>λ</t></r><r><rPr><sz val="11"/><color theme="1"/><rFont val="Calibri"/><family val="2"/><charset val="186"/><scheme val="minor"/></rPr><t xml:space="preserve"> · Ψ</t></r><r><rPr><vertAlign val="subscript"/><sz val="11"/><color theme="1"/><rFont val="Calibri"/><family val="2"/><charset val="186"/><scheme val="minor"/></rPr><t>r</t></r><r><rPr><sz val="11"/><color theme="1"/><rFont val="Calibri"/><family val="2"/><charset val="186"/><scheme val="minor"/></rPr><t xml:space="preserve"> </t></r></si><si><r><t>= C</t></r><r><rPr><vertAlign val="subscript"/><sz val="11"/><color theme="1"/><rFont val="Calibri"/><family val="2"/><charset val="186"/><scheme val="minor"/></rPr><t>tr330,0</t></r><r><rPr><sz val="11"/><color theme="1"/><rFont val="Calibri"/><family val="2"/><charset val="186"/><scheme val="minor"/></rPr><t xml:space="preserve"> · Ψ</t></r><r><rPr><vertAlign val="subscript"/><sz val="11"/><color theme="1"/><rFont val="Calibri"/><family val="2"/><charset val="186"/><scheme val="minor"/></rPr><t>λ</t></r><r><rPr><sz val="11"/><color theme="1"/><rFont val="Calibri"/><family val="2"/><charset val="186"/><scheme val="minor"/></rPr><t xml:space="preserve"> </t></r></si><si><r><t>= cos(radians[4])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</si><si>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tr330,1</t></r><r><rPr><sz val="11"/><color theme="1"/><rFont val="Calibri"/><family val="2"/><charset val="186"/><scheme val="minor"/></rPr><t xml:space="preserve"> · h · k</t></r><r><rPr><vertAlign val="subscript"/><sz val="11"/><color theme="1"/><rFont val="Calibri"/><family val="2"/><charset val="186"/><scheme val="minor"/></rPr><t>φ1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</si><si>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tr330,2</t></r><r><rPr><sz val="11"/><color theme="1"/><rFont val="Calibri"/><family val="2"/><charset val="186"/><scheme val="minor"/></rPr><t xml:space="preserve"> · b · h · k</t></r><r><rPr><vertAlign val="subscript"/><sz val="11"/><color theme="1"/><rFont val="Calibri"/><family val="2"/><charset val="186"/><scheme val="minor"/></rPr><t>φ2</t></r><r><rPr><sz val="11"/><color theme="1"/><rFont val="Calibri"/><family val="2"/><charset val="186"/><scheme val="minor"/></rPr><t xml:space="preserve"> </t></r></si><si><r><t>= 1 / 2 · 1,225 · 26,77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</si><si>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(1+2.28 / ln[41 / 0,05])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</si><si>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C</t></r><r><rPr><vertAlign val="subscript"/><sz val="11"/><color theme="1"/><rFont val="Calibri"/><family val="2"/><charset val="186"/><scheme val="minor"/></rPr><t>PK,0</t></r><r><rPr><sz val="11"/><color theme="1"/><rFont val="Calibri"/><family val="2"/><charset val="186"/><scheme val="minor"/></rPr><t xml:space="preserve"> · Ψ</t></r><r><rPr><vertAlign val="subscript"/><sz val="11"/><color theme="1"/><rFont val="Calibri"/><family val="2"/><charset val="186"/><scheme val="minor"/></rPr><t>λ</t></r><r><rPr><sz val="11"/><color theme="1"/><rFont val="Calibri"/><family val="2"/><charset val="186"/><scheme val="minor"/></rPr><t xml:space="preserve"> · Ψ</t></r><r><rPr><vertAlign val="subscript"/><sz val="11"/><color theme="1"/><rFont val="Calibri"/><family val="2"/><charset val="186"/><scheme val="minor"/></rPr><t>r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</si><si>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PK,1</t></r><r><rPr><sz val="11"/><color theme="1"/><rFont val="Calibri"/><family val="2"/><charset val="186"/><scheme val="minor"/></rPr><t xml:space="preserve"> · b · k</t></r><r><rPr><vertAlign val="subscript"/><sz val="11"/><color theme="1"/><rFont val="Calibri"/><family val="2"/><charset val="186"/><scheme val="minor"/></rPr><t>φ1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</si><si>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PK,2</t></r><r><rPr><sz val="11"/><color theme="1"/><rFont val="Calibri"/><family val="2"/><charset val="186"/><scheme val="minor"/></rPr><t xml:space="preserve"> · h · k</t></r><r><rPr><vertAlign val="subscript"/><sz val="11"/><color theme="1"/><rFont val="Calibri"/><family val="2"/><charset val="186"/><scheme val="minor"/></rPr><t>φ2</t></r><r><rPr><sz val="11"/><color theme="1"/><rFont val="Calibri"/><family val="2"/><charset val="186"/><scheme val="minor"/></rPr><t xml:space="preserve"> </t></r></si><si><r><t>= cos(radians[49])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</si><si>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cos(radians[41])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</si><si>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vant</t></r><r><rPr><sz val="11"/><color theme="1"/><rFont val="Calibri"/><family val="2"/><charset val="186"/><scheme val="minor"/></rPr><t xml:space="preserve"> · D · k</t></r><r><rPr><vertAlign val="subscript"/><sz val="11"/><color theme="1"/><rFont val="Calibri"/><family val="2"/><charset val="186"/><scheme val="minor"/></rPr><t>φ,A</t></r><r><rPr><sz val="11"/><color theme="1"/><rFont val="Calibri"/><family val="2"/><charset val="186"/><scheme val="minor"/></rPr><t xml:space="preserve"> </t></r></si><si><r><t>= cos(radians[45]) · Q</t></r><r><rPr><vertAlign val="subscript"/><sz val="11"/><color theme="1"/><rFont val="Calibri"/><family val="2"/><charset val="186"/><scheme val="minor"/></rPr><t>W,A</t></r><r><rPr><sz val="11"/><color theme="1"/><rFont val="Calibri"/><family val="2"/><charset val="186"/><scheme val="minor"/></rPr><t xml:space="preserve"> - </t></r><r><rPr><vertAlign val="subscript"/><sz val="11"/><color theme="1"/><rFont val="Calibri"/><family val="2"/><charset val="186"/><scheme val="minor"/></rPr><t>vant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</si><si>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vant</t></r><r><rPr><sz val="11"/><color theme="1"/><rFont val="Calibri"/><family val="2"/><charset val="186"/><scheme val="minor"/></rPr><t xml:space="preserve"> · D · k</t></r><r><rPr><vertAlign val="subscript"/><sz val="11"/><color theme="1"/><rFont val="Calibri"/><family val="2"/><charset val="186"/><scheme val="minor"/></rPr><t>φ,B</t></r><r><rPr><sz val="11"/><color theme="1"/><rFont val="Calibri"/><family val="2"/><charset val="186"/><scheme val="minor"/></rPr><t xml:space="preserve"> </t></r></si><si><r><t>= cos(radians[45]) · Q</t></r><r><rPr><vertAlign val="subscript"/><sz val="11"/><color theme="1"/><rFont val="Calibri"/><family val="2"/><charset val="186"/><scheme val="minor"/></rPr><t>W,B</t></r><r><rPr><sz val="11"/><color theme="1"/><rFont val="Calibri"/><family val="2"/><charset val="186"/><scheme val="minor"/></rPr><t xml:space="preserve"> - </t></r><r><rPr><vertAlign val="subscript"/><sz val="11"/><color theme="1"/><rFont val="Calibri"/><family val="2"/><charset val="186"/><scheme val="minor"/></rPr><t>vant</t></r><r><rPr><sz val="11"/><color theme="1"/><rFont val="Calibri"/><family val="2"/><charset val="186"/><scheme val="minor"/></rPr><t xml:space="preserve"> </t></r></si><si><r><t>= 1 / 2 · 1,225 · 25,52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</si><si>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(1+2.28 / ln[30 / 0,05])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</si><si>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c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c</t></r><r><rPr><sz val="11"/><color theme="1"/><rFont val="Calibri"/><family val="2"/><charset val="186"/><scheme val="minor"/></rPr><t xml:space="preserve"> · d / 1000 </t></r></si><si><r><t>= Q</t></r><r><rPr><vertAlign val="subscript"/><sz val="11"/><color theme="1"/><rFont val="Calibri"/><family val="2"/><charset val="186"/><scheme val="minor"/></rPr><t>W 110 lõhis</t></r><r><rPr><sz val="11"/><color theme="1"/><rFont val="Calibri"/><family val="2"/><charset val="186"/><scheme val="minor"/></rPr><t xml:space="preserve"> · n </t></r></si><si><r><t>= Q</t></r><r><rPr><vertAlign val="subscript"/><sz val="11"/><color theme="1"/><rFont val="Calibri"/><family val="2"/><charset val="186"/><scheme val="minor"/></rPr><t>W,110faas</t></r><r><rPr><sz val="11"/><color theme="1"/><rFont val="Calibri"/><family val="2"/><charset val="186"/><scheme val="minor"/></rPr><t xml:space="preserve"> · k</t></r><r><rPr><vertAlign val="subscript"/><sz val="11"/><color theme="1"/><rFont val="Calibri"/><family val="2"/><charset val="186"/><scheme val="minor"/></rPr><t>Φ,1liin</t></r><r><rPr><sz val="11"/><color theme="1"/><rFont val="Calibri"/><family val="2"/><charset val="186"/><scheme val="minor"/></rPr><t xml:space="preserve"> </t></r></si><si><r><t>= cos(radians[4]) · Q</t></r><r><rPr><vertAlign val="subscript"/><sz val="11"/><color theme="1"/><rFont val="Calibri"/><family val="2"/><charset val="186"/><scheme val="minor"/></rPr><t>W,110faas,1liin</t></r><r><rPr><sz val="11"/><color theme="1"/><rFont val="Calibri"/><family val="2"/><charset val="186"/><scheme val="minor"/></rPr><t xml:space="preserve"> </t></r></si><si><r><t>= sin(radians[4]) · Q</t></r><r><rPr><vertAlign val="subscript"/><sz val="11"/><color theme="1"/><rFont val="Calibri"/><family val="2"/><charset val="186"/><scheme val="minor"/></rPr><t>W,110faas,1liin</t></r><r><rPr><sz val="11"/><color theme="1"/><rFont val="Calibri"/><family val="2"/><charset val="186"/><scheme val="minor"/></rPr><t xml:space="preserve"> </t></r></si><si><r><t>= cos(radians[4]) · Q</t></r><r><rPr><vertAlign val="subscript"/><sz val="11"/><color theme="1"/><rFont val="Calibri"/><family val="2"/><charset val="186"/><scheme val="minor"/></rPr><t>W,110faas,2liin</t></r><r><rPr><sz val="11"/><color theme="1"/><rFont val="Calibri"/><family val="2"/><charset val="186"/><scheme val="minor"/></rPr><t xml:space="preserve"> </t></r></si><si><r><t>= sin(radians[4]) · Q</t></r><r><rPr><vertAlign val="subscript"/><sz val="11"/><color theme="1"/><rFont val="Calibri"/><family val="2"/><charset val="186"/><scheme val="minor"/></rPr><t>W,110faas,2liin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</si><si>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ins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ins</t></r><r><rPr><sz val="11"/><color theme="1"/><rFont val="Calibri"/><family val="2"/><charset val="186"/><scheme val="minor"/></rPr><t xml:space="preserve"> · A</t></r><r><rPr><vertAlign val="subscript"/><sz val="11"/><color theme="1"/><rFont val="Calibri"/><family val="2"/><charset val="186"/><scheme val="minor"/></rPr><t>ins110</t></r><r><rPr><sz val="11"/><color theme="1"/><rFont val="Calibri"/><family val="2"/><charset val="186"/><scheme val="minor"/></rPr><t xml:space="preserve"> · n </t></r></si><si><r><t>= cos(radians[4]) · Q</t></r><r><rPr><vertAlign val="subscript"/><sz val="11"/><color theme="1"/><rFont val="Calibri"/><family val="2"/><charset val="186"/><scheme val="minor"/></rPr><t>Wins330</t></r><r><rPr><sz val="11"/><color theme="1"/><rFont val="Calibri"/><family val="2"/><charset val="186"/><scheme val="minor"/></rPr><t xml:space="preserve"> </t></r></si><si><r><t>= sin(radians[4]) · Q</t></r><r><rPr><vertAlign val="subscript"/><sz val="11"/><color theme="1"/><rFont val="Calibri"/><family val="2"/><charset val="186"/><scheme val="minor"/></rPr><t>Wins330</t></r><r><rPr><sz val="11"/><color theme="1"/><rFont val="Calibri"/><family val="2"/><charset val="186"/><scheme val="minor"/></rPr><t xml:space="preserve"> </t></r></si><si><r><t>= cos(radians[4]) · Q</t></r><r><rPr><vertAlign val="subscript"/><sz val="11"/><color theme="1"/><rFont val="Calibri"/><family val="2"/><charset val="186"/><scheme val="minor"/></rPr><t>W,330faas,1liin</t></r><r><rPr><sz val="11"/><color theme="1"/><rFont val="Calibri"/><family val="2"/><charset val="186"/><scheme val="minor"/></rPr><t xml:space="preserve"> </t></r></si><si><r><t>= sin(radians[4]) · Q</t></r><r><rPr><vertAlign val="subscript"/><sz val="11"/><color theme="1"/><rFont val="Calibri"/><family val="2"/><charset val="186"/><scheme val="minor"/></rPr><t>W,330faas,1liin</t></r><r><rPr><sz val="11"/><color theme="1"/><rFont val="Calibri"/><family val="2"/><charset val="186"/><scheme val="minor"/></rPr><t xml:space="preserve"> </t></r></si><si><r><t>= cos(radians[4]) · Q</t></r><r><rPr><vertAlign val="subscript"/><sz val="11"/><color theme="1"/><rFont val="Calibri"/><family val="2"/><charset val="186"/><scheme val="minor"/></rPr><t>W,330faas,2liin</t></r><r><rPr><sz val="11"/><color theme="1"/><rFont val="Calibri"/><family val="2"/><charset val="186"/><scheme val="minor"/></rPr><t xml:space="preserve"> </t></r></si><si><r><t>= sin(radians[4]) · Q</t></r><r><rPr><vertAlign val="subscript"/><sz val="11"/><color theme="1"/><rFont val="Calibri"/><family val="2"/><charset val="186"/><scheme val="minor"/></rPr><t>W,330faas,2liin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</si><si>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ins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ins</t></r><r><rPr><sz val="11"/><color theme="1"/><rFont val="Calibri"/><family val="2"/><charset val="186"/><scheme val="minor"/></rPr><t xml:space="preserve"> · A</t></r><r><rPr><vertAlign val="subscript"/><sz val="11"/><color theme="1"/><rFont val="Calibri"/><family val="2"/><charset val="186"/><scheme val="minor"/></rPr><t>ins330</t></r><r><rPr><sz val="11"/><color theme="1"/><rFont val="Calibri"/><family val="2"/><charset val="186"/><scheme val="minor"/></rPr><t xml:space="preserve"> · n </t></r></si><si><t xml:space="preserve">= 438,94 · 1,80 · 0,82 · 1,20 · 16 / 1000 </t></si><si><t>110kv jäätunud liinidele mõjuv tuulejõud</t></si><si><r><t>d</t></r><r><rPr><sz val="11"/><color theme="1"/><rFont val="Calibri"/><family val="2"/><charset val="186"/><scheme val="minor"/></rPr><t xml:space="preserve"> =</t></r></si><si><r><t>g</t></r><r><rPr><sz val="11"/><color theme="1"/><rFont val="Calibri"/><family val="2"/><charset val="186"/><scheme val="minor"/></rPr><t xml:space="preserve"> =</t></r></si><si><r><t>π</t></r><r><rPr><sz val="11"/><color theme="1"/><rFont val="Calibri"/><family val="2"/><charset val="186"/><scheme val="minor"/></rPr><t xml:space="preserve"> =</t></r></si><si><t>330kv jäätunud liinidele mõjuv tuulejõud</t></si><si><t>lõhiste arv</t></si><si><t>jäätunud piksekaitse liinidele mõjuv tuulejõud</t></si><si><t>Tuulekoormus jäätunud liinidele. Tuulesuund 1</t></si><si><t>Tuulekoormus jäätunud liinidele. Tuulesuund 2</t></si><si><r><t>= Q</t></r><r><rPr><vertAlign val="subscript"/><sz val="11"/><color theme="1"/><rFont val="Calibri"/><family val="2"/><charset val="186"/><scheme val="minor"/></rPr><t>W,110faas</t></r><r><rPr><sz val="11"/><color theme="1"/><rFont val="Calibri"/><family val="2"/><charset val="186"/><scheme val="minor"/></rPr><t xml:space="preserve"> · k</t></r><r><rPr><vertAlign val="subscript"/><sz val="11"/><color theme="1"/><rFont val="Calibri"/><family val="2"/><charset val="186"/><scheme val="minor"/></rPr><t>Φ,2liin</t></r><r><rPr><sz val="11"/><color theme="1"/><rFont val="Calibri"/><family val="2"/><charset val="186"/><scheme val="minor"/></rPr><t xml:space="preserve"> </t></r></si><si><r><t>= cos(radians[8])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</si><si>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cos(radians[0])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</si><si>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t>Vantidega kandemasti elementidele ja liinidele mõjuv normatiivne tuulekoormus olukorras 2: tuul 45° mastiga</t></si><si><r><t>= cos(radians[45])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</si><si>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t xml:space="preserve">= 390,46 · 1,85 · 1,15 · 1,84 · 0,22 · 0,500 </t></si><si><t xml:space="preserve">= 422,09 · 1,81 · 1,15 · 1,62 · 0,25 · 0,500 </t></si><si><t xml:space="preserve">= 422,09 · 1,81 · 1,15 · 1,84 · 0,25 · 0,25 · 0,500 </t></si><si><t xml:space="preserve">= 438,94 · 1,80 · 1,15 · 1,53 · 0,15 · 0,500 </t></si><si><t xml:space="preserve">= 438,94 · 1,80 · 1,15 · 1,53 · 0,25 · 0,500 </t></si><si><r><t>= cos(radians[90])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</si><si>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t>Vantidega kandemasti elementidele ja liinidele mõjuv normatiivne tuulekoormus olukorras 3: tuul risti mastiga</t></si><si><t xml:space="preserve">= 309,60 · 1,97 · 1,15 · 2,02 · 0,273 · 3,8E-33 </t></si><si><t xml:space="preserve">= 390,46 · 1,85 · 1,15 · 1,84 · 0,22 · 0,000 </t></si><si><t xml:space="preserve">= 422,09 · 1,81 · 1,15 · 1,62 · 0,25 · 0,000 </t></si><si><t xml:space="preserve">= 422,09 · 1,81 · 1,15 · 1,84 · 0,25 · 0,25 · 1,000 </t></si><si><t xml:space="preserve">= 438,94 · 1,80 · 1,15 · 1,53 · 0,15 · 0,000 </t></si><si><t xml:space="preserve">= 438,94 · 1,80 · 1,15 · 1,53 · 0,25 · 1,000 </t></si><si><t>traaversi ristlõike laius</t></si><si><t>Tuulekoormus jäätunud liinidele. Tuulesuund 3</t></si><si><t>Tuul 3 kui jää</t></si><si><t>posti läbimõõt koos jäitega</t></si><si><r><t>= k</t></r><r><rPr><vertAlign val="subscript"/><sz val="11"/><color theme="1"/><rFont val="Calibri"/><family val="2"/><charset val="186"/><scheme val="minor"/></rPr><t>T</t></r><r><rPr><sz val="11"/><color theme="1"/><rFont val="Calibri"/><family val="2"/><charset val="186"/><scheme val="minor"/></rPr><t xml:space="preserve"> · ln(h / z</t></r><r><rPr><vertAlign val="subscript"/><sz val="11"/><color theme="1"/><rFont val="Calibri"/><family val="2"/><charset val="186"/><scheme val="minor"/></rPr><t>0</t></r><r><rPr><sz val="11"/><color theme="1"/><rFont val="Calibri"/><family val="2"/><charset val="186"/><scheme val="minor"/></rPr><t>) · V</t></r><r><rPr><vertAlign val="subscript"/><sz val="11"/><color theme="1"/><rFont val="Calibri"/><family val="2"/><charset val="186"/><scheme val="minor"/></rPr><t>R</t></r><r><rPr><sz val="11"/><color theme="1"/><rFont val="Calibri"/><family val="2"/><charset val="186"/><scheme val="minor"/></rPr><t xml:space="preserve"> </t></r></si><si><r><t>= (1 + 2.28 / ln[h / z</t></r><r><rPr><vertAlign val="subscript"/><sz val="11"/><color theme="1"/><rFont val="Calibri"/><family val="2"/><charset val="186"/><scheme val="minor"/></rPr><t>0</t></r><r><rPr><sz val="11"/><color theme="1"/><rFont val="Calibri"/><family val="2"/><charset val="186"/><scheme val="minor"/></rPr><t>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</si><si>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(1+2.28 / ln[36 / 0,05])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</si><si>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t>tuule jõutegur jäätunud postile</t></si><si><t>DIN EN 10143 tabel 10</t></si><si><r><t>= 1 / 2 · ρ · V</t></r><r><rPr><vertAlign val="subscript"/><sz val="11"/><color theme="1"/><rFont val="Calibri"/><family val="2"/><charset val="186"/><scheme val="minor"/></rPr><t>h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</si><si>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1 / 2 · 1,225 · 26,25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</si><si>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t xml:space="preserve">= 422,09 · 1,81 · 1,15 · 0,88 · 0,344 </t></si><si><t xml:space="preserve">= 0,293 · 15,5 </t></si><si><t>tala läbimõõt koos jäitega</t></si><si><r><t>= k</t></r><r><rPr><vertAlign val="subscript"/><sz val="11"/><color theme="1"/><rFont val="Calibri"/><family val="2"/><charset val="186"/><scheme val="minor"/></rPr><t>T</t></r><r><rPr><sz val="11"/><color theme="1"/><rFont val="Calibri"/><family val="2"/><charset val="186"/><scheme val="minor"/></rPr><t xml:space="preserve"> · ln(z / z</t></r><r><rPr><vertAlign val="subscript"/><sz val="11"/><color theme="1"/><rFont val="Calibri"/><family val="2"/><charset val="186"/><scheme val="minor"/></rPr><t>0</t></r><r><rPr><sz val="11"/><color theme="1"/><rFont val="Calibri"/><family val="2"/><charset val="186"/><scheme val="minor"/></rPr><t>) · V</t></r><r><rPr><vertAlign val="subscript"/><sz val="11"/><color theme="1"/><rFont val="Calibri"/><family val="2"/><charset val="186"/><scheme val="minor"/></rPr><t>R</t></r><r><rPr><sz val="11"/><color theme="1"/><rFont val="Calibri"/><family val="2"/><charset val="186"/><scheme val="minor"/></rPr><t xml:space="preserve"> </t></r></si><si><r><t>= 1 / 2 · 1,225 · 22,48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</si><si>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(1 + 2.28 / ln[z / z</t></r><r><rPr><vertAlign val="subscript"/><sz val="11"/><color theme="1"/><rFont val="Calibri"/><family val="2"/><charset val="186"/><scheme val="minor"/></rPr><t>0</t></r><r><rPr><sz val="11"/><color theme="1"/><rFont val="Calibri"/><family val="2"/><charset val="186"/><scheme val="minor"/></rPr><t>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</si><si>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(1+2.28 / ln[14 / 0,05])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</si><si>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JT</t></r><r><rPr><sz val="11"/><color theme="1"/><rFont val="Calibri"/><family val="2"/><charset val="186"/><scheme val="minor"/></rPr><t xml:space="preserve"> · D · k</t></r><r><rPr><vertAlign val="subscript"/><sz val="11"/><color theme="1"/><rFont val="Calibri"/><family val="2"/><charset val="186"/><scheme val="minor"/></rPr><t>φ</t></r><r><rPr><sz val="11"/><color theme="1"/><rFont val="Calibri"/><family val="2"/><charset val="186"/><scheme val="minor"/></rPr><t xml:space="preserve"> </t></r></si><si><r><t>= cos(radians[86])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</si><si>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cos(radians[4])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</si><si>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tr110</t></r><r><rPr><sz val="11"/><color theme="1"/><rFont val="Calibri"/><family val="2"/><charset val="186"/><scheme val="minor"/></rPr><t xml:space="preserve"> · h · k</t></r><r><rPr><vertAlign val="subscript"/><sz val="11"/><color theme="1"/><rFont val="Calibri"/><family val="2"/><charset val="186"/><scheme val="minor"/></rPr><t>φ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</si><si>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tr330,1</t></r><r><rPr><sz val="11"/><color theme="1"/><rFont val="Calibri"/><family val="2"/><charset val="186"/><scheme val="minor"/></rPr><t xml:space="preserve"> · h · k</t></r><r><rPr><vertAlign val="subscript"/><sz val="11"/><color theme="1"/><rFont val="Calibri"/><family val="2"/><charset val="186"/><scheme val="minor"/></rPr><t>φ1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</si><si>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tr330,2</t></r><r><rPr><sz val="11"/><color theme="1"/><rFont val="Calibri"/><family val="2"/><charset val="186"/><scheme val="minor"/></rPr><t xml:space="preserve"> · b · h · k</t></r><r><rPr><vertAlign val="subscript"/><sz val="11"/><color theme="1"/><rFont val="Calibri"/><family val="2"/><charset val="186"/><scheme val="minor"/></rPr><t>φ2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</si><si>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PK,1</t></r><r><rPr><sz val="11"/><color theme="1"/><rFont val="Calibri"/><family val="2"/><charset val="186"/><scheme val="minor"/></rPr><t xml:space="preserve"> · b · k</t></r><r><rPr><vertAlign val="subscript"/><sz val="11"/><color theme="1"/><rFont val="Calibri"/><family val="2"/><charset val="186"/><scheme val="minor"/></rPr><t>φ1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</si><si>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PK,2</t></r><r><rPr><sz val="11"/><color theme="1"/><rFont val="Calibri"/><family val="2"/><charset val="186"/><scheme val="minor"/></rPr><t xml:space="preserve"> · h · k</t></r><r><rPr><vertAlign val="subscript"/><sz val="11"/><color theme="1"/><rFont val="Calibri"/><family val="2"/><charset val="186"/><scheme val="minor"/></rPr><t>φ2</t></r><r><rPr><sz val="11"/><color theme="1"/><rFont val="Calibri"/><family val="2"/><charset val="186"/><scheme val="minor"/></rPr><t xml:space="preserve"> </t></r></si><si><r><t>= q</t></r><r><rPr><vertAlign val="subscript"/><sz val="11"/><color theme="1"/><rFont val="Calibri"/><family val="2"/><charset val="186"/><scheme val="minor"/></rPr><t>h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q</t></r><r><rPr><sz val="11"/><color theme="1"/><rFont val="Calibri"/><family val="2"/><charset val="186"/><scheme val="minor"/></rPr><t xml:space="preserve"> · G</t></r><r><rPr><vertAlign val="subscript"/><sz val="11"/><color theme="1"/><rFont val="Calibri"/><family val="2"/><charset val="186"/><scheme val="minor"/></rPr><t>pol</t></r><r><rPr><sz val="11"/><color theme="1"/><rFont val="Calibri"/><family val="2"/><charset val="186"/><scheme val="minor"/></rPr><t xml:space="preserve"> · C</t></r><r><rPr><vertAlign val="subscript"/><sz val="11"/><color theme="1"/><rFont val="Calibri"/><family val="2"/><charset val="186"/><scheme val="minor"/></rPr><t>post</t></r><r><rPr><sz val="11"/><color theme="1"/><rFont val="Calibri"/><family val="2"/><charset val="186"/><scheme val="minor"/></rPr><t xml:space="preserve"> · D </t></r></si><si><t>tuule jõutegur jäätunud jäikustalale</t></si><si><t xml:space="preserve">= 309,60 · 1,97 · 1,15 · 1,88 · 0,293 · 0,005 </t></si><si><t xml:space="preserve">= 0,24 · 23 </t></si><si><r><t>= 1 / 2 · 1,225 · 25,25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</si><si>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(1+2.28 / ln[28 / 0,05])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</si><si>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t>DIN EN 10143</t></si><si><r><t>C</t></r><r><rPr><vertAlign val="subscript"/><sz val="11"/><color theme="1"/><rFont val="Calibri"/><family val="2"/><charset val="186"/><scheme val="minor"/></rPr><t>0</t></r><r><rPr><sz val="11"/><color theme="1"/><rFont val="Calibri"/><family val="2"/><charset val="186"/><scheme val="minor"/></rPr><t xml:space="preserve"> =</t></r></si><si><r><t>C</t></r><r><rPr><vertAlign val="subscript"/><sz val="11"/><color theme="1"/><rFont val="Calibri"/><family val="2"/><charset val="186"/><scheme val="minor"/></rPr><t>i</t></r><r><rPr><sz val="11"/><color theme="1"/><rFont val="Calibri"/><family val="2"/><charset val="186"/><scheme val="minor"/></rPr><t xml:space="preserve"> =</t></r></si><si><t xml:space="preserve">= 5 · 0,27 </t></si><si><t xml:space="preserve">= 0,35 · 5 </t></si><si><r><t>= 1 / 2 · 1,225 · 26,77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</si><si>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r><t>= (1+2.28 / ln[41 / 0,05])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</si><si>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t xml:space="preserve">= 438,94 · 1,80 · 1,15 · 1,50 · 0,35 · 0,005 </t></si><si><t xml:space="preserve">= 438,94 · 1,80 · 1,15 · 1,50 · 0,27 · 0,995 </t></si><si><t xml:space="preserve">= 390,46 · 1,85 · 1,15 · 1,75 · 0,24 · 0,005 </t></si><si><t xml:space="preserve">= 422,09 · 1,81 · 1,15 · 1,58 · 0,25 · 0,005 </t></si><si><t xml:space="preserve">= 422,09 · 1,81 · 1,15 · 1,75 · 0,25 · 0,25 · 0,995 </t></si><si><r><t>h</t></r><r><rPr><sz val="11"/><color theme="1"/><rFont val="Calibri"/><family val="2"/><charset val="186"/><scheme val="minor"/></rPr><t xml:space="preserve"> =</t></r></si><si><t xml:space="preserve">= 0,344 · 36 </t></si><si><r><t>D</t></r><r><rPr><sz val="11"/><color theme="1"/><rFont val="Calibri"/><family val="2"/><charset val="186"/><scheme val="minor"/></rPr><t xml:space="preserve"> =</t></r></si><si><r><t>= cos(radians[45])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</t></r></si><si><t xml:space="preserve">= 309,60 · 1,97 · 1,15 · 1,88 · 0,293 · 0,500 </t></si><si><t xml:space="preserve">= 390,46 · 1,85 · 1,15 · 1,75 · 0,24 · 0,500 </t></si><si><t xml:space="preserve">= 422,09 · 1,81 · 1,15 · 1,58 · 0,25 · 0,500 </t></si><si><t xml:space="preserve">= 422,09 · 1,81 · 1,15 · 1,75 · 0,25 · 0,25 · 0,500 </t></si><si><t xml:space="preserve">= 438,94 · 1,80 · 1,15 · 1,50 · 0,35 · 0,500 </t></si><si><t xml:space="preserve">= 438,94 · 1,80 · 1,15 · 1,50 · 0,27 · 0,500 </t></si><si><r><t>d</t></r><r><rPr><sz val="11"/><color theme="1"/><rFont val="Calibri"/><family val="2"/><charset val="186"/><scheme val="minor"/></rPr><t xml:space="preserve"> =</t></r></si><si><r><t>g</t></r><r><rPr><sz val="11"/><color theme="1"/><rFont val="Calibri"/><family val="2"/><charset val="186"/><scheme val="minor"/></rPr><t xml:space="preserve"> =</t></r></si><si><r><t>π</t></r><r><rPr><sz val="11"/><color theme="1"/><rFont val="Calibri"/><family val="2"/><charset val="186"/><scheme val="minor"/></rPr><t xml:space="preserve"> =</t></r></si><si><r><t>n</t></r><r><rPr><sz val="11"/><color theme="1"/><rFont val="Calibri"/><family val="2"/><charset val="186"/><scheme val="minor"/></rPr><t xml:space="preserve"> =</t></r></si><si><r><t>= sin(radians[45]) · Q</t></r><r><rPr><vertAlign val="subscript"/><sz val="11"/><color theme="1"/><rFont val="Calibri"/><family val="2"/><charset val="186"/><scheme val="minor"/></rPr><t>Wins330</t></r><r><rPr><sz val="11"/><color theme="1"/><rFont val="Calibri"/><family val="2"/><charset val="186"/><scheme val="minor"/></rPr><t xml:space="preserve"> </t></r></si><si><r><t>= cos(radians[45]) · Q</t></r><r><rPr><vertAlign val="subscript"/><sz val="11"/><color theme="1"/><rFont val="Calibri"/><family val="2"/><charset val="186"/><scheme val="minor"/></rPr><t>Wins330</t></r><r><rPr><sz val="11"/><color theme="1"/><rFont val="Calibri"/><family val="2"/><charset val="186"/><scheme val="minor"/></rPr><t xml:space="preserve"> </t></r></si><si><r><t>= cos(radians[0]) · Q</t></r><r><rPr><vertAlign val="subscript"/><sz val="11"/><color theme="1"/><rFont val="Calibri"/><family val="2"/><charset val="186"/><scheme val="minor"/></rPr><t>Wins330</t></r><r><rPr><sz val="11"/><color theme="1"/><rFont val="Calibri"/><family val="2"/><charset val="186"/><scheme val="minor"/></rPr><t xml:space="preserve"> </t></r></si><si><r><t>= sin(radians[0]) · Q</t></r><r><rPr><vertAlign val="subscript"/><sz val="11"/><color theme="1"/><rFont val="Calibri"/><family val="2"/><charset val="186"/><scheme val="minor"/></rPr><t>Wins330</t></r><r><rPr><sz val="11"/><color theme="1"/><rFont val="Calibri"/><family val="2"/><charset val="186"/><scheme val="minor"/></rPr><t xml:space="preserve"> </t></r></si><si><r><t>=</t></r><r><rPr><sz val="11"/><color theme="1"/><rFont val="Symbol"/><family val="1"/><charset val="2"/></rPr><t xml:space="preserve"> Ö</t></r><r><rPr><sz val="11"/><color theme="1"/><rFont val="Calibri"/><family val="2"/><charset val="186"/><scheme val="minor"/></rPr><t>(d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+ [{4 · I</t></r><r><rPr><vertAlign val="subscript"/><sz val="11"/><color theme="1"/><rFont val="Calibri"/><family val="2"/><charset val="186"/><scheme val="minor"/></rPr><t>1,1</t></r><r><rPr><sz val="11"/><color theme="1"/><rFont val="Calibri"/><family val="2"/><charset val="186"/><scheme val="minor"/></rPr><t>} / {g · π · ρ</t></r><r><rPr><vertAlign val="subscript"/><sz val="11"/><color theme="1"/><rFont val="Calibri"/><family val="2"/><charset val="186"/><scheme val="minor"/></rPr><t>1</t></r><r><rPr><sz val="11"/><color theme="1"/><rFont val="Calibri"/><family val="2"/><charset val="186"/><scheme val="minor"/></rPr><t xml:space="preserve">}]) </t></r></si><si><r><t>= qGGC · D</t></r><r><rPr><vertAlign val="subscript"/><sz val="11"/><color theme="1"/><rFont val="Calibri"/><family val="2"/><charset val="186"/><scheme val="minor"/></rPr><t>1,1</t></r><r><rPr><sz val="11"/><color theme="1"/><rFont val="Calibri"/><family val="2"/><charset val="186"/><scheme val="minor"/></rPr><t xml:space="preserve"> </t></r></si><si><r><t>= qGGC · D</t></r><r><rPr><vertAlign val="subscript"/><sz val="11"/><color theme="1"/><rFont val="Calibri"/><family val="2"/><charset val="186"/><scheme val="minor"/></rPr><t>1,2</t></r><r><rPr><sz val="11"/><color theme="1"/><rFont val="Calibri"/><family val="2"/><charset val="186"/><scheme val="minor"/></rPr><t xml:space="preserve"> </t></r></si><si><r><t>n</t></r><r><rPr><sz val="11"/><color theme="1"/><rFont val="Calibri"/><family val="2"/><charset val="186"/><scheme val="minor"/></rPr><t xml:space="preserve"> =</t></r></si><si><r><t>= Q</t></r><r><rPr><vertAlign val="subscript"/><sz val="11"/><color theme="1"/><rFont val="Calibri"/><family val="2"/><charset val="186"/><scheme val="minor"/></rPr><t>W,lõhis</t></r><r><rPr><sz val="11"/><color theme="1"/><rFont val="Calibri"/><family val="2"/><charset val="186"/><scheme val="minor"/></rPr><t xml:space="preserve"> · n </t></r></si><si><t>suunategur A. Vantidele</t></si><si><t>A. Vantidele mõjuv tuulekoormus</t></si><si><t xml:space="preserve">suunategur B. Vantidele </t></si><si><t>B. Vantidele  mõjuv tuulekoormus</t></si><si><r><t>k</t></r><r><rPr><vertAlign val="subscript"/><sz val="11"/><color theme="1"/><rFont val="Calibri"/><family val="2"/><charset val="186"/><scheme val="minor"/></rPr><t>Φ,A</t></r><r><rPr><sz val="11"/><color theme="1"/><rFont val="Calibri"/><family val="2"/><charset val="186"/><scheme val="minor"/></rPr><t xml:space="preserve"> =</t></r></si><si><r><t>k</t></r><r><rPr><vertAlign val="subscript"/><sz val="11"/><color theme="1"/><rFont val="Calibri"/><family val="2"/><charset val="186"/><scheme val="minor"/></rPr><t>Φ,B</t></r><r><rPr><sz val="11"/><color theme="1"/><rFont val="Calibri"/><family val="2"/><charset val="186"/><scheme val="minor"/></rPr><t xml:space="preserve"> =</t></r></si><si><r><t>Q</t></r><r><rPr><b/><vertAlign val="subscript"/><sz val="11"/><color theme="1"/><rFont val="Calibri"/><family val="2"/><charset val="186"/><scheme val="minor"/></rPr><t>W,B</t></r><r><rPr><b/><sz val="11"/><color theme="1"/><rFont val="Calibri"/><family val="2"/><charset val="186"/><scheme val="minor"/></rPr><t xml:space="preserve"> =</t></r></si><si><r><t>Q</t></r><r><rPr><b/><vertAlign val="subscript"/><sz val="11"/><color theme="1"/><rFont val="Calibri"/><family val="2"/><charset val="186"/><scheme val="minor"/></rPr><t xml:space="preserve">W, A </t></r><r><rPr><b/><sz val="11"/><color theme="1"/><rFont val="Calibri"/><family val="2"/><charset val="186"/><scheme val="minor"/></rPr><t>=</t></r></si><si><t>jäätunud vantidele mõjuv tuulejõud</t></si><si><t>Normatiivsete koormuste koond tabel</t></si><si><t>tuul</t></si><si><t>Temperatuurikoormused</t></si><si><t>ehitus ja hooldus</t></si><si><t>avariikoormused</t></si><si><t>3a_1</t></si><si><t>3a_2</t></si><si><t>3a_3</t></si><si><t>Piirjäitekoormus + vähendatud tuule koormus 1</t></si><si><t>Piirjäitekoormus + vähendatud tuule koormus 2</t></si><si><t>Piirjäitekoormus + vähendatud tuule koormus 3</t></si><si><t>3b_1</t></si><si><t>3b_2</t></si><si><t>3b_3</t></si><si><t>Suur tuulekoormus 1 + mõõdukas jäitekoormus</t></si><si><t>Suur tuulekoormus 2 + mõõdukas jäitekoormus</t></si><si><t>Suur tuulekoormus 3 + mõõdukas jäitekoormus</t></si><si><t>kN/m</t></si><si><t>A =</t></si><si><r><t>R</t></r><r><rPr><vertAlign val="subscript"/><sz val="9"/><color theme="1"/><rFont val="Verdana"/><family val="2"/><charset val="186"/></rPr><t>O</t></r><r><rPr><sz val="9"/><color theme="1"/><rFont val="Verdana"/><family val="2"/><charset val="186"/></rPr><t xml:space="preserve"> =</t></r></si><si><t>L:</t></si><si><t>110kV viga</t></si><si><t>%</t></si><si><t>330kV viga</t></si><si><t>0kV viga</t></si><si><t>110kV kontroll</t></si><si><t>330kV kontroll</t></si><si><t>0kV kontroll</t></si><si><t>Kontrollin mudelis liinide kaugema otsa toereaktsioone</t></si><si><r><t>p</t></r><r><rPr><vertAlign val="subscript"/><sz val="9"/><color theme="1"/><rFont val="Verdana"/><family val="2"/><charset val="186"/></rPr><t>robot</t></r><r><rPr><sz val="9"/><color theme="1"/><rFont val="Verdana"/><family val="2"/><charset val="186"/></rPr><t xml:space="preserve"> =</t></r></si><si><r><t>p</t></r><r><rPr><vertAlign val="subscript"/><sz val="9"/><color theme="1"/><rFont val="Verdana"/><family val="2"/><charset val="186"/></rPr><t>Robot</t></r><r><rPr><sz val="9"/><color theme="1"/><rFont val="Verdana"/><family val="2"/><charset val="186"/></rPr><t xml:space="preserve"> =</t></r></si><si><r><t>A</t></r><r><rPr><vertAlign val="subscript"/><sz val="9"/><color theme="1"/><rFont val="Verdana"/><family val="2"/><charset val="186"/></rPr><t>arvutuslik</t></r><r><rPr><sz val="9"/><color theme="1"/><rFont val="Verdana"/><family val="2"/><charset val="186"/></rPr><t xml:space="preserve"> =</t></r></si><si><r><t>p</t></r><r><rPr><vertAlign val="subscript"/><sz val="9"/><color theme="1"/><rFont val="Verdana"/><family val="2"/><charset val="186"/></rPr><t>arvutslik</t></r><r><rPr><sz val="9"/><color theme="1"/><rFont val="Verdana"/><family val="2"/><charset val="186"/></rPr><t xml:space="preserve"> =</t></r></si><si><r><t>p</t></r><r><rPr><vertAlign val="subscript"/><sz val="9"/><color theme="1"/><rFont val="Verdana"/><family val="2"/><charset val="186"/></rPr><t>viga</t></r><r><rPr><sz val="9"/><color theme="1"/><rFont val="Verdana"/><family val="2"/><charset val="186"/></rPr><t xml:space="preserve"> =</t></r></si><si><t>kN/m³</t></si><si><t>juhtme pikkus mudelis</t></si><si><t>arvutuslik osa liinist, millelt arvestada kaugema otsa toereaktsiooni</t></si><si><t>külg 1 (Y+)</t></si><si><t>külg2 (X-)</t></si><si><t>(suund mudelis)</t></si><si><t>külg 2 (X-)</t></si><si><t>Minimaaltemperatuur</t></si><si><t>1c_1</t></si><si><t>1c_2</t></si><si><t>1c_3</t></si><si><t>Mõõdukas tuule kiirus (tuul_1)</t></si><si><t>Mõõdukas tuule kiirus (tuul_2)</t></si><si><t>Mõõdukas tuule kiirus (tuul_3)</t></si><si><t>3kN</t></si><si><t>Sõlmede dimensioneerimine</t></si><si><t>Toesõlm</t></si><si><t>Jäikustala ühendus postiga</t></si><si><t>110kV Traaversi ühendus postiga</t></si><si><t>330kV Traaversi ja piksekaitse kinnituste ühendus postiga</t></si><si><t>Vantide kinnitused</t></si><si><t>Jätkusõlmed</t></si><si><t>ühendus vundamendiga</t></si><si><t>ühendus postiga</t></si><si><t>Posti jätkud</t></si><si><t>110 kV traaversi jätk</t></si><si><t>330kV traaversi jätk</t></si><si><t>Eeldan traaversi ristlõikeks 250x250x6</t></si><si><r><t>= A</t></r><r><rPr><vertAlign val="subscript"/><sz val="11"/><color theme="1"/><rFont val="Calibri"/><family val="2"/><charset val="186"/><scheme val="minor"/></rPr><t>PK</t></r><r><rPr><sz val="11"/><color theme="1"/><rFont val="Calibri"/><family val="2"/><charset val="186"/><scheme val="minor"/></rPr><t xml:space="preserve"> · b · ρ</t></r><r><rPr><vertAlign val="subscript"/><sz val="11"/><color theme="1"/><rFont val="Calibri"/><family val="2"/><charset val="186"/><scheme val="minor"/></rPr><t>i</t></r><r><rPr><sz val="11"/><color theme="1"/><rFont val="Calibri"/><family val="2"/><charset val="186"/><scheme val="minor"/></rPr><t xml:space="preserve"> · g </t></r></si><si><r><t>= 3,14 · 1,00 · 0,88 · 10,00 · (21,80+1,00 · 0,88 · 10,00) · 0,90 · 9,81 · 10</t></r><r><rPr><vertAlign val="superscript"/><sz val="11"/><color theme="1"/><rFont val="Calibri"/><family val="2"/><charset val="186"/><scheme val="minor"/></rPr><t>-3</t></r><r><rPr><sz val="11"/><color theme="1"/><rFont val="Calibri"/><family val="2"/><charset val="186"/><scheme val="minor"/></rPr><t xml:space="preserve"> </t></r></si><si><r><t>= 3,14 · 1,40 · 0,82 · 10,00 · (27,70+1,40 · 0,82 · 10,00) · 0,90 · 9,81 · 10</t></r><r><rPr><vertAlign val="superscript"/><sz val="11"/><color theme="1"/><rFont val="Calibri"/><family val="2"/><charset val="186"/><scheme val="minor"/></rPr><t>-3</t></r><r><rPr><sz val="11"/><color theme="1"/><rFont val="Calibri"/><family val="2"/><charset val="186"/><scheme val="minor"/></rPr><t xml:space="preserve"> </t></r></si><si><r><t>=</t></r><r><rPr><sz val="11"/><color theme="1"/><rFont val="Symbol"/><family val="1"/><charset val="2"/></rPr><t xml:space="preserve"> Ö</t></r><r><rPr><sz val="11"/><color theme="1"/><rFont val="Calibri"/><family val="2"/><charset val="186"/><scheme val="minor"/></rPr><t>(0,0218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+[{4 · 11,20} / {9,81 · 3,1416 · 900,00}]) </t></r></si><si><r><t>= Ψ</t></r><r><rPr><vertAlign val="subscript"/><sz val="11"/><color theme="1"/><rFont val="Calibri"/><family val="2"/><charset val="186"/><scheme val="minor"/></rPr><t>I</t></r><r><rPr><sz val="11"/><color theme="1"/><rFont val="Calibri"/><family val="2"/><charset val="186"/><scheme val="minor"/></rPr><t xml:space="preserve"> · I</t></r><r><rPr><vertAlign val="subscript"/><sz val="11"/><color theme="1"/><rFont val="Calibri"/><family val="2"/><charset val="186"/><scheme val="minor"/></rPr><t>k</t></r><r><rPr><sz val="11"/><color theme="1"/><rFont val="Calibri"/><family val="2"/><charset val="186"/><scheme val="minor"/></rPr><t xml:space="preserve"> </t></r></si><si><r><t>=</t></r><r><rPr><sz val="11"/><color theme="1"/><rFont val="Symbol"/><family val="1"/><charset val="2"/></rPr><t xml:space="preserve"> Ö</t></r><r><rPr><sz val="11"/><color theme="1"/><rFont val="Calibri"/><family val="2"/><charset val="186"/><scheme val="minor"/></rPr><t>(d</t></r><r><rPr><vertAlign val="superscript"/><sz val="11"/><color theme="1"/><rFont val="Calibri"/><family val="2"/><charset val="186"/><scheme val="minor"/></rPr><t>2</t></r><r><rPr><sz val="11"/><color theme="1"/><rFont val="Calibri"/><family val="2"/><charset val="186"/><scheme val="minor"/></rPr><t xml:space="preserve"> + [4 · I</t></r><r><rPr><vertAlign val="subscript"/><sz val="11"/><color theme="1"/><rFont val="Calibri"/><family val="2"/><charset val="186"/><scheme val="minor"/></rPr><t>1,2</t></r><r><rPr><sz val="11"/><color theme="1"/><rFont val="Calibri"/><family val="2"/><charset val="186"/><scheme val="minor"/></rPr><t>] / [g · π · ρ</t></r><r><rPr><vertAlign val="subscript"/><sz val="11"/><color theme="1"/><rFont val="Calibri"/><family val="2"/><charset val="186"/><scheme val="minor"/></rPr><t>1</t></r><r><rPr><sz val="11"/><color theme="1"/><rFont val="Calibri"/><family val="2"/><charset val="186"/><scheme val="minor"/></rPr><t xml:space="preserve">]) </t></r></si><si><t>Kahe juhtme katkemine ?</t></si><si><t>Masti elementide kontroll vastavalt mudelist saadud maksimaalsetele sisejõududele.</t></si><si><t>Posti kontroll</t></si><si><t>D</t></si><si><t>T</t></si><si><t>M</t></si><si><t>kg/m</t></si><si><t>A</t></si><si><r><t>mm</t></r><r><rPr><b/><vertAlign val="superscript"/><sz val="9"/><color rgb="FF000000"/><rFont val="Arial"/><family val="2"/><charset val="186"/></rPr><t>2 </t></r><r><rPr><b/><sz val="9"/><color rgb="FF000000"/><rFont val="Arial"/><family val="2"/><charset val="186"/></rPr><t>x 10</t></r><r><rPr><b/><vertAlign val="superscript"/><sz val="9"/><color rgb="FF000000"/><rFont val="Arial"/><family val="2"/><charset val="186"/></rPr><t>2</t></r></si><si><r><t>A</t></r><r><rPr><b/><vertAlign val="subscript"/><sz val="9"/><color rgb="FF000000"/><rFont val="Arial"/><family val="2"/><charset val="186"/></rPr><t>u</t></r></si><si><r><t>m</t></r><r><rPr><b/><vertAlign val="superscript"/><sz val="9"/><color rgb="FF000000"/><rFont val="Arial"/><family val="2"/><charset val="186"/></rPr><t>2</t></r><r><rPr><b/><sz val="9"/><color rgb="FF000000"/><rFont val="Arial"/><family val="2"/><charset val="186"/></rPr><t>/m</t></r></si><si><t>I</t></si><si><r><t>mm</t></r><r><rPr><b/><vertAlign val="superscript"/><sz val="9"/><color rgb="FF000000"/><rFont val="Arial"/><family val="2"/><charset val="186"/></rPr><t>4 </t></r><r><rPr><b/><sz val="9"/><color rgb="FF000000"/><rFont val="Arial"/><family val="2"/><charset val="186"/></rPr><t>x 10</t></r><r><rPr><b/><vertAlign val="superscript"/><sz val="9"/><color rgb="FF000000"/><rFont val="Arial"/><family val="2"/><charset val="186"/></rPr><t>4</t></r></si><si><t>W</t></si><si><r><t>mm</t></r><r><rPr><b/><vertAlign val="superscript"/><sz val="9"/><color rgb="FF000000"/><rFont val="Arial"/><family val="2"/><charset val="186"/></rPr><t>3</t></r><r><rPr><b/><sz val="9"/><color rgb="FF000000"/><rFont val="Arial"/><family val="2"/><charset val="186"/></rPr><t> x 10</t></r><r><rPr><b/><vertAlign val="superscript"/><sz val="9"/><color rgb="FF000000"/><rFont val="Arial"/><family val="2"/><charset val="186"/></rPr><t>3</t></r></si><si><r><t>W</t></r><r><rPr><b/><vertAlign val="subscript"/><sz val="9"/><color rgb="FF000000"/><rFont val="Arial"/><family val="2"/><charset val="186"/></rPr><t>p</t></r></si><si><r><t>mm</t></r><r><rPr><b/><vertAlign val="superscript"/><sz val="9"/><color rgb="FF000000"/><rFont val="Arial"/><family val="2"/><charset val="186"/></rPr><t>3 </t></r><r><rPr><b/><sz val="9"/><color rgb="FF000000"/><rFont val="Arial"/><family val="2"/><charset val="186"/></rPr><t>x 10</t></r><r><rPr><b/><vertAlign val="superscript"/><sz val="9"/><color rgb="FF000000"/><rFont val="Arial"/><family val="2"/><charset val="186"/></rPr><t>3</t></r></si><si><t>i</t></si><si><t>mm x 10</t></si><si><r><t>I</t></r><r><rPr><b/><vertAlign val="subscript"/><sz val="9"/><color rgb="FF000000"/><rFont val="Arial"/><family val="2"/><charset val="186"/></rPr><t>v</t></r></si><si><r><t>W</t></r><r><rPr><b/><vertAlign val="subscript"/><sz val="9"/><color rgb="FF000000"/><rFont val="Arial"/><family val="2"/><charset val="186"/></rPr><t>v</t></r></si><si><t>Nimi</t></si><si><t>Posti ristlõige</t></si><si><t>kNm</t></si><si><t>Ristlõike omadused</t></si><si><t>T =</t></si><si><t>läbimõõt</t></si><si><t>seina paksus</t></si><si><t>pindala</t></si><si><t>mm²</t></si><si><t>Ristlõike klassi määramine</t></si><si><t>ε =</t></si><si><t>Tegur S355 jaoks</t></si><si><r><t>= ε</t></r><r><rPr><vertAlign val="superscript"/><sz val="9"/><color theme="1"/><rFont val="Verdana"/><family val="2"/><charset val="186"/></rPr><t>2</t></r><r><rPr><sz val="9"/><color theme="1"/><rFont val="Verdana"/><family val="2"/><charset val="186"/></rPr><t xml:space="preserve"> </t></r></si><si><t xml:space="preserve">= D / T </t></si><si><t>D323,9 x 12,5</t></si><si><t>RK=</t></si><si><t>Kontroll paindele</t></si><si><t xml:space="preserve">Stabiilsuse kontroll </t></si><si><r><t>γ</t></r><r><rPr><vertAlign val="subscript"/><sz val="11"/><color theme="1"/><rFont val="Calibri"/><family val="2"/><charset val="186"/></rPr><t>M0</t></r><r><rPr><sz val="11"/><color theme="1"/><rFont val="Calibri"/><family val="2"/><charset val="186"/></rPr><t>=</t></r></si><si><r><t>γ</t></r><r><rPr><vertAlign val="subscript"/><sz val="11"/><color theme="1"/><rFont val="Calibri"/><family val="2"/><charset val="186"/></rPr><t>M1</t></r><r><rPr><sz val="11"/><color theme="1"/><rFont val="Calibri"/><family val="2"/><charset val="186"/></rPr><t>=</t></r></si><si><r><t>γ</t></r><r><rPr><vertAlign val="subscript"/><sz val="11"/><color theme="1"/><rFont val="Calibri"/><family val="2"/><charset val="186"/></rPr><t>M2</t></r><r><rPr><sz val="11"/><color theme="1"/><rFont val="Calibri"/><family val="2"/><charset val="186"/></rPr><t>=</t></r></si><si><t>ristlõike kandevõime, olenemata ristlõikeklassist</t></si><si><t>varda kandevõime üldstabiilsuse suhtes</t></si><si><t>ristlõike kandevõime lähtuvalt terase tõmbetugevusest</t></si><si><r><t>N</t></r><r><rPr><vertAlign val="subscript"/><sz val="9"/><color theme="1"/><rFont val="Verdana"/><family val="2"/><charset val="186"/></rPr><t>c,Rd</t></r><r><rPr><sz val="9"/><color theme="1"/><rFont val="Verdana"/><family val="2"/><charset val="186"/></rPr><t xml:space="preserve"> =</t></r></si><si><r><t>f</t></r><r><rPr><vertAlign val="subscript"/><sz val="9"/><color theme="1"/><rFont val="Verdana"/><family val="2"/><charset val="186"/></rPr><t>y</t></r><r><rPr><sz val="9"/><color theme="1"/><rFont val="Verdana"/><family val="2"/><charset val="186"/></rPr><t xml:space="preserve"> =</t></r></si><si><t>Mpa</t></si><si><t>tõhusus</t></si><si><r><t>= A · f</t></r><r><rPr><vertAlign val="subscript"/><sz val="9"/><color theme="1"/><rFont val="Verdana"/><family val="2"/><charset val="186"/></rPr><t>y</t></r><r><rPr><sz val="9"/><color theme="1"/><rFont val="Verdana"/><family val="2"/><charset val="186"/></rPr><t xml:space="preserve"> / γ</t></r><r><rPr><vertAlign val="subscript"/><sz val="9"/><color theme="1"/><rFont val="Verdana"/><family val="2"/><charset val="186"/></rPr><t>M0</t></r><r><rPr><sz val="9"/><color theme="1"/><rFont val="Verdana"/><family val="2"/><charset val="186"/></rPr><t xml:space="preserve"> · 10</t></r><r><rPr><vertAlign val="superscript"/><sz val="9"/><color theme="1"/><rFont val="Verdana"/><family val="2"/><charset val="186"/></rPr><t>-3</t></r><r><rPr><sz val="9"/><color theme="1"/><rFont val="Verdana"/><family val="2"/><charset val="186"/></rPr><t xml:space="preserve"> </t></r></si><si><r><t>W</t></r><r><rPr><vertAlign val="subscript"/><sz val="9"/><color theme="1"/><rFont val="Verdana"/><family val="2"/><charset val="186"/></rPr><t>el</t></r><r><rPr><sz val="9"/><color theme="1"/><rFont val="Verdana"/><family val="2"/><charset val="186"/></rPr><t xml:space="preserve"> =</t></r></si><si><t>mm3</t></si><si><t>elastne vastupanumoment</t></si><si><r><t>M</t></r><r><rPr><vertAlign val="subscript"/><sz val="9"/><color theme="1"/><rFont val="Verdana"/><family val="2"/><charset val="186"/></rPr><t>c,Rd</t></r><r><rPr><sz val="9"/><color theme="1"/><rFont val="Verdana"/><family val="2"/><charset val="186"/></rPr><t xml:space="preserve"> =</t></r></si><si><r><t>= W</t></r><r><rPr><vertAlign val="subscript"/><sz val="9"/><color theme="1"/><rFont val="Verdana"/><family val="2"/><charset val="186"/></rPr><t>el</t></r><r><rPr><sz val="9"/><color theme="1"/><rFont val="Verdana"/><family val="2"/><charset val="186"/></rPr><t xml:space="preserve"> · f</t></r><r><rPr><vertAlign val="subscript"/><sz val="9"/><color theme="1"/><rFont val="Verdana"/><family val="2"/><charset val="186"/></rPr><t>y</t></r><r><rPr><sz val="9"/><color theme="1"/><rFont val="Verdana"/><family val="2"/><charset val="186"/></rPr><t xml:space="preserve"> / γ</t></r><r><rPr><vertAlign val="subscript"/><sz val="9"/><color theme="1"/><rFont val="Verdana"/><family val="2"/><charset val="186"/></rPr><t>M0</t></r><r><rPr><sz val="9"/><color theme="1"/><rFont val="Verdana"/><family val="2"/><charset val="186"/></rPr><t xml:space="preserve"> · 10</t></r><r><rPr><vertAlign val="superscript"/><sz val="9"/><color theme="1"/><rFont val="Verdana"/><family val="2"/><charset val="186"/></rPr><t>-6</t></r><r><rPr><sz val="9"/><color theme="1"/><rFont val="Verdana"/><family val="2"/><charset val="186"/></rPr><t xml:space="preserve"> </t></r></si><si><r><t>M</t></r><r><rPr><vertAlign val="subscript"/><sz val="9"/><color theme="1"/><rFont val="Verdana"/><family val="2"/><charset val="186"/></rPr><t>Ed</t></r><r><rPr><sz val="9"/><color theme="1"/><rFont val="Verdana"/><family val="2"/><charset val="186"/></rPr><t xml:space="preserve"> =</t></r></si><si><t>Surutud ja painutatud varras</t></si><si><t>nõtkekontroll</t></si><si><t>a</t></si><si><t>Nõtkekõver</t></si><si><t>α =</t></si><si><t>Hälbetegur</t></si><si><r><rPr><sz val="9"/><color theme="1"/><rFont val="Symbol"/><family val="1"/><charset val="2"/></rPr><t>`</t></r><r><rPr><sz val="9"/><color theme="1"/><rFont val="Verdana"/><family val="2"/><charset val="186"/></rPr><t>λ=</t></r></si><si><t>Φ =</t></si><si><r><t>L</t></r><r><rPr><vertAlign val="subscript"/><sz val="9"/><color theme="1"/><rFont val="Verdana"/><family val="2"/><charset val="186"/></rPr><t>ef</t></r><r><rPr><sz val="9"/><color theme="1"/><rFont val="Verdana"/><family val="2"/><charset val="186"/></rPr><t xml:space="preserve"> =</t></r></si><si><t>μ =</t></si><si><t>i =</t></si><si><t>E =</t></si><si><r><t>N</t></r><r><rPr><vertAlign val="subscript"/><sz val="9"/><color theme="1"/><rFont val="Verdana"/><family val="2"/><charset val="186"/></rPr><t>b, Rd</t></r><r><rPr><sz val="9"/><color theme="1"/><rFont val="Verdana"/><family val="2"/><charset val="186"/></rPr><t xml:space="preserve"> =</t></r></si><si><t>arvutuslik nõtkekandevõime</t></si><si><t>nõtketegur</t></si><si><t>abisuurus</t></si><si><t>tingsaledus</t></si><si><t>Elastsusmoodul</t></si><si><t>inertsiraadius</t></si><si><t>nõtkepikkus</t></si><si><t>abitegur</t></si><si><t>varda pikkus</t></si><si><t xml:space="preserve">= L · μ </t></si><si><r><t>= L</t></r><r><rPr><vertAlign val="subscript"/><sz val="9"/><color theme="1"/><rFont val="Verdana"/><family val="2"/><charset val="186"/></rPr><t>ef</t></r><r><rPr><sz val="9"/><color theme="1"/><rFont val="Verdana"/><family val="2"/><charset val="186"/></rPr><t xml:space="preserve"> / i </t></r></si><si><r><t xml:space="preserve">= (λ / </t></r><r><rPr><sz val="9"/><color theme="1"/><rFont val="Symbol"/><family val="1"/><charset val="2"/></rPr><t>p</t></r><r><rPr><sz val="9"/><color theme="1"/><rFont val="Verdana"/><family val="2"/><charset val="186"/></rPr><t>) · (f</t></r><r><rPr><vertAlign val="subscript"/><sz val="9"/><color theme="1"/><rFont val="Verdana"/><family val="2"/><charset val="186"/></rPr><t>y</t></r><r><rPr><sz val="9"/><color theme="1"/><rFont val="Verdana"/><family val="2"/><charset val="186"/></rPr><t xml:space="preserve"> / E)</t></r><r><rPr><vertAlign val="superscript"/><sz val="9"/><color theme="1"/><rFont val="Verdana"/><family val="2"/><charset val="186"/></rPr><t>0.5</t></r><r><rPr><sz val="9"/><color theme="1"/><rFont val="Verdana"/><family val="2"/><charset val="186"/></rPr><t xml:space="preserve"> </t></r></si><si><r><t>= 0.5 · (1 + α · [</t></r><r><rPr><sz val="9"/><color theme="1"/><rFont val="Symbol"/><family val="1"/><charset val="2"/></rPr><t>`</t></r><r><rPr><sz val="9"/><color theme="1"/><rFont val="Verdana"/><family val="2"/><charset val="186"/></rPr><t xml:space="preserve">λ - 0.2] + </t></r><r><rPr><sz val="9"/><color theme="1"/><rFont val="Symbol"/><family val="1"/><charset val="2"/></rPr><t>`</t></r><r><rPr><sz val="9"/><color theme="1"/><rFont val="Verdana"/><family val="2"/><charset val="186"/></rPr><t>λ</t></r><r><rPr><vertAlign val="superscript"/><sz val="9"/><color theme="1"/><rFont val="Verdana"/><family val="2"/><charset val="186"/></rPr><t>2</t></r><r><rPr><sz val="9"/><color theme="1"/><rFont val="Verdana"/><family val="2"/><charset val="186"/></rPr><t xml:space="preserve">) </t></r></si><si><t>χ =</t></si><si><r><t>= 1 / (Φ + [Φ</t></r><r><rPr><vertAlign val="superscript"/><sz val="9"/><color theme="1"/><rFont val="Verdana"/><family val="2"/><charset val="186"/></rPr><t>2</t></r><r><rPr><sz val="9"/><color theme="1"/><rFont val="Verdana"/><family val="2"/><charset val="186"/></rPr><t xml:space="preserve"> - </t></r><r><rPr><sz val="9"/><color theme="1"/><rFont val="Symbol"/><family val="1"/><charset val="2"/></rPr><t>`</t></r><r><rPr><sz val="9"/><color theme="1"/><rFont val="Verdana"/><family val="2"/><charset val="186"/></rPr><t>λ</t></r><r><rPr><vertAlign val="superscript"/><sz val="9"/><color theme="1"/><rFont val="Verdana"/><family val="2"/><charset val="186"/></rPr><t>2</t></r><r><rPr><sz val="9"/><color theme="1"/><rFont val="Verdana"/><family val="2"/><charset val="186"/></rPr><t>]</t></r><r><rPr><vertAlign val="superscript"/><sz val="9"/><color theme="1"/><rFont val="Verdana"/><family val="2"/><charset val="186"/></rPr><t>0.5</t></r><r><rPr><sz val="9"/><color theme="1"/><rFont val="Verdana"/><family val="2"/><charset val="186"/></rPr><t xml:space="preserve">) </t></r></si><si><r><t>= χ · N</t></r><r><rPr><vertAlign val="subscript"/><sz val="9"/><color theme="1"/><rFont val="Verdana"/><family val="2"/><charset val="186"/></rPr><t>c,Rd</t></r><r><rPr><sz val="9"/><color theme="1"/><rFont val="Verdana"/><family val="2"/><charset val="186"/></rPr><t xml:space="preserve"> </t></r></si><si><r><t>N</t></r><r><rPr><vertAlign val="subscript"/><sz val="9"/><color theme="1"/><rFont val="Verdana"/><family val="2"/><charset val="186"/></rPr><t>Ed</t></r><r><rPr><sz val="9"/><color theme="1"/><rFont val="Verdana"/><family val="2"/><charset val="186"/></rPr><t xml:space="preserve"> =</t></r></si><si><r><t>M</t></r><r><rPr><vertAlign val="subscript"/><sz val="9"/><color theme="1"/><rFont val="Verdana"/><family val="2"/><charset val="186"/></rPr><t>y, Ed</t></r><r><rPr><sz val="9"/><color theme="1"/><rFont val="Verdana"/><family val="2"/><charset val="186"/></rPr><t xml:space="preserve"> =</t></r></si><si><r><t>M</t></r><r><rPr><vertAlign val="subscript"/><sz val="9"/><color theme="1"/><rFont val="Verdana"/><family val="2"/><charset val="186"/></rPr><t>z, Ed</t></r><r><rPr><sz val="9"/><color theme="1"/><rFont val="Verdana"/><family val="2"/><charset val="186"/></rPr><t xml:space="preserve"> =</t></r></si><si><r><t>V</t></r><r><rPr><vertAlign val="subscript"/><sz val="9"/><color theme="1"/><rFont val="Verdana"/><family val="2"/><charset val="186"/></rPr><t>Ed</t></r><r><rPr><sz val="9"/><color theme="1"/><rFont val="Verdana"/><family val="2"/><charset val="186"/></rPr><t xml:space="preserve"> =</t></r></si><si><t>arvutuslik koormus</t></si><si><r><t>χ</t></r><r><rPr><vertAlign val="subscript"/><sz val="9"/><color theme="1"/><rFont val="Verdana"/><family val="2"/><charset val="186"/></rPr><t>LT</t></r><r><rPr><sz val="9"/><color theme="1"/><rFont val="Verdana"/><family val="2"/><charset val="186"/></rPr><t xml:space="preserve"> =</t></r></si><si><t>Koosmõju arvestamine</t></si><si><r><t>C</t></r><r><rPr><vertAlign val="subscript"/><sz val="9"/><color theme="1"/><rFont val="Verdana"/><family val="2"/><charset val="186"/></rPr><t>my</t></r><r><rPr><sz val="9"/><color theme="1"/><rFont val="Verdana"/><family val="2"/><charset val="186"/></rPr><t xml:space="preserve"> =</t></r></si><si><r><t>k</t></r><r><rPr><vertAlign val="subscript"/><sz val="9"/><color theme="1"/><rFont val="Verdana"/><family val="2"/><charset val="186"/></rPr><t>yy</t></r><r><rPr><sz val="9"/><color theme="1"/><rFont val="Verdana"/><family val="2"/><charset val="186"/></rPr><t xml:space="preserve"> =</t></r></si><si><r><t>k</t></r><r><rPr><vertAlign val="subscript"/><sz val="9"/><color theme="1"/><rFont val="Verdana"/><family val="2"/><charset val="186"/></rPr><t>zy</t></r><r><rPr><sz val="9"/><color theme="1"/><rFont val="Verdana"/><family val="2"/><charset val="186"/></rPr><t xml:space="preserve"> =</t></r></si><si><r><t>k</t></r><r><rPr><vertAlign val="subscript"/><sz val="9"/><color theme="1"/><rFont val="Verdana"/><family val="2"/><charset val="186"/></rPr><t>yz</t></r><r><rPr><sz val="9"/><color theme="1"/><rFont val="Verdana"/><family val="2"/><charset val="186"/></rPr><t xml:space="preserve"> =</t></r></si><si><r><t>k</t></r><r><rPr><vertAlign val="subscript"/><sz val="9"/><color theme="1"/><rFont val="Verdana"/><family val="2"/><charset val="186"/></rPr><t>zz</t></r><r><rPr><sz val="9"/><color theme="1"/><rFont val="Verdana"/><family val="2"/><charset val="186"/></rPr><t xml:space="preserve"> =</t></r></si><si><r><t>α</t></r><r><rPr><vertAlign val="subscript"/><sz val="9"/><color theme="1"/><rFont val="Verdana"/><family val="2"/><charset val="186"/></rPr><t>s</t></r><r><rPr><sz val="9"/><color theme="1"/><rFont val="Verdana"/><family val="2"/><charset val="186"/></rPr><t xml:space="preserve"> =</t></r></si><si><t>Ψ =</t></si><si><r><t>= C</t></r><r><rPr><vertAlign val="subscript"/><sz val="9"/><color theme="1"/><rFont val="Verdana"/><family val="2"/><charset val="186"/></rPr><t>my</t></r><r><rPr><sz val="9"/><color theme="1"/><rFont val="Verdana"/><family val="2"/><charset val="186"/></rPr><t xml:space="preserve"> · (1 + 0.6 · </t></r><r><rPr><sz val="9"/><color theme="1"/><rFont val="Symbol"/><family val="1"/><charset val="2"/></rPr><t>`</t></r><r><rPr><sz val="9"/><color theme="1"/><rFont val="Verdana"/><family val="2"/><charset val="186"/></rPr><t>λ · [N</t></r><r><rPr><vertAlign val="subscript"/><sz val="9"/><color theme="1"/><rFont val="Verdana"/><family val="2"/><charset val="186"/></rPr><t>Ed</t></r><r><rPr><sz val="9"/><color theme="1"/><rFont val="Verdana"/><family val="2"/><charset val="186"/></rPr><t xml:space="preserve"> / N</t></r><r><rPr><vertAlign val="subscript"/><sz val="9"/><color theme="1"/><rFont val="Verdana"/><family val="2"/><charset val="186"/></rPr><t>b, Rd</t></r><r><rPr><sz val="9"/><color theme="1"/><rFont val="Verdana"/><family val="2"/><charset val="186"/></rPr><t xml:space="preserve">]) </t></r></si><si><r><t>= k</t></r><r><rPr><vertAlign val="subscript"/><sz val="9"/><color theme="1"/><rFont val="Verdana"/><family val="2"/><charset val="186"/></rPr><t>yy</t></r><r><rPr><sz val="9"/><color theme="1"/><rFont val="Verdana"/><family val="2"/><charset val="186"/></rPr><t xml:space="preserve"> </t></r></si><si><r><t>= k</t></r><r><rPr><vertAlign val="subscript"/><sz val="9"/><color theme="1"/><rFont val="Verdana"/><family val="2"/><charset val="186"/></rPr><t>zz</t></r><r><rPr><sz val="9"/><color theme="1"/><rFont val="Verdana"/><family val="2"/><charset val="186"/></rPr><t xml:space="preserve"> </t></r></si><si><r><t>k</t></r><r><rPr><vertAlign val="subscript"/><sz val="9"/><color theme="1"/><rFont val="Verdana"/><family val="2"/><charset val="186"/></rPr><t>yy,cal</t></r><r><rPr><sz val="9"/><color theme="1"/><rFont val="Verdana"/><family val="2"/><charset val="186"/></rPr><t xml:space="preserve"> =</t></r></si><si><r><t>= C</t></r><r><rPr><vertAlign val="subscript"/><sz val="9"/><color theme="1"/><rFont val="Verdana"/><family val="2"/><charset val="186"/></rPr><t>my</t></r><r><rPr><sz val="9"/><color theme="1"/><rFont val="Verdana"/><family val="2"/><charset val="186"/></rPr><t xml:space="preserve"> · (1 + 0.6 · [N</t></r><r><rPr><vertAlign val="subscript"/><sz val="9"/><color theme="1"/><rFont val="Verdana"/><family val="2"/><charset val="186"/></rPr><t>Ed</t></r><r><rPr><sz val="9"/><color theme="1"/><rFont val="Verdana"/><family val="2"/><charset val="186"/></rPr><t xml:space="preserve"> / N</t></r><r><rPr><vertAlign val="subscript"/><sz val="9"/><color theme="1"/><rFont val="Verdana"/><family val="2"/><charset val="186"/></rPr><t>b, Rd</t></r><r><rPr><sz val="9"/><color theme="1"/><rFont val="Verdana"/><family val="2"/><charset val="186"/></rPr><t xml:space="preserve">]) </t></r></si><si><t>-</t></si><si><t>Sisejõud postis (mudeli element nr.4)</t></si><si><r><t>= (N</t></r><r><rPr><vertAlign val="subscript"/><sz val="9"/><color theme="1"/><rFont val="Verdana"/><family val="2"/><charset val="186"/></rPr><t>Ed</t></r><r><rPr><sz val="9"/><color theme="1"/><rFont val="Verdana"/><family val="2"/><charset val="186"/></rPr><t xml:space="preserve"> / N</t></r><r><rPr><vertAlign val="subscript"/><sz val="9"/><color theme="1"/><rFont val="Verdana"/><family val="2"/><charset val="186"/></rPr><t>b, Rd</t></r><r><rPr><sz val="9"/><color theme="1"/><rFont val="Verdana"/><family val="2"/><charset val="186"/></rPr><t xml:space="preserve"> + k</t></r><r><rPr><vertAlign val="subscript"/><sz val="9"/><color theme="1"/><rFont val="Verdana"/><family val="2"/><charset val="186"/></rPr><t>yy</t></r><r><rPr><sz val="9"/><color theme="1"/><rFont val="Verdana"/><family val="2"/><charset val="186"/></rPr><t xml:space="preserve"> · M</t></r><r><rPr><vertAlign val="subscript"/><sz val="9"/><color theme="1"/><rFont val="Verdana"/><family val="2"/><charset val="186"/></rPr><t>Ed</t></r><r><rPr><sz val="9"/><color theme="1"/><rFont val="Verdana"/><family val="2"/><charset val="186"/></rPr><t xml:space="preserve"> / [χ</t></r><r><rPr><vertAlign val="subscript"/><sz val="9"/><color theme="1"/><rFont val="Verdana"/><family val="2"/><charset val="186"/></rPr><t>LT</t></r><r><rPr><sz val="9"/><color theme="1"/><rFont val="Verdana"/><family val="2"/><charset val="186"/></rPr><t xml:space="preserve"> · M</t></r><r><rPr><vertAlign val="subscript"/><sz val="9"/><color theme="1"/><rFont val="Verdana"/><family val="2"/><charset val="186"/></rPr><t>c,Rd</t></r><r><rPr><sz val="9"/><color theme="1"/><rFont val="Verdana"/><family val="2"/><charset val="186"/></rPr><t>] + k</t></r><r><rPr><vertAlign val="subscript"/><sz val="9"/><color theme="1"/><rFont val="Verdana"/><family val="2"/><charset val="186"/></rPr><t>yz</t></r><r><rPr><sz val="9"/><color theme="1"/><rFont val="Verdana"/><family val="2"/><charset val="186"/></rPr><t xml:space="preserve"> · M</t></r><r><rPr><vertAlign val="subscript"/><sz val="9"/><color theme="1"/><rFont val="Verdana"/><family val="2"/><charset val="186"/></rPr><t>z, Ed</t></r><r><rPr><sz val="9"/><color theme="1"/><rFont val="Verdana"/><family val="2"/><charset val="186"/></rPr><t xml:space="preserve"> / [χ</t></r><r><rPr><vertAlign val="subscript"/><sz val="9"/><color theme="1"/><rFont val="Verdana"/><family val="2"/><charset val="186"/></rPr><t>LT</t></r><r><rPr><sz val="9"/><color theme="1"/><rFont val="Verdana"/><family val="2"/><charset val="186"/></rPr><t xml:space="preserve"> · M</t></r><r><rPr><vertAlign val="subscript"/><sz val="9"/><color theme="1"/><rFont val="Verdana"/><family val="2"/><charset val="186"/></rPr><t>c,Rd</t></r><r><rPr><sz val="9"/><color theme="1"/><rFont val="Verdana"/><family val="2"/><charset val="186"/></rPr><t xml:space="preserve">]) · 100 </t></r></si><si><t xml:space="preserve">= (976 / 1330,25+1,30 · 82,2 / [1 · 325,44]+1,30 · 7,05 / [1 · 325,44]) · 100 </t></si><si><r><t>=min( k</t></r><r><rPr><vertAlign val="subscript"/><sz val="9"/><color theme="1"/><rFont val="Verdana"/><family val="2"/><charset val="186"/></rPr><t>yy,cal</t></r><r><rPr><sz val="9"/><color theme="1"/><rFont val="Verdana"/><family val="2"/><charset val="186"/></rPr><t xml:space="preserve"> ; k</t></r><r><rPr><vertAlign val="subscript"/><sz val="9"/><color theme="1"/><rFont val="Verdana"/><family val="2"/><charset val="186"/></rPr><t>yy,cal</t></r><r><rPr><sz val="9"/><color theme="1"/><rFont val="Verdana"/><family val="2"/><charset val="186"/></rPr><t xml:space="preserve"> )</t></r></si><si><t>Jäikustala kontroll</t></si><si><t>Postide võimalikud ristlõiked</t></si><si><t>Jäikustala võimalikud ristlõiked</t></si><si><t>193,7 </t></si><si><t>Sisejõud talas (mudeli element nr.3)</t></si><si><t>M =</t></si><si><t>ristlõike meetri kaal</t></si><si><r><t>= 12229 · 355 / 1,0 · 10</t></r><r><rPr><vertAlign val="superscript"/><sz val="9"/><color theme="1"/><rFont val="Verdana"/><family val="2"/><charset val="186"/></rPr><t>-3</t></r><r><rPr><sz val="9"/><color theme="1"/><rFont val="Verdana"/><family val="2"/><charset val="186"/></rPr><t xml:space="preserve"> </t></r></si><si><r><t>= 916740 · 355 / 1,0 · 10</t></r><r><rPr><vertAlign val="superscript"/><sz val="9"/><color theme="1"/><rFont val="Verdana"/><family val="2"/><charset val="186"/></rPr><t>-6</t></r><r><rPr><sz val="9"/><color theme="1"/><rFont val="Verdana"/><family val="2"/><charset val="186"/></rPr><t xml:space="preserve"> </t></r></si><si><r><t>= 208110 · 355 / 1,0 · 10</t></r><r><rPr><vertAlign val="superscript"/><sz val="9"/><color theme="1"/><rFont val="Verdana"/><family val="2"/><charset val="186"/></rPr><t>-6</t></r><r><rPr><sz val="9"/><color theme="1"/><rFont val="Verdana"/><family val="2"/><charset val="186"/></rPr><t xml:space="preserve"> </t></r></si><si><t xml:space="preserve">= (1,81 / 1555,05+0,90 · 14,96 / [1 · 73,88]+0,90 · 1,81 / [1 · 73,88]) · 100 </t></si><si><t>D219,1 x 4,0</t></si><si><t>110kv Traaversi kontroll</t></si><si><t>110kv traaversi võimalikud ristlõiked</t></si><si><t>Surface</t></si><si><t>M20</t></si><si><t>M22</t></si><si><t>M24</t></si><si><t>Designation</t></si><si><t>Dimensions</t></si><si><t>Area</t></si><si><t>Weight </t></si><si><t>per meter</t></si><si><t>Dimensions for detaling</t></si><si><t>axis y-y</t></si><si><t>axis z-z</t></si><si><r><t>s</t></r><r><rPr><b/><vertAlign val="subscript"/><sz val="10"/><color rgb="FF000066"/><rFont val="Verdana"/><family val="2"/><charset val="186"/></rPr><t>s</t></r></si><si><r><t>l</t></r><r><rPr><b/><vertAlign val="subscript"/><sz val="10"/><color rgb="FF000066"/><rFont val="Verdana"/><family val="2"/><charset val="186"/></rPr><t>l</t></r></si><si><r><t>l</t></r><r><rPr><b/><vertAlign val="subscript"/><sz val="10"/><color rgb="FF000066"/><rFont val="Verdana"/><family val="2"/><charset val="186"/></rPr><t>w</t></r></si><si><r><t>y</t></r><r><rPr><b/><vertAlign val="subscript"/><sz val="10"/><color rgb="FF000066"/><rFont val="Verdana"/><family val="2"/><charset val="186"/></rPr><t>s</t></r></si><si><r><t>y</t></r><r><rPr><b/><vertAlign val="subscript"/><sz val="10"/><color rgb="FF000066"/><rFont val="Verdana"/><family val="2"/><charset val="186"/></rPr><t>m</t></r></si><si><r><t>h</t></r><r><rPr><b/><vertAlign val="subscript"/><sz val="10"/><color rgb="FF000066"/><rFont val="Verdana"/><family val="2"/><charset val="186"/></rPr><t> </t></r></si><si><r><t>b</t></r><r><rPr><b/><vertAlign val="subscript"/><sz val="10"/><color rgb="FF000066"/><rFont val="Verdana"/><family val="2"/><charset val="186"/></rPr><t> </t></r></si><si><r><t>t</t></r><r><rPr><b/><vertAlign val="subscript"/><sz val="10"/><color rgb="FF000066"/><rFont val="Verdana"/><family val="2"/><charset val="186"/></rPr><t>w</t></r></si><si><r><t>t</t></r><r><rPr><b/><vertAlign val="subscript"/><sz val="10"/><color rgb="FF000066"/><rFont val="Verdana"/><family val="2"/><charset val="186"/></rPr><t>f</t></r></si><si><t>G</t></si><si><r><t>d</t></r><r><rPr><b/><vertAlign val="subscript"/><sz val="10"/><color rgb="FF000066"/><rFont val="Verdana"/><family val="2"/><charset val="186"/></rPr><t> </t></r></si><si><t>ø</t></si><si><r><t>e</t></r><r><rPr><b/><vertAlign val="subscript"/><sz val="10"/><color rgb="FF000066"/><rFont val="Verdana"/><family val="2"/><charset val="186"/></rPr><t>min</t></r></si><si><r><t>e</t></r><r><rPr><b/><vertAlign val="subscript"/><sz val="10"/><color rgb="FF000066"/><rFont val="Verdana"/><family val="2"/><charset val="186"/></rPr><t>max</t></r></si><si><r><t>A</t></r><r><rPr><b/><vertAlign val="subscript"/><sz val="10"/><color rgb="FF000066"/><rFont val="Verdana"/><family val="2"/><charset val="186"/></rPr><t>L</t></r></si><si><r><t>A</t></r><r><rPr><b/><vertAlign val="subscript"/><sz val="10"/><color rgb="FF000066"/><rFont val="Verdana"/><family val="2"/><charset val="186"/></rPr><t>G</t></r></si><si><r><t>l</t></r><r><rPr><b/><vertAlign val="subscript"/><sz val="10"/><color rgb="FF000066"/><rFont val="Verdana"/><family val="2"/><charset val="186"/></rPr><t>y</t></r></si><si><r><t>W</t></r><r><rPr><b/><vertAlign val="subscript"/><sz val="10"/><color rgb="FF000066"/><rFont val="Verdana"/><family val="2"/><charset val="186"/></rPr><t>el.y</t></r></si><si><r><t>W</t></r><r><rPr><b/><vertAlign val="subscript"/><sz val="10"/><color rgb="FF000066"/><rFont val="Verdana"/><family val="2"/><charset val="186"/></rPr><t>pl.y</t></r></si><si><r><t>i</t></r><r><rPr><b/><vertAlign val="subscript"/><sz val="10"/><color rgb="FF000066"/><rFont val="Verdana"/><family val="2"/><charset val="186"/></rPr><t>y</t></r></si><si><r><t>A</t></r><r><rPr><b/><vertAlign val="subscript"/><sz val="10"/><color rgb="FF000066"/><rFont val="Verdana"/><family val="2"/><charset val="186"/></rPr><t>yz</t></r></si><si><r><t>l</t></r><r><rPr><b/><vertAlign val="subscript"/><sz val="10"/><color rgb="FF000066"/><rFont val="Verdana"/><family val="2"/><charset val="186"/></rPr><t>z</t></r></si><si><r><t>W</t></r><r><rPr><b/><vertAlign val="subscript"/><sz val="10"/><color rgb="FF000066"/><rFont val="Verdana"/><family val="2"/><charset val="186"/></rPr><t>el.z</t></r></si><si><r><t>W</t></r><r><rPr><b/><vertAlign val="subscript"/><sz val="10"/><color rgb="FF000066"/><rFont val="Verdana"/><family val="2"/><charset val="186"/></rPr><t>pl.z</t></r></si><si><r><t>i</t></r><r><rPr><b/><vertAlign val="subscript"/><sz val="10"/><color rgb="FF000066"/><rFont val="Verdana"/><family val="2"/><charset val="186"/></rPr><t>z</t></r></si><si><r><t>mm</t></r><r><rPr><b/><vertAlign val="superscript"/><sz val="10"/><color rgb="FF000066"/><rFont val="Verdana"/><family val="2"/><charset val="186"/></rPr><t> </t></r></si><si><r><t>mm</t></r><r><rPr><b/><vertAlign val="superscript"/><sz val="10"/><color rgb="FF000066"/><rFont val="Verdana"/><family val="2"/><charset val="186"/></rPr><t>2</t></r></si><si><r><t>m</t></r><r><rPr><b/><vertAlign val="superscript"/><sz val="10"/><color rgb="FF000066"/><rFont val="Verdana"/><family val="2"/><charset val="186"/></rPr><t>2</t></r><r><rPr><b/><sz val="10"/><color rgb="FF000066"/><rFont val="Verdana"/><family val="2"/><charset val="186"/></rPr><t>/m</t></r></si><si><r><t>m</t></r><r><rPr><b/><vertAlign val="superscript"/><sz val="10"/><color rgb="FF000066"/><rFont val="Verdana"/><family val="2"/><charset val="186"/></rPr><t>2</t></r><r><rPr><b/><sz val="10"/><color rgb="FF000066"/><rFont val="Verdana"/><family val="2"/><charset val="186"/></rPr><t>/t</t></r></si><si><r><t>mm</t></r><r><rPr><b/><vertAlign val="superscript"/><sz val="10"/><color rgb="FF000066"/><rFont val="Verdana"/><family val="2"/><charset val="186"/></rPr><t>4</t></r><r><rPr><b/><sz val="10"/><color rgb="FF000066"/><rFont val="Verdana"/><family val="2"/><charset val="186"/></rPr><t>x10</t></r><r><rPr><b/><vertAlign val="superscript"/><sz val="10"/><color rgb="FF000066"/><rFont val="Verdana"/><family val="2"/><charset val="186"/></rPr><t>4</t></r></si><si><r><t>mm</t></r><r><rPr><b/><vertAlign val="superscript"/><sz val="10"/><color rgb="FF000066"/><rFont val="Verdana"/><family val="2"/><charset val="186"/></rPr><t>3</t></r><r><rPr><b/><sz val="10"/><color rgb="FF000066"/><rFont val="Verdana"/><family val="2"/><charset val="186"/></rPr><t>x10</t></r><r><rPr><b/><vertAlign val="superscript"/><sz val="10"/><color rgb="FF000066"/><rFont val="Verdana"/><family val="2"/><charset val="186"/></rPr><t>3</t></r></si><si><r><t>mm</t></r><r><rPr><b/><vertAlign val="superscript"/><sz val="10"/><color rgb="FF000066"/><rFont val="Verdana"/><family val="2"/><charset val="186"/></rPr><t>6</t></r><r><rPr><b/><sz val="10"/><color rgb="FF000066"/><rFont val="Verdana"/><family val="2"/><charset val="186"/></rPr><t>x10</t></r><r><rPr><b/><vertAlign val="superscript"/><sz val="10"/><color rgb="FF000066"/><rFont val="Verdana"/><family val="2"/><charset val="186"/></rPr><t>9</t></r></si><si><t>7.0</t></si><si><t>11.0</t></si><si><t>27.0</t></si><si><t>33.3</t></si><si><t>15.0</t></si><si><t>54.1</t></si><si><t>http://www.structural-drafting-net-expert.com/steel-sections-Europe-UPN.html</t></si><si><r><t>r</t></r><r><rPr><b/><vertAlign val="subscript"/><sz val="10"/><color rgb="FF000066"/><rFont val="Verdana"/><family val="2"/><charset val="186"/></rPr><t> </t></r></si><si><r><t>h</t></r><r><rPr><b/><vertAlign val="subscript"/><sz val="10"/><color rgb="FF000066"/><rFont val="Verdana"/><family val="2"/><charset val="186"/></rPr><t>i</t></r></si><si><t>UPE 200</t></si><si><t>UPE 220</t></si><si><t>UPE 240</t></si><si><t>UPE 270</t></si><si><t>UPE 300</t></si><si><t>22.80</t></si><si><t>0.70</t></si><si><t>30.60</t></si><si><t>190.9</t></si><si><t>220.1</t></si><si><t>81.1</t></si><si><t>187.3</t></si><si><t>34.43</t></si><si><t>63.28</t></si><si><t>11.00</t></si><si><t>12.0</t></si><si><t>26.60</t></si><si><t>0.76</t></si><si><t>28.43</t></si><si><t>243.9</t></si><si><t>281.5</t></si><si><t>89.0</t></si><si><t>246.4</t></si><si><t>42.51</t></si><si><t>78.25</t></si><si><t>17.61</t></si><si><t>57.0</t></si><si><t>30.20</t></si><si><t>0.81</t></si><si><t>26.89</t></si><si><t>299.9</t></si><si><t>346.9</t></si><si><t>96.7</t></si><si><t>310.9</t></si><si><t>50.08</t></si><si><t>92.18</t></si><si><t>15.14</t></si><si><t>26.42</t></si><si><t>59.1</t></si><si><t>35.20</t></si><si><t>M27</t></si><si><t>0.89</t></si><si><t>25.34</t></si><si><t>389.2</t></si><si><t>451.1</t></si><si><t>108.3</t></si><si><t>401.0</t></si><si><t>60.69</t></si><si><t>111.6</t></si><si><t>19.91</t></si><si><t>43.55</t></si><si><t>61.4</t></si><si><t>44.40</t></si><si><t>0.97</t></si><si><t>21.78</t></si><si><t>521.5</t></si><si><t>613.4</t></si><si><t>117.6</t></si><si><t>537.7</t></si><si><t>75.58</t></si><si><t>136.6</t></si><si><t>31.52</t></si><si><t>72.66</t></si><si><t>60.3</t></si><si><t>Tabel on vigane!!! . &amp; , tekitavad kuupäevad</t></si><si><t>Sisejõud talas (mudeli element nr...)</t></si><si><r><t>t</t></r><r><rPr><vertAlign val="subscript"/><sz val="9"/><color theme="1"/><rFont val="Verdana"/><family val="2"/><charset val="186"/></rPr><t>f</t></r><r><rPr><sz val="9"/><color theme="1"/><rFont val="Verdana"/><family val="2"/><charset val="186"/></rPr><t xml:space="preserve"> =</t></r></si><si><r><t>t</t></r><r><rPr><vertAlign val="subscript"/><sz val="9"/><color theme="1"/><rFont val="Verdana"/><family val="2"/><charset val="186"/></rPr><t>w</t></r><r><rPr><sz val="9"/><color theme="1"/><rFont val="Verdana"/><family val="2"/><charset val="186"/></rPr><t xml:space="preserve"> =</t></r></si><si><r><t>h</t></r><r><rPr><vertAlign val="subscript"/><sz val="9"/><color theme="1"/><rFont val="Verdana"/><family val="2"/><charset val="186"/></rPr><t>w</t></r><r><rPr><sz val="9"/><color theme="1"/><rFont val="Verdana"/><family val="2"/><charset val="186"/></rPr><t xml:space="preserve"> =</t></r></si><si><t>seina kõrgus</t></si><si><t>vöö paksus</t></si><si><t>vöö laius</t></si><si><r><t>b</t></r><r><rPr><vertAlign val="subscript"/><sz val="9"/><color theme="1"/><rFont val="Verdana"/><family val="2"/><charset val="186"/></rPr><t>f</t></r><r><rPr><sz val="9"/><color theme="1"/><rFont val="Verdana"/><family val="2"/><charset val="186"/></rPr><t xml:space="preserve"> =_x0001_#_x0002__x0000_us_x0000__x0000__x0000__x0000__x0003__x0001__x0003_b =_x0001__x0000__x0000__x0000__x0000__x0000__x0003__x0001__x0003_h =_x0001__x0000__x0001__x0000_Ϩ_x0000__x0016__x0000__x0016_materjali voolavuspiir_x0001__x0000_ϩ_x0000__x000F__x0000__x000F_ristlõike laius_x0001__x0000_Ϫ_x0000__x0010__x0000__x0010_ristlõike kõrgus_x0001__x0000_ϫ_x0000_"_x0000_"Ri</t></r><si><t>materjali voolavuspiir</t></si><si><t>ristlõike laius</t></si><si><t>ristlõike kõrgus</t></si><si><t>Ristlõike klassi määramine seinale</t></si><si><t>Ristlõike klassi määramine vööle</t></si><si><t>124ε=</t></si><si><t>72ε=</t></si><si><t>83ε=</t></si><si><t>c/t=</t></si><si><r><t>= h</t></r><r><rPr><vertAlign val="subscript"/><sz val="9"/><color theme="1"/><rFont val="Verdana"/><family val="2"/><charset val="186"/></rPr><t>w</t></r><r><rPr><sz val="9"/><color theme="1"/><rFont val="Verdana"/><family val="2"/><charset val="186"/></rPr><t xml:space="preserve"> / t</t></r><r><rPr><vertAlign val="subscript"/><sz val="9"/><color theme="1"/><rFont val="Verdana"/><family val="2"/><charset val="186"/></rPr><t>w</t></r><r><rPr><sz val="9"/><color theme="1"/><rFont val="Verdana"/><family val="2"/><charset val="186"/></rPr><t xml:space="preserve"> </t></r></si><si><r><t>= b</t></r><r><rPr><vertAlign val="subscript"/><sz val="9"/><color theme="1"/><rFont val="Verdana"/><family val="2"/><charset val="186"/></rPr><t>f</t></r><r><rPr><sz val="9"/><color theme="1"/><rFont val="Verdana"/><family val="2"/><charset val="186"/></rPr><t xml:space="preserve"> / t</t></r><r><rPr><vertAlign val="subscript"/><sz val="9"/><color theme="1"/><rFont val="Verdana"/><family val="2"/><charset val="186"/></rPr><t>f</t></r><r><rPr><sz val="9"/><color theme="1"/><rFont val="Verdana"/><family val="2"/><charset val="186"/></rPr><t xml:space="preserve"> </t></r></si><si><t>9ε=</t></si><si><t>10ε=</t></si><si><t>14ε=</t></si><si><t>Profiili ristlõike klass</t></si><si><r><t>RK</t></r><r><rPr><vertAlign val="subscript"/><sz val="9"/><color theme="1"/><rFont val="Verdana"/><family val="2"/><charset val="186"/></rPr><t>s</t></r><r><rPr><sz val="9"/><color theme="1"/><rFont val="Verdana"/><family val="2"/><charset val="186"/></rPr><t>=</t></r></si><si><r><t>RK</t></r><r><rPr><vertAlign val="subscript"/><sz val="9"/><color theme="1"/><rFont val="Verdana"/><family val="2"/><charset val="186"/></rPr><t>v</t></r><r><rPr><sz val="9"/><color theme="1"/><rFont val="Verdana"/><family val="2"/><charset val="186"/></rPr><t>=</t></r></si><si><r><t>= max(RK</t></r><r><rPr><vertAlign val="subscript"/><sz val="9"/><color theme="1"/><rFont val="Verdana"/><family val="2"/><charset val="186"/></rPr><t>v</t></r><r><rPr><sz val="9"/><color theme="1"/><rFont val="Verdana"/><family val="2"/><charset val="186"/></rPr><t xml:space="preserve">  ; RK</t></r><r><rPr><vertAlign val="subscript"/><sz val="9"/><color theme="1"/><rFont val="Verdana"/><family val="2"/><charset val="186"/></rPr><t>s</t></r><r><rPr><sz val="9"/><color theme="1"/><rFont val="Verdana"/><family val="2"/><charset val="186"/></rPr><t xml:space="preserve"> ; 3 )</t></r></si><si><t>Traaversi stabiilsuse kontroll</t></si><si><t>Surutud varda kandevõime</t></si><si><t>Painutatud varda kandevõime. Telg y-y</t></si><si><t>Painutatud varda kandevõime. Telg z-z</t></si><si><t>Koosmõju tegurite leidmine.</t></si><si><t>Koosmõju arvestamine.</t></si><si><t>Traaversi ristlõige</t></si><si><r><t>W</t></r><r><rPr><vertAlign val="subscript"/><sz val="9"/><color theme="1"/><rFont val="Verdana"/><family val="2"/><charset val="186"/></rPr><t>el,z</t></r><r><rPr><sz val="9"/><color theme="1"/><rFont val="Verdana"/><family val="2"/><charset val="186"/></rPr><t xml:space="preserve"> =</t></r></si><si><r><t>W</t></r><r><rPr><vertAlign val="subscript"/><sz val="9"/><color theme="1"/><rFont val="Verdana"/><family val="2"/><charset val="186"/></rPr><t>el,y</t></r><r><rPr><sz val="9"/><color theme="1"/><rFont val="Verdana"/><family val="2"/><charset val="186"/></rPr><t xml:space="preserve"> =</t></r></si><si><t>mm³</t></si><si><t>profiilide vahekaugus</t></si><si><t>Liitristlõike omadused</t></si><si><t>Profiili omadused</t></si><si><t>A=</t></si><si><r><t>I</t></r><r><rPr><vertAlign val="subscript"/><sz val="9"/><color theme="1"/><rFont val="Verdana"/><family val="2"/><charset val="186"/></rPr><t>y</t></r><r><rPr><sz val="9"/><color theme="1"/><rFont val="Verdana"/><family val="2"/><charset val="186"/></rPr><t xml:space="preserve"> =</t></r></si><si><r><t>I</t></r><r><rPr><vertAlign val="subscript"/><sz val="9"/><color theme="1"/><rFont val="Verdana"/><family val="2"/><charset val="186"/></rPr><t>z</t></r><r><rPr><sz val="9"/><color theme="1"/><rFont val="Verdana"/><family val="2"/><charset val="186"/></rPr><t xml:space="preserve"> =</t></r></si><si><t>mm⁴</t></si><si><r><t>I</t></r><r><rPr><vertAlign val="subscript"/><sz val="9"/><color theme="1"/><rFont val="Verdana"/><family val="2"/><charset val="186"/></rPr><t>y,p</t></r><r><rPr><sz val="9"/><color theme="1"/><rFont val="Verdana"/><family val="2"/><charset val="186"/></rPr><t xml:space="preserve"> =</t></r></si><si><r><t>I</t></r><r><rPr><vertAlign val="subscript"/><sz val="9"/><color theme="1"/><rFont val="Verdana"/><family val="2"/><charset val="186"/></rPr><t>z,p</t></r><r><rPr><sz val="9"/><color theme="1"/><rFont val="Verdana"/><family val="2"/><charset val="186"/></rPr><t xml:space="preserve"> =</t></r></si><si><r><t>W</t></r><r><rPr><vertAlign val="subscript"/><sz val="9"/><color theme="1"/><rFont val="Verdana"/><family val="2"/><charset val="186"/></rPr><t>el,y,p</t></r><r><rPr><sz val="9"/><color theme="1"/><rFont val="Verdana"/><family val="2"/><charset val="186"/></rPr><t xml:space="preserve"> =</t></r></si><si><r><t>W</t></r><r><rPr><vertAlign val="subscript"/><sz val="9"/><color theme="1"/><rFont val="Verdana"/><family val="2"/><charset val="186"/></rPr><t>el,z,p</t></r><r><rPr><sz val="9"/><color theme="1"/><rFont val="Verdana"/><family val="2"/><charset val="186"/></rPr><t xml:space="preserve"> =</t></r></si><si><r><t>A</t></r><r><rPr><vertAlign val="subscript"/><sz val="9"/><color theme="1"/><rFont val="Verdana"/><family val="2"/><charset val="186"/></rPr><t>p</t></r><r><rPr><sz val="9"/><color theme="1"/><rFont val="Verdana"/><family val="2"/><charset val="186"/></rPr><t xml:space="preserve"> =</t></r></si><si><r><t>= 2 · A</t></r><r><rPr><vertAlign val="subscript"/><sz val="9"/><color theme="1"/><rFont val="Verdana"/><family val="2"/><charset val="186"/></rPr><t>p</t></r><r><rPr><sz val="9"/><color theme="1"/><rFont val="Verdana"/><family val="2"/><charset val="186"/></rPr><t xml:space="preserve"> </t></r></si><si><r><t>= 2 · I</t></r><r><rPr><vertAlign val="subscript"/><sz val="9"/><color theme="1"/><rFont val="Verdana"/><family val="2"/><charset val="186"/></rPr><t>y,p</t></r><r><rPr><sz val="9"/><color theme="1"/><rFont val="Verdana"/><family val="2"/><charset val="186"/></rPr><t xml:space="preserve"> </t></r></si><si><r><t>S</t></r><r><rPr><vertAlign val="subscript"/><sz val="9"/><color theme="1"/><rFont val="Verdana"/><family val="2"/><charset val="186"/></rPr><t>s</t></r><r><rPr><sz val="9"/><color theme="1"/><rFont val="Verdana"/><family val="2"/><charset val="186"/></rPr><t xml:space="preserve"> =</t></r></si><si><r><t>= 2 · (I</t></r><r><rPr><vertAlign val="subscript"/><sz val="9"/><color theme="1"/><rFont val="Verdana"/><family val="2"/><charset val="186"/></rPr><t>z,p</t></r><r><rPr><sz val="9"/><color theme="1"/><rFont val="Verdana"/><family val="2"/><charset val="186"/></rPr><t xml:space="preserve"> + A</t></r><r><rPr><vertAlign val="subscript"/><sz val="9"/><color theme="1"/><rFont val="Verdana"/><family val="2"/><charset val="186"/></rPr><t>p</t></r><r><rPr><sz val="9"/><color theme="1"/><rFont val="Verdana"/><family val="2"/><charset val="186"/></rPr><t xml:space="preserve"> · [d / 2 + S</t></r><r><rPr><vertAlign val="subscript"/><sz val="9"/><color theme="1"/><rFont val="Verdana"/><family val="2"/><charset val="186"/></rPr><t>s</t></r><r><rPr><sz val="9"/><color theme="1"/><rFont val="Verdana"/><family val="2"/><charset val="186"/></rPr><t>]</t></r><r><rPr><vertAlign val="superscript"/><sz val="9"/><color theme="1"/><rFont val="Verdana"/><family val="2"/><charset val="186"/></rPr><t>2</t></r><r><rPr><sz val="9"/><color theme="1"/><rFont val="Verdana"/><family val="2"/><charset val="186"/></rPr><t xml:space="preserve">) </t></r></si><si><r><t>= W</t></r><r><rPr><vertAlign val="subscript"/><sz val="9"/><color theme="1"/><rFont val="Verdana"/><family val="2"/><charset val="186"/></rPr><t>el,y,p</t></r><r><rPr><sz val="9"/><color theme="1"/><rFont val="Verdana"/><family val="2"/><charset val="186"/></rPr><t xml:space="preserve"> · 2 </t></r></si><si><r><t>= I</t></r><r><rPr><vertAlign val="subscript"/><sz val="9"/><color theme="1"/><rFont val="Verdana"/><family val="2"/><charset val="186"/></rPr><t>z</t></r><r><rPr><sz val="9"/><color theme="1"/><rFont val="Verdana"/><family val="2"/><charset val="186"/></rPr><t xml:space="preserve"> · 2 / b </t></r></si><si><t>c</t></si><si><t>kontrollin postide vahlist osa max. momendi kohal</t></si><si><r><t>i</t></r><r><rPr><vertAlign val="subscript"/><sz val="9"/><color theme="1"/><rFont val="Verdana"/><family val="2"/><charset val="186"/></rPr><t>y</t></r><r><rPr><sz val="9"/><color theme="1"/><rFont val="Verdana"/><family val="2"/><charset val="186"/></rPr><t xml:space="preserve"> =</t></r></si><si><t xml:space="preserve">= μ · L </t></si><si><r><t>= L</t></r><r><rPr><vertAlign val="subscript"/><sz val="9"/><color theme="1"/><rFont val="Verdana"/><family val="2"/><charset val="186"/></rPr><t>ef</t></r><r><rPr><sz val="9"/><color theme="1"/><rFont val="Verdana"/><family val="2"/><charset val="186"/></rPr><t xml:space="preserve"> / i</t></r><r><rPr><vertAlign val="subscript"/><sz val="9"/><color theme="1"/><rFont val="Verdana"/><family val="2"/><charset val="186"/></rPr><t>y</t></r><r><rPr><sz val="9"/><color theme="1"/><rFont val="Verdana"/><family val="2"/><charset val="186"/></rPr><t xml:space="preserve"> </t></r></si><si><r><t>= 2703 · 355 / 1,0 · 10</t></r><r><rPr><vertAlign val="superscript"/><sz val="9"/><color theme="1"/><rFont val="Verdana"/><family val="2"/><charset val="186"/></rPr><t>-3</t></r><r><rPr><sz val="9"/><color theme="1"/><rFont val="Verdana"/><family val="2"/><charset val="186"/></rPr><t xml:space="preserve"> </t></r></si><si><r><t>= 6440 · 355 / 1,0 · 10</t></r><r><rPr><vertAlign val="superscript"/><sz val="9"/><color theme="1"/><rFont val="Verdana"/><family val="2"/><charset val="186"/></rPr><t>-3</t></r><r><rPr><sz val="9"/><color theme="1"/><rFont val="Verdana"/><family val="2"/><charset val="186"/></rPr><t xml:space="preserve"> </t></r></si><si><r><t>= (I</t></r><r><rPr><vertAlign val="subscript"/><sz val="9"/><color theme="1"/><rFont val="Verdana"/><family val="2"/><charset val="186"/></rPr><t>y</t></r><r><rPr><sz val="9"/><color theme="1"/><rFont val="Verdana"/><family val="2"/><charset val="186"/></rPr><t xml:space="preserve"> / A)</t></r><r><rPr><vertAlign val="superscript"/><sz val="9"/><color theme="1"/><rFont val="Verdana"/><family val="2"/><charset val="186"/></rPr><t>0.5</t></r><r><rPr><sz val="9"/><color theme="1"/><rFont val="Verdana"/><family val="2"/><charset val="186"/></rPr><t xml:space="preserve"> </t></r></si></sst>
</file>

<file path=xl/styles.xml><?xml version="1.0" encoding="utf-8"?>
<styleSheet xmlns="http://schemas.openxmlformats.org/spreadsheetml/2006/main">
  <numFmts count="6">
    <numFmt numFmtId="164" formatCode="0.0"/>
    <numFmt numFmtId="165" formatCode="0.000"/>
    <numFmt numFmtId="166" formatCode="#,##0.0"/>
    <numFmt numFmtId="167" formatCode="#,##0.000"/>
    <numFmt numFmtId="168" formatCode="#,##0.0000"/>
    <numFmt numFmtId="169" formatCode="0.0E+00"/>
  </numFmts>
  <fonts count="53">
    <font>
      <sz val="9"/>
      <color theme="1"/>
      <name val="Verdana"/>
      <family val="2"/>
      <charset val="186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</font>
    <font>
      <vertAlign val="subscript"/>
      <sz val="11"/>
      <color theme="1"/>
      <name val="Calibri"/>
      <family val="2"/>
      <charset val="186"/>
    </font>
    <font>
      <vertAlign val="subscript"/>
      <sz val="11"/>
      <color theme="1"/>
      <name val="Calibri"/>
      <family val="2"/>
      <charset val="186"/>
      <scheme val="minor"/>
    </font>
    <font>
      <b/>
      <sz val="11"/>
      <color rgb="FFFF0000"/>
      <name val="Calibri"/>
      <family val="2"/>
      <charset val="186"/>
      <scheme val="minor"/>
    </font>
    <font>
      <b/>
      <sz val="11"/>
      <color rgb="FFFF0000"/>
      <name val="Calibri"/>
      <family val="2"/>
      <charset val="186"/>
    </font>
    <font>
      <vertAlign val="superscript"/>
      <sz val="11"/>
      <color theme="1"/>
      <name val="Calibri"/>
      <family val="2"/>
      <charset val="186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1"/>
      <color theme="1"/>
      <name val="Cambria"/>
      <family val="1"/>
      <charset val="186"/>
      <scheme val="major"/>
    </font>
    <font>
      <sz val="14"/>
      <color theme="1"/>
      <name val="Cambria"/>
      <family val="1"/>
      <charset val="186"/>
      <scheme val="major"/>
    </font>
    <font>
      <b/>
      <sz val="14"/>
      <color theme="1"/>
      <name val="Cambria"/>
      <family val="1"/>
      <charset val="186"/>
      <scheme val="major"/>
    </font>
    <font>
      <b/>
      <sz val="14"/>
      <name val="Cambria"/>
      <family val="1"/>
      <charset val="186"/>
      <scheme val="major"/>
    </font>
    <font>
      <vertAlign val="subscript"/>
      <sz val="9"/>
      <color theme="1"/>
      <name val="Verdana"/>
      <family val="2"/>
      <charset val="186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sz val="11"/>
      <color theme="1"/>
      <name val="Symbol"/>
      <family val="1"/>
      <charset val="2"/>
    </font>
    <font>
      <b/>
      <vertAlign val="subscript"/>
      <sz val="11"/>
      <color theme="1"/>
      <name val="Calibri"/>
      <family val="2"/>
      <charset val="186"/>
      <scheme val="minor"/>
    </font>
    <font>
      <sz val="14"/>
      <name val="Cambria"/>
      <family val="1"/>
      <charset val="186"/>
      <scheme val="major"/>
    </font>
    <font>
      <sz val="16"/>
      <color theme="1"/>
      <name val="Cambria"/>
      <family val="1"/>
      <charset val="186"/>
      <scheme val="major"/>
    </font>
    <font>
      <sz val="11"/>
      <color theme="1"/>
      <name val="Cambria"/>
      <family val="1"/>
      <charset val="186"/>
      <scheme val="major"/>
    </font>
    <font>
      <sz val="12"/>
      <color theme="1"/>
      <name val="Cambria"/>
      <family val="1"/>
      <charset val="186"/>
      <scheme val="major"/>
    </font>
    <font>
      <b/>
      <sz val="9"/>
      <color rgb="FF000000"/>
      <name val="Arial"/>
      <family val="2"/>
      <charset val="186"/>
    </font>
    <font>
      <b/>
      <vertAlign val="superscript"/>
      <sz val="9"/>
      <color rgb="FF000000"/>
      <name val="Arial"/>
      <family val="2"/>
      <charset val="186"/>
    </font>
    <font>
      <b/>
      <vertAlign val="subscript"/>
      <sz val="9"/>
      <color rgb="FF000000"/>
      <name val="Arial"/>
      <family val="2"/>
      <charset val="186"/>
    </font>
    <font>
      <sz val="9"/>
      <color rgb="FF000000"/>
      <name val="Arial"/>
      <family val="2"/>
      <charset val="186"/>
    </font>
    <font>
      <vertAlign val="superscript"/>
      <sz val="9"/>
      <color theme="1"/>
      <name val="Verdana"/>
      <family val="2"/>
      <charset val="186"/>
    </font>
    <font>
      <sz val="9"/>
      <color theme="1"/>
      <name val="Symbol"/>
      <family val="1"/>
      <charset val="2"/>
    </font>
    <font>
      <b/>
      <sz val="9"/>
      <color theme="1"/>
      <name val="Verdana"/>
      <family val="2"/>
      <charset val="186"/>
    </font>
    <font>
      <u/>
      <sz val="9"/>
      <color theme="10"/>
      <name val="Verdana"/>
      <family val="2"/>
      <charset val="186"/>
    </font>
    <font>
      <b/>
      <sz val="12"/>
      <color rgb="FF000066"/>
      <name val="Verdana"/>
      <family val="2"/>
      <charset val="186"/>
    </font>
    <font>
      <b/>
      <sz val="10"/>
      <color rgb="FF000066"/>
      <name val="Verdana"/>
      <family val="2"/>
      <charset val="186"/>
    </font>
    <font>
      <b/>
      <vertAlign val="subscript"/>
      <sz val="10"/>
      <color rgb="FF000066"/>
      <name val="Verdana"/>
      <family val="2"/>
      <charset val="186"/>
    </font>
    <font>
      <b/>
      <vertAlign val="superscript"/>
      <sz val="10"/>
      <color rgb="FF000066"/>
      <name val="Verdana"/>
      <family val="2"/>
      <charset val="186"/>
    </font>
    <font>
      <b/>
      <sz val="10"/>
      <color rgb="FF000000"/>
      <name val="Verdana"/>
      <family val="2"/>
      <charset val="186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2D2D2"/>
        <bgColor indexed="64"/>
      </patternFill>
    </fill>
    <fill>
      <patternFill patternType="solid">
        <fgColor rgb="FFCCCCCC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rgb="FFFC2516"/>
      </bottom>
      <diagonal/>
    </border>
    <border>
      <left/>
      <right style="medium">
        <color rgb="FFE5E5E5"/>
      </right>
      <top/>
      <bottom style="medium">
        <color rgb="FFE5E5E5"/>
      </bottom>
      <diagonal/>
    </border>
    <border>
      <left/>
      <right/>
      <top/>
      <bottom style="medium">
        <color rgb="FFE5E5E5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</borders>
  <cellStyleXfs count="4">
    <xf numFmtId="0" fontId="0" fillId="0" borderId="0"/>
    <xf numFmtId="0" fontId="17" fillId="0" borderId="0"/>
    <xf numFmtId="0" fontId="15" fillId="0" borderId="0"/>
    <xf numFmtId="0" fontId="47" fillId="0" borderId="0" applyNumberFormat="0" applyFill="0" applyBorder="0" applyAlignment="0" applyProtection="0">
      <alignment vertical="top"/>
      <protection locked="0"/>
    </xf>
  </cellStyleXfs>
  <cellXfs count="293">
    <xf numFmtId="0" fontId="0" fillId="0" borderId="0" xfId="0"/>
    <xf numFmtId="0" fontId="18" fillId="0" borderId="1" xfId="1" applyFont="1" applyBorder="1" applyAlignment="1">
      <alignment horizontal="center"/>
    </xf>
    <xf numFmtId="0" fontId="17" fillId="0" borderId="0" xfId="1"/>
    <xf numFmtId="0" fontId="19" fillId="0" borderId="1" xfId="1" applyFont="1" applyBorder="1" applyAlignment="1">
      <alignment horizontal="center"/>
    </xf>
    <xf numFmtId="0" fontId="17" fillId="0" borderId="1" xfId="1" applyBorder="1" applyAlignment="1">
      <alignment horizontal="center" vertical="center"/>
    </xf>
    <xf numFmtId="0" fontId="17" fillId="0" borderId="1" xfId="1" applyBorder="1" applyAlignment="1">
      <alignment horizontal="right" wrapText="1"/>
    </xf>
    <xf numFmtId="1" fontId="17" fillId="0" borderId="1" xfId="1" applyNumberFormat="1" applyBorder="1" applyAlignment="1">
      <alignment horizontal="center" vertical="center"/>
    </xf>
    <xf numFmtId="164" fontId="17" fillId="0" borderId="1" xfId="1" applyNumberFormat="1" applyBorder="1" applyAlignment="1">
      <alignment horizontal="center" vertical="center"/>
    </xf>
    <xf numFmtId="164" fontId="19" fillId="0" borderId="1" xfId="1" applyNumberFormat="1" applyFont="1" applyBorder="1" applyAlignment="1">
      <alignment horizontal="center" vertical="center" wrapText="1"/>
    </xf>
    <xf numFmtId="0" fontId="17" fillId="0" borderId="1" xfId="1" applyFill="1" applyBorder="1" applyAlignment="1">
      <alignment horizontal="right" wrapText="1"/>
    </xf>
    <xf numFmtId="2" fontId="17" fillId="0" borderId="1" xfId="1" applyNumberFormat="1" applyBorder="1" applyAlignment="1">
      <alignment horizontal="center" vertical="center"/>
    </xf>
    <xf numFmtId="1" fontId="17" fillId="0" borderId="1" xfId="1" applyNumberFormat="1" applyBorder="1" applyAlignment="1">
      <alignment horizontal="center"/>
    </xf>
    <xf numFmtId="164" fontId="17" fillId="0" borderId="1" xfId="1" applyNumberFormat="1" applyBorder="1" applyAlignment="1">
      <alignment horizontal="center"/>
    </xf>
    <xf numFmtId="0" fontId="22" fillId="0" borderId="0" xfId="1" applyFont="1"/>
    <xf numFmtId="0" fontId="17" fillId="0" borderId="1" xfId="1" applyBorder="1" applyAlignment="1">
      <alignment horizontal="right"/>
    </xf>
    <xf numFmtId="0" fontId="17" fillId="0" borderId="1" xfId="1" applyBorder="1"/>
    <xf numFmtId="1" fontId="17" fillId="0" borderId="0" xfId="1" applyNumberFormat="1"/>
    <xf numFmtId="164" fontId="17" fillId="0" borderId="0" xfId="1" applyNumberFormat="1"/>
    <xf numFmtId="0" fontId="16" fillId="0" borderId="1" xfId="1" applyFont="1" applyBorder="1" applyAlignment="1">
      <alignment horizontal="center" vertical="center"/>
    </xf>
    <xf numFmtId="0" fontId="16" fillId="0" borderId="1" xfId="1" applyFont="1" applyFill="1" applyBorder="1" applyAlignment="1">
      <alignment horizontal="center" vertical="center"/>
    </xf>
    <xf numFmtId="0" fontId="16" fillId="0" borderId="1" xfId="1" applyFont="1" applyBorder="1" applyAlignment="1">
      <alignment horizontal="right" wrapText="1"/>
    </xf>
    <xf numFmtId="1" fontId="16" fillId="0" borderId="1" xfId="1" quotePrefix="1" applyNumberFormat="1" applyFont="1" applyBorder="1" applyAlignment="1">
      <alignment horizontal="center" vertical="center"/>
    </xf>
    <xf numFmtId="164" fontId="16" fillId="0" borderId="1" xfId="1" applyNumberFormat="1" applyFont="1" applyBorder="1" applyAlignment="1">
      <alignment horizontal="center" vertical="center"/>
    </xf>
    <xf numFmtId="0" fontId="15" fillId="0" borderId="0" xfId="2"/>
    <xf numFmtId="0" fontId="15" fillId="0" borderId="0" xfId="2" applyAlignment="1">
      <alignment horizontal="right"/>
    </xf>
    <xf numFmtId="0" fontId="19" fillId="0" borderId="0" xfId="2" applyFont="1" applyAlignment="1">
      <alignment horizontal="right"/>
    </xf>
    <xf numFmtId="0" fontId="19" fillId="0" borderId="0" xfId="2" applyFont="1"/>
    <xf numFmtId="0" fontId="15" fillId="0" borderId="0" xfId="2" applyFill="1"/>
    <xf numFmtId="0" fontId="14" fillId="0" borderId="0" xfId="2" applyFont="1" applyAlignment="1">
      <alignment horizontal="right"/>
    </xf>
    <xf numFmtId="0" fontId="18" fillId="0" borderId="0" xfId="2" applyFont="1" applyFill="1"/>
    <xf numFmtId="0" fontId="15" fillId="0" borderId="0" xfId="2" quotePrefix="1"/>
    <xf numFmtId="0" fontId="15" fillId="0" borderId="0" xfId="2" applyAlignment="1"/>
    <xf numFmtId="0" fontId="14" fillId="0" borderId="0" xfId="2" applyFont="1"/>
    <xf numFmtId="0" fontId="15" fillId="2" borderId="0" xfId="2" applyFill="1"/>
    <xf numFmtId="0" fontId="14" fillId="0" borderId="0" xfId="2" applyNumberFormat="1" applyFont="1"/>
    <xf numFmtId="0" fontId="13" fillId="0" borderId="0" xfId="2" applyFont="1" applyAlignment="1">
      <alignment horizontal="left"/>
    </xf>
    <xf numFmtId="0" fontId="18" fillId="0" borderId="0" xfId="2" applyFont="1" applyAlignment="1">
      <alignment horizontal="left"/>
    </xf>
    <xf numFmtId="0" fontId="13" fillId="0" borderId="0" xfId="2" applyFont="1" applyAlignment="1">
      <alignment horizontal="right"/>
    </xf>
    <xf numFmtId="0" fontId="13" fillId="0" borderId="0" xfId="2" applyFont="1"/>
    <xf numFmtId="0" fontId="13" fillId="0" borderId="0" xfId="2" applyNumberFormat="1" applyFont="1" applyAlignment="1">
      <alignment horizontal="left"/>
    </xf>
    <xf numFmtId="0" fontId="15" fillId="0" borderId="0" xfId="2" quotePrefix="1" applyAlignment="1"/>
    <xf numFmtId="0" fontId="13" fillId="0" borderId="0" xfId="2" applyFont="1" applyAlignment="1"/>
    <xf numFmtId="4" fontId="15" fillId="0" borderId="0" xfId="2" applyNumberFormat="1" applyAlignment="1"/>
    <xf numFmtId="0" fontId="0" fillId="0" borderId="0" xfId="0" applyAlignment="1"/>
    <xf numFmtId="11" fontId="15" fillId="0" borderId="0" xfId="2" applyNumberFormat="1" applyAlignment="1"/>
    <xf numFmtId="4" fontId="15" fillId="0" borderId="0" xfId="2" applyNumberFormat="1" applyFill="1"/>
    <xf numFmtId="4" fontId="18" fillId="0" borderId="0" xfId="2" applyNumberFormat="1" applyFont="1"/>
    <xf numFmtId="11" fontId="15" fillId="2" borderId="0" xfId="2" applyNumberFormat="1" applyFill="1"/>
    <xf numFmtId="0" fontId="12" fillId="0" borderId="0" xfId="2" applyFont="1" applyAlignment="1">
      <alignment horizontal="left"/>
    </xf>
    <xf numFmtId="0" fontId="12" fillId="0" borderId="0" xfId="2" applyNumberFormat="1" applyFont="1" applyAlignment="1">
      <alignment horizontal="left"/>
    </xf>
    <xf numFmtId="0" fontId="12" fillId="0" borderId="0" xfId="2" applyNumberFormat="1" applyFont="1" applyAlignment="1">
      <alignment horizontal="right"/>
    </xf>
    <xf numFmtId="3" fontId="15" fillId="0" borderId="0" xfId="2" applyNumberFormat="1" applyAlignment="1"/>
    <xf numFmtId="4" fontId="12" fillId="0" borderId="0" xfId="2" applyNumberFormat="1" applyFont="1" applyAlignment="1">
      <alignment horizontal="right"/>
    </xf>
    <xf numFmtId="165" fontId="15" fillId="0" borderId="0" xfId="2" applyNumberFormat="1" applyAlignment="1"/>
    <xf numFmtId="0" fontId="11" fillId="0" borderId="0" xfId="2" applyFont="1"/>
    <xf numFmtId="0" fontId="11" fillId="0" borderId="0" xfId="2" applyNumberFormat="1" applyFont="1" applyAlignment="1">
      <alignment horizontal="right"/>
    </xf>
    <xf numFmtId="0" fontId="11" fillId="0" borderId="0" xfId="2" applyNumberFormat="1" applyFont="1" applyAlignment="1">
      <alignment horizontal="left"/>
    </xf>
    <xf numFmtId="0" fontId="11" fillId="0" borderId="0" xfId="2" applyFont="1" applyAlignment="1">
      <alignment horizontal="left"/>
    </xf>
    <xf numFmtId="0" fontId="15" fillId="0" borderId="0" xfId="2" applyAlignment="1">
      <alignment horizontal="center"/>
    </xf>
    <xf numFmtId="0" fontId="14" fillId="0" borderId="0" xfId="2" applyFont="1" applyAlignment="1">
      <alignment horizontal="center"/>
    </xf>
    <xf numFmtId="0" fontId="18" fillId="0" borderId="0" xfId="2" applyFont="1" applyFill="1" applyAlignment="1">
      <alignment horizontal="center"/>
    </xf>
    <xf numFmtId="0" fontId="13" fillId="0" borderId="0" xfId="2" applyFont="1" applyAlignment="1">
      <alignment horizontal="center"/>
    </xf>
    <xf numFmtId="0" fontId="11" fillId="0" borderId="0" xfId="2" applyFont="1" applyAlignment="1">
      <alignment horizontal="center"/>
    </xf>
    <xf numFmtId="0" fontId="11" fillId="0" borderId="0" xfId="2" quotePrefix="1" applyFont="1" applyAlignment="1">
      <alignment horizontal="center"/>
    </xf>
    <xf numFmtId="0" fontId="10" fillId="0" borderId="0" xfId="2" applyFont="1" applyAlignment="1">
      <alignment horizontal="left"/>
    </xf>
    <xf numFmtId="0" fontId="10" fillId="0" borderId="0" xfId="2" applyFont="1"/>
    <xf numFmtId="0" fontId="10" fillId="0" borderId="0" xfId="2" applyFont="1" applyAlignment="1">
      <alignment horizontal="right"/>
    </xf>
    <xf numFmtId="0" fontId="10" fillId="0" borderId="0" xfId="2" applyFont="1" applyAlignment="1">
      <alignment horizontal="center"/>
    </xf>
    <xf numFmtId="0" fontId="10" fillId="0" borderId="0" xfId="2" applyNumberFormat="1" applyFont="1" applyAlignment="1">
      <alignment horizontal="right"/>
    </xf>
    <xf numFmtId="0" fontId="10" fillId="0" borderId="0" xfId="2" applyNumberFormat="1" applyFont="1" applyAlignment="1">
      <alignment horizontal="left"/>
    </xf>
    <xf numFmtId="4" fontId="15" fillId="0" borderId="0" xfId="2" applyNumberFormat="1"/>
    <xf numFmtId="0" fontId="28" fillId="0" borderId="0" xfId="2" applyFont="1"/>
    <xf numFmtId="0" fontId="29" fillId="0" borderId="0" xfId="2" applyFont="1"/>
    <xf numFmtId="0" fontId="30" fillId="0" borderId="0" xfId="2" applyFont="1"/>
    <xf numFmtId="0" fontId="0" fillId="0" borderId="0" xfId="0" applyFont="1" applyAlignment="1">
      <alignment horizontal="right"/>
    </xf>
    <xf numFmtId="4" fontId="0" fillId="0" borderId="0" xfId="0" applyNumberFormat="1"/>
    <xf numFmtId="166" fontId="15" fillId="0" borderId="0" xfId="2" applyNumberFormat="1" applyAlignment="1"/>
    <xf numFmtId="164" fontId="15" fillId="0" borderId="0" xfId="2" applyNumberFormat="1" applyAlignment="1"/>
    <xf numFmtId="0" fontId="9" fillId="0" borderId="0" xfId="2" applyFont="1" applyAlignment="1">
      <alignment horizontal="right"/>
    </xf>
    <xf numFmtId="0" fontId="9" fillId="0" borderId="0" xfId="2" applyNumberFormat="1" applyFont="1" applyAlignment="1">
      <alignment horizontal="right"/>
    </xf>
    <xf numFmtId="4" fontId="9" fillId="0" borderId="0" xfId="2" applyNumberFormat="1" applyFont="1" applyAlignment="1">
      <alignment horizontal="right"/>
    </xf>
    <xf numFmtId="167" fontId="15" fillId="0" borderId="0" xfId="2" applyNumberFormat="1"/>
    <xf numFmtId="0" fontId="9" fillId="0" borderId="0" xfId="0" applyFont="1"/>
    <xf numFmtId="0" fontId="9" fillId="0" borderId="0" xfId="2" applyFont="1"/>
    <xf numFmtId="0" fontId="9" fillId="0" borderId="0" xfId="2" applyFont="1" applyAlignment="1">
      <alignment horizontal="center"/>
    </xf>
    <xf numFmtId="0" fontId="18" fillId="0" borderId="0" xfId="0" applyFont="1"/>
    <xf numFmtId="0" fontId="9" fillId="0" borderId="0" xfId="0" applyFont="1" applyAlignment="1">
      <alignment horizontal="left"/>
    </xf>
    <xf numFmtId="3" fontId="0" fillId="0" borderId="0" xfId="0" applyNumberFormat="1"/>
    <xf numFmtId="0" fontId="9" fillId="0" borderId="0" xfId="2" applyFont="1" applyAlignment="1">
      <alignment horizontal="left"/>
    </xf>
    <xf numFmtId="0" fontId="14" fillId="0" borderId="0" xfId="2" quotePrefix="1" applyFont="1"/>
    <xf numFmtId="168" fontId="15" fillId="0" borderId="0" xfId="2" applyNumberFormat="1"/>
    <xf numFmtId="0" fontId="11" fillId="0" borderId="0" xfId="2" quotePrefix="1" applyFont="1"/>
    <xf numFmtId="4" fontId="11" fillId="0" borderId="0" xfId="2" applyNumberFormat="1" applyFont="1"/>
    <xf numFmtId="0" fontId="10" fillId="0" borderId="0" xfId="2" quotePrefix="1" applyFont="1"/>
    <xf numFmtId="0" fontId="8" fillId="0" borderId="0" xfId="2" applyFont="1" applyAlignment="1">
      <alignment horizontal="left"/>
    </xf>
    <xf numFmtId="0" fontId="8" fillId="0" borderId="0" xfId="2" applyFont="1"/>
    <xf numFmtId="0" fontId="8" fillId="0" borderId="0" xfId="2" applyFont="1" applyAlignment="1">
      <alignment horizontal="right"/>
    </xf>
    <xf numFmtId="0" fontId="8" fillId="0" borderId="0" xfId="2" applyFont="1" applyAlignment="1">
      <alignment horizontal="center"/>
    </xf>
    <xf numFmtId="0" fontId="8" fillId="0" borderId="0" xfId="2" quotePrefix="1" applyFont="1"/>
    <xf numFmtId="4" fontId="8" fillId="0" borderId="0" xfId="2" applyNumberFormat="1" applyFont="1" applyAlignment="1">
      <alignment horizontal="right"/>
    </xf>
    <xf numFmtId="0" fontId="8" fillId="0" borderId="0" xfId="2" quotePrefix="1" applyFont="1" applyAlignment="1"/>
    <xf numFmtId="0" fontId="11" fillId="0" borderId="0" xfId="2" quotePrefix="1" applyFont="1" applyAlignment="1">
      <alignment horizontal="left"/>
    </xf>
    <xf numFmtId="0" fontId="18" fillId="0" borderId="0" xfId="2" applyFont="1" applyAlignment="1">
      <alignment horizontal="right"/>
    </xf>
    <xf numFmtId="0" fontId="18" fillId="0" borderId="0" xfId="2" applyFont="1" applyAlignment="1">
      <alignment horizontal="center"/>
    </xf>
    <xf numFmtId="3" fontId="18" fillId="0" borderId="0" xfId="2" applyNumberFormat="1" applyFont="1"/>
    <xf numFmtId="3" fontId="15" fillId="0" borderId="0" xfId="2" applyNumberFormat="1"/>
    <xf numFmtId="0" fontId="36" fillId="0" borderId="0" xfId="2" applyFont="1"/>
    <xf numFmtId="0" fontId="7" fillId="0" borderId="0" xfId="2" applyFont="1" applyAlignment="1">
      <alignment horizontal="left"/>
    </xf>
    <xf numFmtId="0" fontId="7" fillId="0" borderId="0" xfId="2" applyFont="1" applyAlignment="1">
      <alignment horizontal="right"/>
    </xf>
    <xf numFmtId="0" fontId="7" fillId="0" borderId="0" xfId="2" applyFont="1"/>
    <xf numFmtId="0" fontId="7" fillId="0" borderId="0" xfId="2" applyFont="1" applyAlignment="1">
      <alignment horizontal="center"/>
    </xf>
    <xf numFmtId="4" fontId="7" fillId="0" borderId="0" xfId="2" applyNumberFormat="1" applyFont="1"/>
    <xf numFmtId="168" fontId="7" fillId="0" borderId="0" xfId="2" applyNumberFormat="1" applyFont="1"/>
    <xf numFmtId="167" fontId="7" fillId="0" borderId="0" xfId="2" applyNumberFormat="1" applyFont="1"/>
    <xf numFmtId="0" fontId="6" fillId="0" borderId="0" xfId="2" applyFont="1" applyAlignment="1">
      <alignment horizontal="right"/>
    </xf>
    <xf numFmtId="0" fontId="6" fillId="0" borderId="0" xfId="2" applyNumberFormat="1" applyFont="1" applyAlignment="1">
      <alignment horizontal="right"/>
    </xf>
    <xf numFmtId="4" fontId="6" fillId="0" borderId="0" xfId="2" applyNumberFormat="1" applyFont="1" applyAlignment="1">
      <alignment horizontal="right"/>
    </xf>
    <xf numFmtId="4" fontId="15" fillId="3" borderId="0" xfId="2" applyNumberFormat="1" applyFill="1"/>
    <xf numFmtId="168" fontId="15" fillId="3" borderId="0" xfId="2" applyNumberFormat="1" applyFill="1"/>
    <xf numFmtId="3" fontId="15" fillId="3" borderId="0" xfId="2" applyNumberFormat="1" applyFill="1"/>
    <xf numFmtId="0" fontId="6" fillId="0" borderId="0" xfId="2" applyFont="1"/>
    <xf numFmtId="0" fontId="28" fillId="0" borderId="0" xfId="0" applyFont="1"/>
    <xf numFmtId="0" fontId="37" fillId="0" borderId="0" xfId="0" applyFont="1"/>
    <xf numFmtId="0" fontId="37" fillId="0" borderId="0" xfId="2" applyFont="1"/>
    <xf numFmtId="0" fontId="15" fillId="3" borderId="0" xfId="2" applyFill="1"/>
    <xf numFmtId="165" fontId="15" fillId="3" borderId="0" xfId="2" applyNumberFormat="1" applyFill="1" applyAlignment="1"/>
    <xf numFmtId="0" fontId="15" fillId="3" borderId="0" xfId="2" applyFill="1" applyAlignment="1"/>
    <xf numFmtId="4" fontId="15" fillId="3" borderId="0" xfId="2" applyNumberFormat="1" applyFill="1" applyAlignment="1"/>
    <xf numFmtId="167" fontId="15" fillId="3" borderId="0" xfId="2" applyNumberFormat="1" applyFill="1"/>
    <xf numFmtId="0" fontId="5" fillId="0" borderId="0" xfId="2" applyFont="1"/>
    <xf numFmtId="0" fontId="5" fillId="0" borderId="0" xfId="2" applyFont="1" applyAlignment="1"/>
    <xf numFmtId="0" fontId="5" fillId="0" borderId="0" xfId="2" applyFont="1" applyAlignment="1">
      <alignment horizontal="right"/>
    </xf>
    <xf numFmtId="0" fontId="5" fillId="0" borderId="0" xfId="2" applyNumberFormat="1" applyFont="1" applyAlignment="1">
      <alignment horizontal="right"/>
    </xf>
    <xf numFmtId="167" fontId="15" fillId="3" borderId="0" xfId="2" applyNumberFormat="1" applyFill="1" applyAlignment="1"/>
    <xf numFmtId="4" fontId="12" fillId="3" borderId="0" xfId="2" applyNumberFormat="1" applyFont="1" applyFill="1" applyAlignment="1">
      <alignment horizontal="right"/>
    </xf>
    <xf numFmtId="0" fontId="4" fillId="0" borderId="0" xfId="2" applyFont="1" applyAlignment="1">
      <alignment horizontal="right"/>
    </xf>
    <xf numFmtId="0" fontId="4" fillId="0" borderId="0" xfId="2" applyFont="1"/>
    <xf numFmtId="0" fontId="18" fillId="0" borderId="5" xfId="0" applyFont="1" applyBorder="1"/>
    <xf numFmtId="0" fontId="9" fillId="0" borderId="6" xfId="0" applyFont="1" applyBorder="1" applyAlignment="1">
      <alignment horizontal="left"/>
    </xf>
    <xf numFmtId="0" fontId="9" fillId="0" borderId="6" xfId="0" applyFont="1" applyBorder="1"/>
    <xf numFmtId="4" fontId="9" fillId="0" borderId="6" xfId="0" applyNumberFormat="1" applyFont="1" applyBorder="1"/>
    <xf numFmtId="0" fontId="9" fillId="0" borderId="7" xfId="0" applyFont="1" applyBorder="1"/>
    <xf numFmtId="0" fontId="18" fillId="0" borderId="8" xfId="0" applyFont="1" applyBorder="1"/>
    <xf numFmtId="0" fontId="9" fillId="0" borderId="0" xfId="0" applyFont="1" applyBorder="1" applyAlignment="1">
      <alignment horizontal="left"/>
    </xf>
    <xf numFmtId="0" fontId="9" fillId="0" borderId="0" xfId="0" applyFont="1" applyBorder="1"/>
    <xf numFmtId="4" fontId="9" fillId="0" borderId="0" xfId="0" applyNumberFormat="1" applyFont="1" applyBorder="1"/>
    <xf numFmtId="0" fontId="9" fillId="0" borderId="0" xfId="0" applyFont="1" applyBorder="1" applyAlignment="1">
      <alignment horizontal="center"/>
    </xf>
    <xf numFmtId="0" fontId="9" fillId="0" borderId="9" xfId="0" applyFont="1" applyBorder="1"/>
    <xf numFmtId="0" fontId="18" fillId="0" borderId="10" xfId="0" applyFont="1" applyBorder="1"/>
    <xf numFmtId="0" fontId="9" fillId="0" borderId="11" xfId="0" applyFont="1" applyBorder="1" applyAlignment="1">
      <alignment horizontal="center"/>
    </xf>
    <xf numFmtId="0" fontId="9" fillId="0" borderId="11" xfId="0" applyFont="1" applyBorder="1"/>
    <xf numFmtId="4" fontId="9" fillId="0" borderId="11" xfId="0" applyNumberFormat="1" applyFont="1" applyBorder="1"/>
    <xf numFmtId="0" fontId="9" fillId="0" borderId="12" xfId="0" applyFont="1" applyBorder="1"/>
    <xf numFmtId="0" fontId="18" fillId="0" borderId="6" xfId="0" applyFont="1" applyBorder="1"/>
    <xf numFmtId="0" fontId="18" fillId="0" borderId="0" xfId="0" applyFont="1" applyBorder="1"/>
    <xf numFmtId="0" fontId="18" fillId="0" borderId="11" xfId="0" applyFont="1" applyBorder="1"/>
    <xf numFmtId="0" fontId="9" fillId="0" borderId="13" xfId="0" applyFont="1" applyBorder="1"/>
    <xf numFmtId="0" fontId="9" fillId="0" borderId="14" xfId="0" applyFont="1" applyBorder="1"/>
    <xf numFmtId="0" fontId="9" fillId="0" borderId="15" xfId="0" applyFont="1" applyBorder="1"/>
    <xf numFmtId="3" fontId="9" fillId="0" borderId="13" xfId="0" applyNumberFormat="1" applyFont="1" applyBorder="1"/>
    <xf numFmtId="3" fontId="9" fillId="0" borderId="14" xfId="0" applyNumberFormat="1" applyFont="1" applyBorder="1"/>
    <xf numFmtId="3" fontId="9" fillId="0" borderId="15" xfId="0" applyNumberFormat="1" applyFont="1" applyBorder="1"/>
    <xf numFmtId="0" fontId="4" fillId="0" borderId="5" xfId="0" applyFont="1" applyBorder="1"/>
    <xf numFmtId="0" fontId="9" fillId="0" borderId="8" xfId="0" applyFont="1" applyBorder="1"/>
    <xf numFmtId="4" fontId="9" fillId="0" borderId="5" xfId="0" applyNumberFormat="1" applyFont="1" applyBorder="1"/>
    <xf numFmtId="4" fontId="9" fillId="0" borderId="8" xfId="0" applyNumberFormat="1" applyFont="1" applyBorder="1"/>
    <xf numFmtId="4" fontId="9" fillId="0" borderId="10" xfId="0" applyNumberFormat="1" applyFont="1" applyBorder="1"/>
    <xf numFmtId="0" fontId="9" fillId="0" borderId="5" xfId="0" applyFont="1" applyBorder="1"/>
    <xf numFmtId="0" fontId="6" fillId="0" borderId="9" xfId="0" applyFont="1" applyBorder="1"/>
    <xf numFmtId="0" fontId="9" fillId="0" borderId="10" xfId="0" applyFont="1" applyBorder="1"/>
    <xf numFmtId="0" fontId="4" fillId="0" borderId="9" xfId="0" quotePrefix="1" applyFont="1" applyBorder="1"/>
    <xf numFmtId="0" fontId="4" fillId="0" borderId="13" xfId="0" applyFont="1" applyBorder="1"/>
    <xf numFmtId="0" fontId="18" fillId="0" borderId="17" xfId="0" applyFont="1" applyBorder="1"/>
    <xf numFmtId="0" fontId="9" fillId="0" borderId="18" xfId="0" applyFont="1" applyBorder="1" applyAlignment="1">
      <alignment horizontal="left"/>
    </xf>
    <xf numFmtId="0" fontId="9" fillId="0" borderId="18" xfId="0" applyFont="1" applyBorder="1"/>
    <xf numFmtId="0" fontId="9" fillId="0" borderId="16" xfId="0" applyFont="1" applyBorder="1"/>
    <xf numFmtId="4" fontId="9" fillId="0" borderId="17" xfId="0" applyNumberFormat="1" applyFont="1" applyBorder="1"/>
    <xf numFmtId="4" fontId="9" fillId="0" borderId="18" xfId="0" applyNumberFormat="1" applyFont="1" applyBorder="1"/>
    <xf numFmtId="0" fontId="4" fillId="0" borderId="1" xfId="1" applyFont="1" applyBorder="1" applyAlignment="1">
      <alignment horizontal="center" vertical="center"/>
    </xf>
    <xf numFmtId="0" fontId="4" fillId="0" borderId="1" xfId="1" applyFont="1" applyFill="1" applyBorder="1" applyAlignment="1">
      <alignment horizontal="right" wrapText="1"/>
    </xf>
    <xf numFmtId="11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0" fontId="4" fillId="0" borderId="0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0" xfId="0" applyFont="1" applyAlignment="1">
      <alignment horizontal="left"/>
    </xf>
    <xf numFmtId="4" fontId="9" fillId="0" borderId="7" xfId="0" applyNumberFormat="1" applyFont="1" applyFill="1" applyBorder="1"/>
    <xf numFmtId="4" fontId="9" fillId="0" borderId="9" xfId="0" applyNumberFormat="1" applyFont="1" applyFill="1" applyBorder="1"/>
    <xf numFmtId="4" fontId="9" fillId="0" borderId="12" xfId="0" applyNumberFormat="1" applyFont="1" applyFill="1" applyBorder="1"/>
    <xf numFmtId="0" fontId="9" fillId="0" borderId="7" xfId="0" applyFont="1" applyFill="1" applyBorder="1"/>
    <xf numFmtId="4" fontId="9" fillId="0" borderId="19" xfId="0" applyNumberFormat="1" applyFont="1" applyFill="1" applyBorder="1"/>
    <xf numFmtId="4" fontId="9" fillId="0" borderId="6" xfId="0" applyNumberFormat="1" applyFont="1" applyFill="1" applyBorder="1"/>
    <xf numFmtId="0" fontId="9" fillId="0" borderId="0" xfId="0" applyFont="1" applyFill="1" applyBorder="1"/>
    <xf numFmtId="0" fontId="9" fillId="0" borderId="11" xfId="0" applyFont="1" applyFill="1" applyBorder="1"/>
    <xf numFmtId="0" fontId="9" fillId="0" borderId="6" xfId="0" applyFont="1" applyFill="1" applyBorder="1"/>
    <xf numFmtId="4" fontId="3" fillId="0" borderId="9" xfId="0" applyNumberFormat="1" applyFont="1" applyBorder="1"/>
    <xf numFmtId="0" fontId="3" fillId="0" borderId="7" xfId="0" applyFont="1" applyBorder="1"/>
    <xf numFmtId="0" fontId="3" fillId="0" borderId="9" xfId="0" applyFont="1" applyBorder="1"/>
    <xf numFmtId="0" fontId="3" fillId="0" borderId="12" xfId="0" applyFont="1" applyBorder="1"/>
    <xf numFmtId="4" fontId="3" fillId="0" borderId="19" xfId="0" applyNumberFormat="1" applyFont="1" applyBorder="1"/>
    <xf numFmtId="4" fontId="3" fillId="0" borderId="5" xfId="0" applyNumberFormat="1" applyFont="1" applyFill="1" applyBorder="1"/>
    <xf numFmtId="4" fontId="3" fillId="0" borderId="7" xfId="0" applyNumberFormat="1" applyFont="1" applyFill="1" applyBorder="1"/>
    <xf numFmtId="4" fontId="3" fillId="0" borderId="8" xfId="0" applyNumberFormat="1" applyFont="1" applyFill="1" applyBorder="1"/>
    <xf numFmtId="4" fontId="9" fillId="0" borderId="0" xfId="0" applyNumberFormat="1" applyFont="1" applyFill="1" applyBorder="1"/>
    <xf numFmtId="4" fontId="3" fillId="0" borderId="9" xfId="0" applyNumberFormat="1" applyFont="1" applyFill="1" applyBorder="1"/>
    <xf numFmtId="4" fontId="3" fillId="0" borderId="10" xfId="0" applyNumberFormat="1" applyFont="1" applyFill="1" applyBorder="1"/>
    <xf numFmtId="4" fontId="9" fillId="0" borderId="11" xfId="0" applyNumberFormat="1" applyFont="1" applyFill="1" applyBorder="1"/>
    <xf numFmtId="4" fontId="3" fillId="0" borderId="12" xfId="0" applyNumberFormat="1" applyFont="1" applyFill="1" applyBorder="1"/>
    <xf numFmtId="0" fontId="3" fillId="0" borderId="5" xfId="0" applyFont="1" applyFill="1" applyBorder="1"/>
    <xf numFmtId="0" fontId="3" fillId="0" borderId="7" xfId="0" applyFont="1" applyFill="1" applyBorder="1"/>
    <xf numFmtId="0" fontId="3" fillId="0" borderId="8" xfId="0" applyFont="1" applyFill="1" applyBorder="1"/>
    <xf numFmtId="0" fontId="3" fillId="0" borderId="9" xfId="0" applyFont="1" applyFill="1" applyBorder="1"/>
    <xf numFmtId="0" fontId="9" fillId="0" borderId="9" xfId="0" applyFont="1" applyFill="1" applyBorder="1"/>
    <xf numFmtId="0" fontId="3" fillId="0" borderId="10" xfId="0" applyFont="1" applyFill="1" applyBorder="1"/>
    <xf numFmtId="0" fontId="3" fillId="0" borderId="12" xfId="0" applyFont="1" applyFill="1" applyBorder="1"/>
    <xf numFmtId="0" fontId="9" fillId="0" borderId="12" xfId="0" applyFont="1" applyFill="1" applyBorder="1"/>
    <xf numFmtId="4" fontId="3" fillId="0" borderId="0" xfId="0" applyNumberFormat="1" applyFont="1" applyFill="1" applyBorder="1"/>
    <xf numFmtId="4" fontId="3" fillId="0" borderId="0" xfId="0" applyNumberFormat="1" applyFont="1" applyBorder="1"/>
    <xf numFmtId="4" fontId="3" fillId="0" borderId="18" xfId="0" applyNumberFormat="1" applyFont="1" applyBorder="1"/>
    <xf numFmtId="0" fontId="3" fillId="0" borderId="1" xfId="1" applyFont="1" applyBorder="1" applyAlignment="1">
      <alignment horizontal="right" wrapText="1"/>
    </xf>
    <xf numFmtId="0" fontId="3" fillId="0" borderId="1" xfId="1" applyFont="1" applyBorder="1" applyAlignment="1">
      <alignment horizontal="center" vertical="center"/>
    </xf>
    <xf numFmtId="4" fontId="3" fillId="0" borderId="17" xfId="0" applyNumberFormat="1" applyFont="1" applyFill="1" applyBorder="1"/>
    <xf numFmtId="0" fontId="2" fillId="0" borderId="0" xfId="0" applyFont="1"/>
    <xf numFmtId="0" fontId="38" fillId="0" borderId="0" xfId="0" applyFont="1"/>
    <xf numFmtId="0" fontId="39" fillId="0" borderId="0" xfId="0" applyFont="1"/>
    <xf numFmtId="0" fontId="2" fillId="0" borderId="0" xfId="2" applyFont="1" applyAlignment="1">
      <alignment horizontal="left"/>
    </xf>
    <xf numFmtId="0" fontId="40" fillId="4" borderId="0" xfId="0" applyFont="1" applyFill="1" applyAlignment="1">
      <alignment horizontal="left" wrapText="1"/>
    </xf>
    <xf numFmtId="0" fontId="40" fillId="4" borderId="20" xfId="0" applyFont="1" applyFill="1" applyBorder="1" applyAlignment="1">
      <alignment horizontal="left" wrapText="1"/>
    </xf>
    <xf numFmtId="4" fontId="43" fillId="5" borderId="21" xfId="0" applyNumberFormat="1" applyFont="1" applyFill="1" applyBorder="1" applyAlignment="1">
      <alignment vertical="top" wrapText="1"/>
    </xf>
    <xf numFmtId="4" fontId="43" fillId="4" borderId="21" xfId="0" applyNumberFormat="1" applyFont="1" applyFill="1" applyBorder="1" applyAlignment="1">
      <alignment vertical="top" wrapText="1"/>
    </xf>
    <xf numFmtId="166" fontId="43" fillId="5" borderId="21" xfId="0" applyNumberFormat="1" applyFont="1" applyFill="1" applyBorder="1" applyAlignment="1">
      <alignment vertical="top" wrapText="1"/>
    </xf>
    <xf numFmtId="166" fontId="43" fillId="4" borderId="21" xfId="0" applyNumberFormat="1" applyFont="1" applyFill="1" applyBorder="1" applyAlignment="1">
      <alignment vertical="top" wrapText="1"/>
    </xf>
    <xf numFmtId="3" fontId="43" fillId="5" borderId="21" xfId="0" applyNumberFormat="1" applyFont="1" applyFill="1" applyBorder="1" applyAlignment="1">
      <alignment vertical="top" wrapText="1"/>
    </xf>
    <xf numFmtId="3" fontId="43" fillId="5" borderId="22" xfId="0" applyNumberFormat="1" applyFont="1" applyFill="1" applyBorder="1" applyAlignment="1">
      <alignment vertical="top" wrapText="1"/>
    </xf>
    <xf numFmtId="3" fontId="43" fillId="4" borderId="21" xfId="0" applyNumberFormat="1" applyFont="1" applyFill="1" applyBorder="1" applyAlignment="1">
      <alignment vertical="top" wrapText="1"/>
    </xf>
    <xf numFmtId="3" fontId="43" fillId="4" borderId="22" xfId="0" applyNumberFormat="1" applyFont="1" applyFill="1" applyBorder="1" applyAlignment="1">
      <alignment vertical="top" wrapText="1"/>
    </xf>
    <xf numFmtId="0" fontId="0" fillId="0" borderId="0" xfId="0" quotePrefix="1"/>
    <xf numFmtId="0" fontId="0" fillId="0" borderId="0" xfId="0" quotePrefix="1" applyFill="1" applyBorder="1" applyAlignment="1"/>
    <xf numFmtId="0" fontId="0" fillId="0" borderId="0" xfId="0" quotePrefix="1" applyFill="1" applyBorder="1" applyAlignment="1">
      <alignment horizontal="center"/>
    </xf>
    <xf numFmtId="0" fontId="19" fillId="0" borderId="0" xfId="0" applyFont="1" applyAlignment="1">
      <alignment horizontal="right"/>
    </xf>
    <xf numFmtId="164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49" fontId="0" fillId="0" borderId="0" xfId="0" applyNumberFormat="1" applyAlignment="1">
      <alignment horizontal="left"/>
    </xf>
    <xf numFmtId="0" fontId="40" fillId="4" borderId="0" xfId="0" applyFont="1" applyFill="1" applyAlignment="1">
      <alignment horizontal="center" wrapText="1"/>
    </xf>
    <xf numFmtId="0" fontId="0" fillId="3" borderId="0" xfId="0" applyFill="1"/>
    <xf numFmtId="0" fontId="45" fillId="0" borderId="0" xfId="0" applyFont="1"/>
    <xf numFmtId="4" fontId="0" fillId="3" borderId="0" xfId="0" applyNumberFormat="1" applyFill="1"/>
    <xf numFmtId="3" fontId="0" fillId="3" borderId="0" xfId="0" applyNumberFormat="1" applyFill="1"/>
    <xf numFmtId="4" fontId="0" fillId="0" borderId="0" xfId="0" quotePrefix="1" applyNumberFormat="1"/>
    <xf numFmtId="4" fontId="46" fillId="0" borderId="0" xfId="0" applyNumberFormat="1" applyFont="1"/>
    <xf numFmtId="0" fontId="0" fillId="0" borderId="0" xfId="0" applyAlignment="1">
      <alignment horizontal="center" vertical="center"/>
    </xf>
    <xf numFmtId="0" fontId="43" fillId="4" borderId="21" xfId="0" applyFont="1" applyFill="1" applyBorder="1" applyAlignment="1">
      <alignment horizontal="center" vertical="center" wrapText="1"/>
    </xf>
    <xf numFmtId="0" fontId="43" fillId="4" borderId="22" xfId="0" applyFont="1" applyFill="1" applyBorder="1" applyAlignment="1">
      <alignment horizontal="center" vertical="center" wrapText="1"/>
    </xf>
    <xf numFmtId="0" fontId="43" fillId="5" borderId="21" xfId="0" applyFont="1" applyFill="1" applyBorder="1" applyAlignment="1">
      <alignment horizontal="center" vertical="center" wrapText="1"/>
    </xf>
    <xf numFmtId="0" fontId="43" fillId="5" borderId="22" xfId="0" applyFont="1" applyFill="1" applyBorder="1" applyAlignment="1">
      <alignment horizontal="center" vertical="center" wrapText="1"/>
    </xf>
    <xf numFmtId="0" fontId="47" fillId="0" borderId="0" xfId="3" applyAlignment="1" applyProtection="1"/>
    <xf numFmtId="0" fontId="48" fillId="4" borderId="26" xfId="0" applyFont="1" applyFill="1" applyBorder="1" applyAlignment="1">
      <alignment horizontal="center"/>
    </xf>
    <xf numFmtId="0" fontId="49" fillId="6" borderId="24" xfId="0" applyFont="1" applyFill="1" applyBorder="1" applyAlignment="1">
      <alignment horizontal="center"/>
    </xf>
    <xf numFmtId="0" fontId="49" fillId="6" borderId="25" xfId="0" applyFont="1" applyFill="1" applyBorder="1" applyAlignment="1">
      <alignment horizontal="center"/>
    </xf>
    <xf numFmtId="0" fontId="49" fillId="6" borderId="23" xfId="0" applyFont="1" applyFill="1" applyBorder="1" applyAlignment="1">
      <alignment horizontal="center"/>
    </xf>
    <xf numFmtId="0" fontId="49" fillId="6" borderId="23" xfId="0" applyFont="1" applyFill="1" applyBorder="1" applyAlignment="1">
      <alignment horizontal="left"/>
    </xf>
    <xf numFmtId="0" fontId="52" fillId="4" borderId="23" xfId="0" applyFont="1" applyFill="1" applyBorder="1" applyAlignment="1">
      <alignment horizontal="center"/>
    </xf>
    <xf numFmtId="16" fontId="52" fillId="4" borderId="23" xfId="0" applyNumberFormat="1" applyFont="1" applyFill="1" applyBorder="1" applyAlignment="1">
      <alignment horizontal="center"/>
    </xf>
    <xf numFmtId="17" fontId="52" fillId="4" borderId="23" xfId="0" applyNumberFormat="1" applyFont="1" applyFill="1" applyBorder="1" applyAlignment="1">
      <alignment horizontal="center"/>
    </xf>
    <xf numFmtId="0" fontId="27" fillId="0" borderId="0" xfId="2" applyFont="1" applyAlignment="1">
      <alignment horizontal="left" vertical="top" wrapText="1"/>
    </xf>
    <xf numFmtId="164" fontId="17" fillId="0" borderId="2" xfId="1" applyNumberFormat="1" applyBorder="1" applyAlignment="1">
      <alignment horizontal="center"/>
    </xf>
    <xf numFmtId="164" fontId="17" fillId="0" borderId="3" xfId="1" applyNumberFormat="1" applyBorder="1" applyAlignment="1">
      <alignment horizontal="center"/>
    </xf>
    <xf numFmtId="164" fontId="17" fillId="0" borderId="4" xfId="1" applyNumberFormat="1" applyBorder="1" applyAlignment="1">
      <alignment horizontal="center"/>
    </xf>
    <xf numFmtId="0" fontId="22" fillId="0" borderId="0" xfId="1" applyFont="1" applyAlignment="1">
      <alignment horizontal="left" wrapText="1"/>
    </xf>
    <xf numFmtId="164" fontId="22" fillId="0" borderId="2" xfId="1" applyNumberFormat="1" applyFont="1" applyBorder="1" applyAlignment="1">
      <alignment horizontal="left"/>
    </xf>
    <xf numFmtId="164" fontId="22" fillId="0" borderId="3" xfId="1" applyNumberFormat="1" applyFont="1" applyBorder="1" applyAlignment="1">
      <alignment horizontal="left"/>
    </xf>
    <xf numFmtId="164" fontId="22" fillId="0" borderId="4" xfId="1" applyNumberFormat="1" applyFont="1" applyBorder="1" applyAlignment="1">
      <alignment horizontal="left"/>
    </xf>
    <xf numFmtId="0" fontId="18" fillId="0" borderId="1" xfId="1" applyFont="1" applyBorder="1" applyAlignment="1">
      <alignment horizontal="center" vertical="center"/>
    </xf>
    <xf numFmtId="0" fontId="18" fillId="0" borderId="1" xfId="1" applyFont="1" applyBorder="1" applyAlignment="1">
      <alignment horizontal="center"/>
    </xf>
    <xf numFmtId="0" fontId="0" fillId="0" borderId="0" xfId="0" applyAlignment="1">
      <alignment horizontal="center"/>
    </xf>
    <xf numFmtId="0" fontId="49" fillId="6" borderId="24" xfId="0" applyFont="1" applyFill="1" applyBorder="1" applyAlignment="1">
      <alignment horizontal="center" vertical="center"/>
    </xf>
    <xf numFmtId="0" fontId="49" fillId="6" borderId="25" xfId="0" applyFont="1" applyFill="1" applyBorder="1" applyAlignment="1">
      <alignment horizontal="center" vertical="center"/>
    </xf>
    <xf numFmtId="0" fontId="49" fillId="6" borderId="27" xfId="0" applyFont="1" applyFill="1" applyBorder="1" applyAlignment="1">
      <alignment horizontal="center" vertical="center"/>
    </xf>
    <xf numFmtId="0" fontId="49" fillId="6" borderId="28" xfId="0" applyFont="1" applyFill="1" applyBorder="1" applyAlignment="1">
      <alignment horizontal="center" vertical="center"/>
    </xf>
    <xf numFmtId="0" fontId="49" fillId="6" borderId="29" xfId="0" applyFont="1" applyFill="1" applyBorder="1" applyAlignment="1">
      <alignment horizontal="center" vertical="center"/>
    </xf>
    <xf numFmtId="0" fontId="49" fillId="6" borderId="30" xfId="0" applyFont="1" applyFill="1" applyBorder="1" applyAlignment="1">
      <alignment horizontal="center" vertical="center"/>
    </xf>
    <xf numFmtId="0" fontId="49" fillId="6" borderId="31" xfId="0" applyFont="1" applyFill="1" applyBorder="1" applyAlignment="1">
      <alignment horizontal="center" vertical="center"/>
    </xf>
    <xf numFmtId="0" fontId="49" fillId="6" borderId="32" xfId="0" applyFont="1" applyFill="1" applyBorder="1" applyAlignment="1">
      <alignment horizontal="center" vertical="center"/>
    </xf>
    <xf numFmtId="0" fontId="49" fillId="6" borderId="27" xfId="0" applyFont="1" applyFill="1" applyBorder="1" applyAlignment="1">
      <alignment horizontal="center"/>
    </xf>
    <xf numFmtId="0" fontId="49" fillId="6" borderId="28" xfId="0" applyFont="1" applyFill="1" applyBorder="1" applyAlignment="1">
      <alignment horizontal="center"/>
    </xf>
    <xf numFmtId="0" fontId="49" fillId="6" borderId="29" xfId="0" applyFont="1" applyFill="1" applyBorder="1" applyAlignment="1">
      <alignment horizontal="center"/>
    </xf>
    <xf numFmtId="0" fontId="49" fillId="6" borderId="30" xfId="0" applyFont="1" applyFill="1" applyBorder="1" applyAlignment="1">
      <alignment horizontal="center"/>
    </xf>
    <xf numFmtId="0" fontId="49" fillId="6" borderId="31" xfId="0" applyFont="1" applyFill="1" applyBorder="1" applyAlignment="1">
      <alignment horizontal="center"/>
    </xf>
    <xf numFmtId="0" fontId="49" fillId="6" borderId="32" xfId="0" applyFont="1" applyFill="1" applyBorder="1" applyAlignment="1">
      <alignment horizontal="center"/>
    </xf>
    <xf numFmtId="0" fontId="49" fillId="6" borderId="33" xfId="0" applyFont="1" applyFill="1" applyBorder="1" applyAlignment="1">
      <alignment horizontal="center" vertical="center"/>
    </xf>
    <xf numFmtId="4" fontId="0" fillId="3" borderId="0" xfId="0" quotePrefix="1" applyNumberFormat="1" applyFill="1"/>
    <xf numFmtId="169" fontId="0" fillId="3" borderId="0" xfId="0" applyNumberFormat="1" applyFill="1"/>
    <xf numFmtId="169" fontId="0" fillId="0" borderId="0" xfId="0" quotePrefix="1" applyNumberFormat="1"/>
  </cellXfs>
  <cellStyles count="4">
    <cellStyle name="Hyperlink" xfId="3" builtinId="8"/>
    <cellStyle name="Normal" xfId="0" builtinId="0"/>
    <cellStyle name="Normal 2" xfId="1"/>
    <cellStyle name="Normal 3" xfId="2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image" Target="../media/image2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14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14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14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14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8.png"/><Relationship Id="rId7" Type="http://schemas.openxmlformats.org/officeDocument/2006/relationships/image" Target="../media/image3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8.png"/><Relationship Id="rId7" Type="http://schemas.openxmlformats.org/officeDocument/2006/relationships/image" Target="../media/image3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8.png"/><Relationship Id="rId7" Type="http://schemas.openxmlformats.org/officeDocument/2006/relationships/image" Target="../media/image3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212224</xdr:colOff>
      <xdr:row>1</xdr:row>
      <xdr:rowOff>343822</xdr:rowOff>
    </xdr:from>
    <xdr:to>
      <xdr:col>23</xdr:col>
      <xdr:colOff>474625</xdr:colOff>
      <xdr:row>15</xdr:row>
      <xdr:rowOff>172307</xdr:rowOff>
    </xdr:to>
    <xdr:pic>
      <xdr:nvPicPr>
        <xdr:cNvPr id="9" name="Picture 8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74899" y="572422"/>
          <a:ext cx="2957976" cy="3314635"/>
        </a:xfrm>
        <a:prstGeom prst="rect">
          <a:avLst/>
        </a:prstGeom>
      </xdr:spPr>
    </xdr:pic>
    <xdr:clientData/>
  </xdr:twoCellAnchor>
  <xdr:twoCellAnchor editAs="oneCell">
    <xdr:from>
      <xdr:col>16</xdr:col>
      <xdr:colOff>133971</xdr:colOff>
      <xdr:row>16</xdr:row>
      <xdr:rowOff>96241</xdr:rowOff>
    </xdr:from>
    <xdr:to>
      <xdr:col>23</xdr:col>
      <xdr:colOff>587653</xdr:colOff>
      <xdr:row>42</xdr:row>
      <xdr:rowOff>143994</xdr:rowOff>
    </xdr:to>
    <xdr:pic>
      <xdr:nvPicPr>
        <xdr:cNvPr id="5" name="Picture 4" descr="tuulesuunad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67837"/>
        <a:stretch>
          <a:fillRect/>
        </a:stretch>
      </xdr:blipFill>
      <xdr:spPr>
        <a:xfrm>
          <a:off x="5820396" y="4039591"/>
          <a:ext cx="3625507" cy="6029453"/>
        </a:xfrm>
        <a:prstGeom prst="rect">
          <a:avLst/>
        </a:prstGeom>
      </xdr:spPr>
    </xdr:pic>
    <xdr:clientData/>
  </xdr:twoCellAnchor>
  <xdr:twoCellAnchor editAs="oneCell">
    <xdr:from>
      <xdr:col>15</xdr:col>
      <xdr:colOff>5604</xdr:colOff>
      <xdr:row>43</xdr:row>
      <xdr:rowOff>178232</xdr:rowOff>
    </xdr:from>
    <xdr:to>
      <xdr:col>22</xdr:col>
      <xdr:colOff>1305</xdr:colOff>
      <xdr:row>58</xdr:row>
      <xdr:rowOff>117959</xdr:rowOff>
    </xdr:to>
    <xdr:pic>
      <xdr:nvPicPr>
        <xdr:cNvPr id="18" name="Picture 17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15779" y="10350932"/>
          <a:ext cx="2957976" cy="3311577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53</xdr:row>
      <xdr:rowOff>84424</xdr:rowOff>
    </xdr:from>
    <xdr:to>
      <xdr:col>6</xdr:col>
      <xdr:colOff>454270</xdr:colOff>
      <xdr:row>55</xdr:row>
      <xdr:rowOff>46613</xdr:rowOff>
    </xdr:to>
    <xdr:pic>
      <xdr:nvPicPr>
        <xdr:cNvPr id="1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8717" y="12698837"/>
          <a:ext cx="1380966" cy="426015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471854</xdr:colOff>
      <xdr:row>42</xdr:row>
      <xdr:rowOff>224205</xdr:rowOff>
    </xdr:from>
    <xdr:to>
      <xdr:col>25</xdr:col>
      <xdr:colOff>149328</xdr:colOff>
      <xdr:row>59</xdr:row>
      <xdr:rowOff>48391</xdr:rowOff>
    </xdr:to>
    <xdr:pic>
      <xdr:nvPicPr>
        <xdr:cNvPr id="22" name="Picture 21" descr="tuulesuunad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67837"/>
        <a:stretch>
          <a:fillRect/>
        </a:stretch>
      </xdr:blipFill>
      <xdr:spPr>
        <a:xfrm>
          <a:off x="8168054" y="10149255"/>
          <a:ext cx="2211124" cy="3691336"/>
        </a:xfrm>
        <a:prstGeom prst="rect">
          <a:avLst/>
        </a:prstGeom>
      </xdr:spPr>
    </xdr:pic>
    <xdr:clientData/>
  </xdr:twoCellAnchor>
  <xdr:twoCellAnchor>
    <xdr:from>
      <xdr:col>4</xdr:col>
      <xdr:colOff>191457</xdr:colOff>
      <xdr:row>91</xdr:row>
      <xdr:rowOff>59576</xdr:rowOff>
    </xdr:from>
    <xdr:to>
      <xdr:col>6</xdr:col>
      <xdr:colOff>462553</xdr:colOff>
      <xdr:row>93</xdr:row>
      <xdr:rowOff>21765</xdr:rowOff>
    </xdr:to>
    <xdr:pic>
      <xdr:nvPicPr>
        <xdr:cNvPr id="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7000" y="21528098"/>
          <a:ext cx="1380966" cy="42601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219809</xdr:colOff>
      <xdr:row>70</xdr:row>
      <xdr:rowOff>131884</xdr:rowOff>
    </xdr:from>
    <xdr:to>
      <xdr:col>25</xdr:col>
      <xdr:colOff>168520</xdr:colOff>
      <xdr:row>85</xdr:row>
      <xdr:rowOff>83285</xdr:rowOff>
    </xdr:to>
    <xdr:pic>
      <xdr:nvPicPr>
        <xdr:cNvPr id="25" name="Picture 24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39405" y="14177596"/>
          <a:ext cx="3069980" cy="3425828"/>
        </a:xfrm>
        <a:prstGeom prst="rect">
          <a:avLst/>
        </a:prstGeom>
      </xdr:spPr>
    </xdr:pic>
    <xdr:clientData/>
  </xdr:twoCellAnchor>
  <xdr:twoCellAnchor editAs="oneCell">
    <xdr:from>
      <xdr:col>15</xdr:col>
      <xdr:colOff>453062</xdr:colOff>
      <xdr:row>81</xdr:row>
      <xdr:rowOff>36634</xdr:rowOff>
    </xdr:from>
    <xdr:to>
      <xdr:col>21</xdr:col>
      <xdr:colOff>186221</xdr:colOff>
      <xdr:row>97</xdr:row>
      <xdr:rowOff>127520</xdr:rowOff>
    </xdr:to>
    <xdr:pic>
      <xdr:nvPicPr>
        <xdr:cNvPr id="26" name="Picture 25" descr="tuulesuunad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67837"/>
        <a:stretch>
          <a:fillRect/>
        </a:stretch>
      </xdr:blipFill>
      <xdr:spPr>
        <a:xfrm>
          <a:off x="5867658" y="16346365"/>
          <a:ext cx="2216986" cy="3678148"/>
        </a:xfrm>
        <a:prstGeom prst="rect">
          <a:avLst/>
        </a:prstGeom>
      </xdr:spPr>
    </xdr:pic>
    <xdr:clientData/>
  </xdr:twoCellAnchor>
  <xdr:twoCellAnchor>
    <xdr:from>
      <xdr:col>11</xdr:col>
      <xdr:colOff>363499</xdr:colOff>
      <xdr:row>82</xdr:row>
      <xdr:rowOff>80595</xdr:rowOff>
    </xdr:from>
    <xdr:to>
      <xdr:col>15</xdr:col>
      <xdr:colOff>43962</xdr:colOff>
      <xdr:row>88</xdr:row>
      <xdr:rowOff>131884</xdr:rowOff>
    </xdr:to>
    <xdr:grpSp>
      <xdr:nvGrpSpPr>
        <xdr:cNvPr id="20" name="Group 19"/>
        <xdr:cNvGrpSpPr/>
      </xdr:nvGrpSpPr>
      <xdr:grpSpPr>
        <a:xfrm>
          <a:off x="3668674" y="19263945"/>
          <a:ext cx="1585463" cy="1422889"/>
          <a:chOff x="6384074" y="21936808"/>
          <a:chExt cx="3003911" cy="1414096"/>
        </a:xfrm>
      </xdr:grpSpPr>
      <xdr:sp macro="" textlink="">
        <xdr:nvSpPr>
          <xdr:cNvPr id="13" name="Freeform 12"/>
          <xdr:cNvSpPr/>
        </xdr:nvSpPr>
        <xdr:spPr>
          <a:xfrm>
            <a:off x="7319596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sp macro="" textlink="">
        <xdr:nvSpPr>
          <xdr:cNvPr id="14" name="Freeform 13"/>
          <xdr:cNvSpPr/>
        </xdr:nvSpPr>
        <xdr:spPr>
          <a:xfrm rot="10800000">
            <a:off x="8806961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16" name="Straight Arrow Connector 15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7" name="TextBox 16"/>
          <xdr:cNvSpPr txBox="1"/>
        </xdr:nvSpPr>
        <xdr:spPr>
          <a:xfrm>
            <a:off x="6384074" y="22288500"/>
            <a:ext cx="1032663" cy="24178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11</xdr:col>
      <xdr:colOff>352008</xdr:colOff>
      <xdr:row>106</xdr:row>
      <xdr:rowOff>58616</xdr:rowOff>
    </xdr:from>
    <xdr:to>
      <xdr:col>16</xdr:col>
      <xdr:colOff>17254</xdr:colOff>
      <xdr:row>112</xdr:row>
      <xdr:rowOff>9535</xdr:rowOff>
    </xdr:to>
    <xdr:pic>
      <xdr:nvPicPr>
        <xdr:cNvPr id="21" name="Picture 20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61604" y="22838020"/>
          <a:ext cx="2046496" cy="1337172"/>
        </a:xfrm>
        <a:prstGeom prst="rect">
          <a:avLst/>
        </a:prstGeom>
      </xdr:spPr>
    </xdr:pic>
    <xdr:clientData/>
  </xdr:twoCellAnchor>
  <xdr:twoCellAnchor>
    <xdr:from>
      <xdr:col>4</xdr:col>
      <xdr:colOff>191457</xdr:colOff>
      <xdr:row>133</xdr:row>
      <xdr:rowOff>76141</xdr:rowOff>
    </xdr:from>
    <xdr:to>
      <xdr:col>6</xdr:col>
      <xdr:colOff>462553</xdr:colOff>
      <xdr:row>135</xdr:row>
      <xdr:rowOff>38330</xdr:rowOff>
    </xdr:to>
    <xdr:pic>
      <xdr:nvPicPr>
        <xdr:cNvPr id="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7000" y="31359554"/>
          <a:ext cx="1380966" cy="42601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453062</xdr:colOff>
      <xdr:row>121</xdr:row>
      <xdr:rowOff>36634</xdr:rowOff>
    </xdr:from>
    <xdr:to>
      <xdr:col>21</xdr:col>
      <xdr:colOff>474169</xdr:colOff>
      <xdr:row>137</xdr:row>
      <xdr:rowOff>92351</xdr:rowOff>
    </xdr:to>
    <xdr:pic>
      <xdr:nvPicPr>
        <xdr:cNvPr id="27" name="Picture 26" descr="tuulesuunad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r="67837"/>
        <a:stretch>
          <a:fillRect/>
        </a:stretch>
      </xdr:blipFill>
      <xdr:spPr>
        <a:xfrm>
          <a:off x="5867658" y="16346365"/>
          <a:ext cx="2216986" cy="3678148"/>
        </a:xfrm>
        <a:prstGeom prst="rect">
          <a:avLst/>
        </a:prstGeom>
      </xdr:spPr>
    </xdr:pic>
    <xdr:clientData/>
  </xdr:twoCellAnchor>
  <xdr:twoCellAnchor>
    <xdr:from>
      <xdr:col>11</xdr:col>
      <xdr:colOff>413659</xdr:colOff>
      <xdr:row>122</xdr:row>
      <xdr:rowOff>148636</xdr:rowOff>
    </xdr:from>
    <xdr:to>
      <xdr:col>16</xdr:col>
      <xdr:colOff>102579</xdr:colOff>
      <xdr:row>129</xdr:row>
      <xdr:rowOff>87922</xdr:rowOff>
    </xdr:to>
    <xdr:grpSp>
      <xdr:nvGrpSpPr>
        <xdr:cNvPr id="28" name="Group 27"/>
        <xdr:cNvGrpSpPr/>
      </xdr:nvGrpSpPr>
      <xdr:grpSpPr>
        <a:xfrm>
          <a:off x="3718834" y="28571236"/>
          <a:ext cx="2070170" cy="1539486"/>
          <a:chOff x="6440277" y="21936818"/>
          <a:chExt cx="2072249" cy="1414096"/>
        </a:xfrm>
      </xdr:grpSpPr>
      <xdr:sp macro="" textlink="">
        <xdr:nvSpPr>
          <xdr:cNvPr id="29" name="Freeform 28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31" name="Straight Arrow Connector 30"/>
          <xdr:cNvCxnSpPr/>
        </xdr:nvCxnSpPr>
        <xdr:spPr>
          <a:xfrm>
            <a:off x="6440277" y="22588904"/>
            <a:ext cx="842598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2" name="TextBox 31"/>
          <xdr:cNvSpPr txBox="1"/>
        </xdr:nvSpPr>
        <xdr:spPr>
          <a:xfrm>
            <a:off x="6577270" y="22261956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11</xdr:col>
      <xdr:colOff>359335</xdr:colOff>
      <xdr:row>146</xdr:row>
      <xdr:rowOff>1</xdr:rowOff>
    </xdr:from>
    <xdr:to>
      <xdr:col>16</xdr:col>
      <xdr:colOff>17254</xdr:colOff>
      <xdr:row>152</xdr:row>
      <xdr:rowOff>125300</xdr:rowOff>
    </xdr:to>
    <xdr:pic>
      <xdr:nvPicPr>
        <xdr:cNvPr id="33" name="Picture 32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68931" y="29490866"/>
          <a:ext cx="2039169" cy="1513019"/>
        </a:xfrm>
        <a:prstGeom prst="rect">
          <a:avLst/>
        </a:prstGeom>
      </xdr:spPr>
    </xdr:pic>
    <xdr:clientData/>
  </xdr:twoCellAnchor>
  <xdr:twoCellAnchor editAs="oneCell">
    <xdr:from>
      <xdr:col>11</xdr:col>
      <xdr:colOff>315056</xdr:colOff>
      <xdr:row>153</xdr:row>
      <xdr:rowOff>180069</xdr:rowOff>
    </xdr:from>
    <xdr:to>
      <xdr:col>17</xdr:col>
      <xdr:colOff>476249</xdr:colOff>
      <xdr:row>160</xdr:row>
      <xdr:rowOff>190309</xdr:rowOff>
    </xdr:to>
    <xdr:pic>
      <xdr:nvPicPr>
        <xdr:cNvPr id="35" name="Picture 34" descr="ümarate nurkade mõju tegur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824652" y="31041069"/>
          <a:ext cx="3018693" cy="1663194"/>
        </a:xfrm>
        <a:prstGeom prst="rect">
          <a:avLst/>
        </a:prstGeom>
      </xdr:spPr>
    </xdr:pic>
    <xdr:clientData/>
  </xdr:twoCellAnchor>
  <xdr:twoCellAnchor editAs="oneCell">
    <xdr:from>
      <xdr:col>17</xdr:col>
      <xdr:colOff>139212</xdr:colOff>
      <xdr:row>214</xdr:row>
      <xdr:rowOff>4396</xdr:rowOff>
    </xdr:from>
    <xdr:to>
      <xdr:col>23</xdr:col>
      <xdr:colOff>507023</xdr:colOff>
      <xdr:row>229</xdr:row>
      <xdr:rowOff>97174</xdr:rowOff>
    </xdr:to>
    <xdr:pic>
      <xdr:nvPicPr>
        <xdr:cNvPr id="36" name="Picture 35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01887" y="50010646"/>
          <a:ext cx="3063386" cy="3578928"/>
        </a:xfrm>
        <a:prstGeom prst="rect">
          <a:avLst/>
        </a:prstGeom>
      </xdr:spPr>
    </xdr:pic>
    <xdr:clientData/>
  </xdr:twoCellAnchor>
  <xdr:twoCellAnchor>
    <xdr:from>
      <xdr:col>4</xdr:col>
      <xdr:colOff>191457</xdr:colOff>
      <xdr:row>183</xdr:row>
      <xdr:rowOff>59576</xdr:rowOff>
    </xdr:from>
    <xdr:to>
      <xdr:col>6</xdr:col>
      <xdr:colOff>462553</xdr:colOff>
      <xdr:row>185</xdr:row>
      <xdr:rowOff>21765</xdr:rowOff>
    </xdr:to>
    <xdr:pic>
      <xdr:nvPicPr>
        <xdr:cNvPr id="3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47000" y="43203685"/>
          <a:ext cx="1380966" cy="426015"/>
        </a:xfrm>
        <a:prstGeom prst="rect">
          <a:avLst/>
        </a:prstGeom>
        <a:noFill/>
      </xdr:spPr>
    </xdr:pic>
    <xdr:clientData/>
  </xdr:twoCellAnchor>
  <xdr:twoCellAnchor>
    <xdr:from>
      <xdr:col>12</xdr:col>
      <xdr:colOff>25331</xdr:colOff>
      <xdr:row>172</xdr:row>
      <xdr:rowOff>148642</xdr:rowOff>
    </xdr:from>
    <xdr:to>
      <xdr:col>14</xdr:col>
      <xdr:colOff>175847</xdr:colOff>
      <xdr:row>179</xdr:row>
      <xdr:rowOff>87928</xdr:rowOff>
    </xdr:to>
    <xdr:grpSp>
      <xdr:nvGrpSpPr>
        <xdr:cNvPr id="39" name="Group 38"/>
        <xdr:cNvGrpSpPr/>
      </xdr:nvGrpSpPr>
      <xdr:grpSpPr>
        <a:xfrm>
          <a:off x="3806756" y="40306042"/>
          <a:ext cx="1103016" cy="1539486"/>
          <a:chOff x="6528288" y="21936825"/>
          <a:chExt cx="1984238" cy="1414096"/>
        </a:xfrm>
      </xdr:grpSpPr>
      <xdr:sp macro="" textlink="">
        <xdr:nvSpPr>
          <xdr:cNvPr id="40" name="Freeform 39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41" name="Straight Arrow Connector 40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42" name="TextBox 41"/>
          <xdr:cNvSpPr txBox="1"/>
        </xdr:nvSpPr>
        <xdr:spPr>
          <a:xfrm>
            <a:off x="6569938" y="22188694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12</xdr:col>
      <xdr:colOff>425278</xdr:colOff>
      <xdr:row>191</xdr:row>
      <xdr:rowOff>139213</xdr:rowOff>
    </xdr:from>
    <xdr:to>
      <xdr:col>19</xdr:col>
      <xdr:colOff>14480</xdr:colOff>
      <xdr:row>200</xdr:row>
      <xdr:rowOff>181707</xdr:rowOff>
    </xdr:to>
    <xdr:pic>
      <xdr:nvPicPr>
        <xdr:cNvPr id="43" name="Picture 42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11124" y="38752098"/>
          <a:ext cx="2922952" cy="2168767"/>
        </a:xfrm>
        <a:prstGeom prst="rect">
          <a:avLst/>
        </a:prstGeom>
      </xdr:spPr>
    </xdr:pic>
    <xdr:clientData/>
  </xdr:twoCellAnchor>
  <xdr:twoCellAnchor editAs="oneCell">
    <xdr:from>
      <xdr:col>12</xdr:col>
      <xdr:colOff>461912</xdr:colOff>
      <xdr:row>202</xdr:row>
      <xdr:rowOff>14653</xdr:rowOff>
    </xdr:from>
    <xdr:to>
      <xdr:col>21</xdr:col>
      <xdr:colOff>200716</xdr:colOff>
      <xdr:row>210</xdr:row>
      <xdr:rowOff>146347</xdr:rowOff>
    </xdr:to>
    <xdr:pic>
      <xdr:nvPicPr>
        <xdr:cNvPr id="44" name="Picture 43" descr="ümarate nurkade mõju tegur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47758" y="40913538"/>
          <a:ext cx="3651381" cy="2011783"/>
        </a:xfrm>
        <a:prstGeom prst="rect">
          <a:avLst/>
        </a:prstGeom>
      </xdr:spPr>
    </xdr:pic>
    <xdr:clientData/>
  </xdr:twoCellAnchor>
  <xdr:twoCellAnchor editAs="oneCell">
    <xdr:from>
      <xdr:col>15</xdr:col>
      <xdr:colOff>18824</xdr:colOff>
      <xdr:row>229</xdr:row>
      <xdr:rowOff>198783</xdr:rowOff>
    </xdr:from>
    <xdr:to>
      <xdr:col>27</xdr:col>
      <xdr:colOff>13187</xdr:colOff>
      <xdr:row>245</xdr:row>
      <xdr:rowOff>20608</xdr:rowOff>
    </xdr:to>
    <xdr:pic>
      <xdr:nvPicPr>
        <xdr:cNvPr id="34" name="Picture 33" descr="jõutegurid vantidele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36867" y="54242805"/>
          <a:ext cx="6421668" cy="3598694"/>
        </a:xfrm>
        <a:prstGeom prst="rect">
          <a:avLst/>
        </a:prstGeom>
      </xdr:spPr>
    </xdr:pic>
    <xdr:clientData/>
  </xdr:twoCellAnchor>
  <xdr:twoCellAnchor editAs="oneCell">
    <xdr:from>
      <xdr:col>16</xdr:col>
      <xdr:colOff>171451</xdr:colOff>
      <xdr:row>274</xdr:row>
      <xdr:rowOff>0</xdr:rowOff>
    </xdr:from>
    <xdr:to>
      <xdr:col>23</xdr:col>
      <xdr:colOff>86600</xdr:colOff>
      <xdr:row>284</xdr:row>
      <xdr:rowOff>57830</xdr:rowOff>
    </xdr:to>
    <xdr:pic>
      <xdr:nvPicPr>
        <xdr:cNvPr id="49" name="Picture 48" descr="tuulejõud juhtmetele_1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857876" y="64541400"/>
          <a:ext cx="3086974" cy="2400980"/>
        </a:xfrm>
        <a:prstGeom prst="rect">
          <a:avLst/>
        </a:prstGeom>
      </xdr:spPr>
    </xdr:pic>
    <xdr:clientData/>
  </xdr:twoCellAnchor>
  <xdr:twoCellAnchor editAs="oneCell">
    <xdr:from>
      <xdr:col>16</xdr:col>
      <xdr:colOff>92851</xdr:colOff>
      <xdr:row>284</xdr:row>
      <xdr:rowOff>33942</xdr:rowOff>
    </xdr:from>
    <xdr:to>
      <xdr:col>22</xdr:col>
      <xdr:colOff>571500</xdr:colOff>
      <xdr:row>299</xdr:row>
      <xdr:rowOff>8199</xdr:rowOff>
    </xdr:to>
    <xdr:pic>
      <xdr:nvPicPr>
        <xdr:cNvPr id="51" name="Picture 50" descr="tuulejõud juhtmetele_2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779276" y="66899442"/>
          <a:ext cx="2964674" cy="3517557"/>
        </a:xfrm>
        <a:prstGeom prst="rect">
          <a:avLst/>
        </a:prstGeom>
      </xdr:spPr>
    </xdr:pic>
    <xdr:clientData/>
  </xdr:twoCellAnchor>
  <xdr:twoCellAnchor editAs="oneCell">
    <xdr:from>
      <xdr:col>22</xdr:col>
      <xdr:colOff>670680</xdr:colOff>
      <xdr:row>288</xdr:row>
      <xdr:rowOff>47625</xdr:rowOff>
    </xdr:from>
    <xdr:to>
      <xdr:col>27</xdr:col>
      <xdr:colOff>658053</xdr:colOff>
      <xdr:row>292</xdr:row>
      <xdr:rowOff>38329</xdr:rowOff>
    </xdr:to>
    <xdr:pic>
      <xdr:nvPicPr>
        <xdr:cNvPr id="53" name="Picture 52" descr="juhtme tuuletakistustegur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843130" y="67846575"/>
          <a:ext cx="3416373" cy="943204"/>
        </a:xfrm>
        <a:prstGeom prst="rect">
          <a:avLst/>
        </a:prstGeom>
      </xdr:spPr>
    </xdr:pic>
    <xdr:clientData/>
  </xdr:twoCellAnchor>
  <xdr:twoCellAnchor editAs="oneCell">
    <xdr:from>
      <xdr:col>22</xdr:col>
      <xdr:colOff>619125</xdr:colOff>
      <xdr:row>292</xdr:row>
      <xdr:rowOff>11392</xdr:rowOff>
    </xdr:from>
    <xdr:to>
      <xdr:col>28</xdr:col>
      <xdr:colOff>458054</xdr:colOff>
      <xdr:row>295</xdr:row>
      <xdr:rowOff>38258</xdr:rowOff>
    </xdr:to>
    <xdr:pic>
      <xdr:nvPicPr>
        <xdr:cNvPr id="54" name="Picture 53" descr="juhtme tuuletakistustegur_jää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791575" y="68286592"/>
          <a:ext cx="3953729" cy="731716"/>
        </a:xfrm>
        <a:prstGeom prst="rect">
          <a:avLst/>
        </a:prstGeom>
      </xdr:spPr>
    </xdr:pic>
    <xdr:clientData/>
  </xdr:twoCellAnchor>
  <xdr:twoCellAnchor editAs="oneCell">
    <xdr:from>
      <xdr:col>16</xdr:col>
      <xdr:colOff>70605</xdr:colOff>
      <xdr:row>341</xdr:row>
      <xdr:rowOff>219075</xdr:rowOff>
    </xdr:from>
    <xdr:to>
      <xdr:col>23</xdr:col>
      <xdr:colOff>315153</xdr:colOff>
      <xdr:row>345</xdr:row>
      <xdr:rowOff>209780</xdr:rowOff>
    </xdr:to>
    <xdr:pic>
      <xdr:nvPicPr>
        <xdr:cNvPr id="56" name="Picture 55" descr="juhtme tuuletakistustegur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757030" y="88553925"/>
          <a:ext cx="3416373" cy="943204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</xdr:colOff>
      <xdr:row>345</xdr:row>
      <xdr:rowOff>182842</xdr:rowOff>
    </xdr:from>
    <xdr:to>
      <xdr:col>24</xdr:col>
      <xdr:colOff>115154</xdr:colOff>
      <xdr:row>348</xdr:row>
      <xdr:rowOff>209708</xdr:rowOff>
    </xdr:to>
    <xdr:pic>
      <xdr:nvPicPr>
        <xdr:cNvPr id="57" name="Picture 56" descr="juhtme tuuletakistustegur_jää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705475" y="89470192"/>
          <a:ext cx="3953729" cy="73171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365</xdr:row>
      <xdr:rowOff>0</xdr:rowOff>
    </xdr:from>
    <xdr:to>
      <xdr:col>22</xdr:col>
      <xdr:colOff>66675</xdr:colOff>
      <xdr:row>369</xdr:row>
      <xdr:rowOff>179410</xdr:rowOff>
    </xdr:to>
    <xdr:pic>
      <xdr:nvPicPr>
        <xdr:cNvPr id="58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990975" y="94564200"/>
          <a:ext cx="4248150" cy="11128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200025</xdr:colOff>
      <xdr:row>369</xdr:row>
      <xdr:rowOff>161926</xdr:rowOff>
    </xdr:from>
    <xdr:to>
      <xdr:col>22</xdr:col>
      <xdr:colOff>47625</xdr:colOff>
      <xdr:row>374</xdr:row>
      <xdr:rowOff>161926</xdr:rowOff>
    </xdr:to>
    <xdr:pic>
      <xdr:nvPicPr>
        <xdr:cNvPr id="59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81450" y="95678626"/>
          <a:ext cx="4238625" cy="121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22</xdr:col>
      <xdr:colOff>219076</xdr:colOff>
      <xdr:row>366</xdr:row>
      <xdr:rowOff>104775</xdr:rowOff>
    </xdr:from>
    <xdr:to>
      <xdr:col>25</xdr:col>
      <xdr:colOff>7334</xdr:colOff>
      <xdr:row>370</xdr:row>
      <xdr:rowOff>219074</xdr:rowOff>
    </xdr:to>
    <xdr:pic>
      <xdr:nvPicPr>
        <xdr:cNvPr id="60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391526" y="94897575"/>
          <a:ext cx="1845658" cy="1066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200025</xdr:colOff>
      <xdr:row>313</xdr:row>
      <xdr:rowOff>161926</xdr:rowOff>
    </xdr:from>
    <xdr:to>
      <xdr:col>22</xdr:col>
      <xdr:colOff>47625</xdr:colOff>
      <xdr:row>318</xdr:row>
      <xdr:rowOff>161926</xdr:rowOff>
    </xdr:to>
    <xdr:pic>
      <xdr:nvPicPr>
        <xdr:cNvPr id="61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81450" y="95640526"/>
          <a:ext cx="4238625" cy="121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171451</xdr:colOff>
      <xdr:row>385</xdr:row>
      <xdr:rowOff>0</xdr:rowOff>
    </xdr:from>
    <xdr:to>
      <xdr:col>23</xdr:col>
      <xdr:colOff>86600</xdr:colOff>
      <xdr:row>395</xdr:row>
      <xdr:rowOff>57830</xdr:rowOff>
    </xdr:to>
    <xdr:pic>
      <xdr:nvPicPr>
        <xdr:cNvPr id="62" name="Picture 61" descr="tuulejõud juhtmetele_1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857876" y="85915500"/>
          <a:ext cx="3086974" cy="2400980"/>
        </a:xfrm>
        <a:prstGeom prst="rect">
          <a:avLst/>
        </a:prstGeom>
      </xdr:spPr>
    </xdr:pic>
    <xdr:clientData/>
  </xdr:twoCellAnchor>
  <xdr:twoCellAnchor editAs="oneCell">
    <xdr:from>
      <xdr:col>17</xdr:col>
      <xdr:colOff>165855</xdr:colOff>
      <xdr:row>397</xdr:row>
      <xdr:rowOff>142875</xdr:rowOff>
    </xdr:from>
    <xdr:to>
      <xdr:col>24</xdr:col>
      <xdr:colOff>200853</xdr:colOff>
      <xdr:row>401</xdr:row>
      <xdr:rowOff>133578</xdr:rowOff>
    </xdr:to>
    <xdr:pic>
      <xdr:nvPicPr>
        <xdr:cNvPr id="63" name="Picture 62" descr="juhtme tuuletakistustegur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328530" y="102574725"/>
          <a:ext cx="3416373" cy="943204"/>
        </a:xfrm>
        <a:prstGeom prst="rect">
          <a:avLst/>
        </a:prstGeom>
      </xdr:spPr>
    </xdr:pic>
    <xdr:clientData/>
  </xdr:twoCellAnchor>
  <xdr:twoCellAnchor>
    <xdr:from>
      <xdr:col>29</xdr:col>
      <xdr:colOff>581025</xdr:colOff>
      <xdr:row>334</xdr:row>
      <xdr:rowOff>133350</xdr:rowOff>
    </xdr:from>
    <xdr:to>
      <xdr:col>30</xdr:col>
      <xdr:colOff>180975</xdr:colOff>
      <xdr:row>335</xdr:row>
      <xdr:rowOff>171450</xdr:rowOff>
    </xdr:to>
    <xdr:sp macro="" textlink="">
      <xdr:nvSpPr>
        <xdr:cNvPr id="85" name="TextBox 84"/>
        <xdr:cNvSpPr txBox="1"/>
      </xdr:nvSpPr>
      <xdr:spPr>
        <a:xfrm>
          <a:off x="13554075" y="86848950"/>
          <a:ext cx="2857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t-EE" sz="1100"/>
            <a:t>V</a:t>
          </a:r>
        </a:p>
      </xdr:txBody>
    </xdr:sp>
    <xdr:clientData/>
  </xdr:twoCellAnchor>
  <xdr:twoCellAnchor>
    <xdr:from>
      <xdr:col>16</xdr:col>
      <xdr:colOff>171451</xdr:colOff>
      <xdr:row>327</xdr:row>
      <xdr:rowOff>142875</xdr:rowOff>
    </xdr:from>
    <xdr:to>
      <xdr:col>30</xdr:col>
      <xdr:colOff>76200</xdr:colOff>
      <xdr:row>339</xdr:row>
      <xdr:rowOff>57830</xdr:rowOff>
    </xdr:to>
    <xdr:grpSp>
      <xdr:nvGrpSpPr>
        <xdr:cNvPr id="95" name="Group 94"/>
        <xdr:cNvGrpSpPr/>
      </xdr:nvGrpSpPr>
      <xdr:grpSpPr>
        <a:xfrm>
          <a:off x="5857876" y="76761975"/>
          <a:ext cx="7877174" cy="2715305"/>
          <a:chOff x="5869886" y="86124636"/>
          <a:chExt cx="7914031" cy="2747607"/>
        </a:xfrm>
      </xdr:grpSpPr>
      <xdr:cxnSp macro="">
        <xdr:nvCxnSpPr>
          <xdr:cNvPr id="76" name="Straight Arrow Connector 75"/>
          <xdr:cNvCxnSpPr/>
        </xdr:nvCxnSpPr>
        <xdr:spPr>
          <a:xfrm flipH="1">
            <a:off x="12637604" y="87838308"/>
            <a:ext cx="982732" cy="203338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93" name="Group 92"/>
          <xdr:cNvGrpSpPr/>
        </xdr:nvGrpSpPr>
        <xdr:grpSpPr>
          <a:xfrm>
            <a:off x="5869886" y="86124636"/>
            <a:ext cx="7914031" cy="2747607"/>
            <a:chOff x="5869886" y="86124636"/>
            <a:chExt cx="7914031" cy="2747607"/>
          </a:xfrm>
        </xdr:grpSpPr>
        <xdr:pic>
          <xdr:nvPicPr>
            <xdr:cNvPr id="55" name="Picture 54" descr="tuulejõud juhtmetele_1.PNG"/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/>
            <a:stretch>
              <a:fillRect/>
            </a:stretch>
          </xdr:blipFill>
          <xdr:spPr>
            <a:xfrm>
              <a:off x="5869886" y="86445587"/>
              <a:ext cx="3112236" cy="2426656"/>
            </a:xfrm>
            <a:prstGeom prst="rect">
              <a:avLst/>
            </a:prstGeom>
          </xdr:spPr>
        </xdr:pic>
        <xdr:grpSp>
          <xdr:nvGrpSpPr>
            <xdr:cNvPr id="92" name="Group 91"/>
            <xdr:cNvGrpSpPr/>
          </xdr:nvGrpSpPr>
          <xdr:grpSpPr>
            <a:xfrm>
              <a:off x="9524172" y="86124636"/>
              <a:ext cx="4259745" cy="2534064"/>
              <a:chOff x="9486900" y="85220175"/>
              <a:chExt cx="4248150" cy="2505075"/>
            </a:xfrm>
          </xdr:grpSpPr>
          <xdr:cxnSp macro="">
            <xdr:nvCxnSpPr>
              <xdr:cNvPr id="65" name="Straight Connector 64"/>
              <xdr:cNvCxnSpPr/>
            </xdr:nvCxnSpPr>
            <xdr:spPr>
              <a:xfrm>
                <a:off x="9486900" y="86591775"/>
                <a:ext cx="1628775" cy="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6" name="Rectangle 65"/>
              <xdr:cNvSpPr/>
            </xdr:nvSpPr>
            <xdr:spPr>
              <a:xfrm>
                <a:off x="11068050" y="86382225"/>
                <a:ext cx="523875" cy="476250"/>
              </a:xfrm>
              <a:prstGeom prst="rect">
                <a:avLst/>
              </a:prstGeom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vertOverflow="clip" rtlCol="0" anchor="ctr"/>
              <a:lstStyle/>
              <a:p>
                <a:pPr algn="ctr"/>
                <a:r>
                  <a:rPr lang="et-EE" sz="1100"/>
                  <a:t>mast</a:t>
                </a:r>
              </a:p>
            </xdr:txBody>
          </xdr:sp>
          <xdr:cxnSp macro="">
            <xdr:nvCxnSpPr>
              <xdr:cNvPr id="68" name="Straight Connector 67"/>
              <xdr:cNvCxnSpPr>
                <a:stCxn id="66" idx="3"/>
              </xdr:cNvCxnSpPr>
            </xdr:nvCxnSpPr>
            <xdr:spPr>
              <a:xfrm flipV="1">
                <a:off x="11591925" y="86610826"/>
                <a:ext cx="581025" cy="9524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0" name="Straight Connector 69"/>
              <xdr:cNvCxnSpPr>
                <a:stCxn id="66" idx="3"/>
              </xdr:cNvCxnSpPr>
            </xdr:nvCxnSpPr>
            <xdr:spPr>
              <a:xfrm>
                <a:off x="11591925" y="86620350"/>
                <a:ext cx="2143125" cy="110490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2" name="Straight Connector 71"/>
              <xdr:cNvCxnSpPr/>
            </xdr:nvCxnSpPr>
            <xdr:spPr>
              <a:xfrm flipV="1">
                <a:off x="12582525" y="86506050"/>
                <a:ext cx="447675" cy="619125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8" name="Straight Arrow Connector 77"/>
              <xdr:cNvCxnSpPr/>
            </xdr:nvCxnSpPr>
            <xdr:spPr>
              <a:xfrm>
                <a:off x="11353800" y="85220175"/>
                <a:ext cx="0" cy="809625"/>
              </a:xfrm>
              <a:prstGeom prst="straightConnector1">
                <a:avLst/>
              </a:prstGeom>
              <a:ln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0" name="Straight Arrow Connector 79"/>
              <xdr:cNvCxnSpPr/>
            </xdr:nvCxnSpPr>
            <xdr:spPr>
              <a:xfrm>
                <a:off x="11182350" y="85658325"/>
                <a:ext cx="800100" cy="0"/>
              </a:xfrm>
              <a:prstGeom prst="straightConnector1">
                <a:avLst/>
              </a:prstGeom>
              <a:ln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81" name="TextBox 80"/>
              <xdr:cNvSpPr txBox="1"/>
            </xdr:nvSpPr>
            <xdr:spPr>
              <a:xfrm>
                <a:off x="11649075" y="85448775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t-EE" sz="1100"/>
                  <a:t>x</a:t>
                </a:r>
              </a:p>
            </xdr:txBody>
          </xdr:sp>
          <xdr:sp macro="" textlink="">
            <xdr:nvSpPr>
              <xdr:cNvPr id="82" name="TextBox 81"/>
              <xdr:cNvSpPr txBox="1"/>
            </xdr:nvSpPr>
            <xdr:spPr>
              <a:xfrm>
                <a:off x="11039475" y="85239225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t-EE" sz="1100"/>
                  <a:t>y</a:t>
                </a:r>
              </a:p>
            </xdr:txBody>
          </xdr:sp>
          <xdr:sp macro="" textlink="">
            <xdr:nvSpPr>
              <xdr:cNvPr id="83" name="TextBox 82"/>
              <xdr:cNvSpPr txBox="1"/>
            </xdr:nvSpPr>
            <xdr:spPr>
              <a:xfrm>
                <a:off x="11849100" y="86582250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t-EE" sz="1100"/>
                  <a:t>α</a:t>
                </a:r>
              </a:p>
            </xdr:txBody>
          </xdr:sp>
          <xdr:sp macro="" textlink="">
            <xdr:nvSpPr>
              <xdr:cNvPr id="84" name="TextBox 83"/>
              <xdr:cNvSpPr txBox="1"/>
            </xdr:nvSpPr>
            <xdr:spPr>
              <a:xfrm>
                <a:off x="12753975" y="86772750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l-GR" sz="1100"/>
                  <a:t>φ</a:t>
                </a:r>
                <a:endParaRPr lang="et-EE" sz="1100"/>
              </a:p>
            </xdr:txBody>
          </xdr:sp>
          <xdr:sp macro="" textlink="">
            <xdr:nvSpPr>
              <xdr:cNvPr id="86" name="Arc 85"/>
              <xdr:cNvSpPr/>
            </xdr:nvSpPr>
            <xdr:spPr>
              <a:xfrm>
                <a:off x="12582525" y="86744175"/>
                <a:ext cx="552450" cy="571499"/>
              </a:xfrm>
              <a:prstGeom prst="arc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rtlCol="0" anchor="ctr"/>
              <a:lstStyle/>
              <a:p>
                <a:pPr algn="ctr"/>
                <a:endParaRPr lang="et-EE" sz="1100"/>
              </a:p>
            </xdr:txBody>
          </xdr:sp>
        </xdr:grpSp>
      </xdr:grpSp>
      <xdr:sp macro="" textlink="">
        <xdr:nvSpPr>
          <xdr:cNvPr id="87" name="Arc 86"/>
          <xdr:cNvSpPr/>
        </xdr:nvSpPr>
        <xdr:spPr>
          <a:xfrm rot="5689720">
            <a:off x="11785236" y="87301366"/>
            <a:ext cx="487440" cy="437067"/>
          </a:xfrm>
          <a:prstGeom prst="arc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</xdr:grpSp>
    <xdr:clientData/>
  </xdr:twoCellAnchor>
  <xdr:twoCellAnchor editAs="oneCell">
    <xdr:from>
      <xdr:col>18</xdr:col>
      <xdr:colOff>200025</xdr:colOff>
      <xdr:row>246</xdr:row>
      <xdr:rowOff>114300</xdr:rowOff>
    </xdr:from>
    <xdr:to>
      <xdr:col>24</xdr:col>
      <xdr:colOff>37972</xdr:colOff>
      <xdr:row>268</xdr:row>
      <xdr:rowOff>27118</xdr:rowOff>
    </xdr:to>
    <xdr:pic>
      <xdr:nvPicPr>
        <xdr:cNvPr id="46" name="Picture 45" descr="tuulesuunad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3456" r="67871"/>
        <a:stretch>
          <a:fillRect/>
        </a:stretch>
      </xdr:blipFill>
      <xdr:spPr>
        <a:xfrm>
          <a:off x="6838950" y="57588150"/>
          <a:ext cx="2743072" cy="513251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1181100</xdr:colOff>
      <xdr:row>29</xdr:row>
      <xdr:rowOff>23915</xdr:rowOff>
    </xdr:from>
    <xdr:to>
      <xdr:col>7</xdr:col>
      <xdr:colOff>477109</xdr:colOff>
      <xdr:row>53</xdr:row>
      <xdr:rowOff>48558</xdr:rowOff>
    </xdr:to>
    <xdr:pic>
      <xdr:nvPicPr>
        <xdr:cNvPr id="4" name="Picture 3" descr="Beeta leidmiseks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90700" y="6624740"/>
          <a:ext cx="4229959" cy="459664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25645</xdr:colOff>
      <xdr:row>26</xdr:row>
      <xdr:rowOff>25645</xdr:rowOff>
    </xdr:from>
    <xdr:to>
      <xdr:col>23</xdr:col>
      <xdr:colOff>35852</xdr:colOff>
      <xdr:row>36</xdr:row>
      <xdr:rowOff>81603</xdr:rowOff>
    </xdr:to>
    <xdr:pic>
      <xdr:nvPicPr>
        <xdr:cNvPr id="5" name="Picture 4" descr="vähendatud tõmme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470299" y="6466010"/>
          <a:ext cx="5520053" cy="196095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428625</xdr:colOff>
      <xdr:row>1</xdr:row>
      <xdr:rowOff>19050</xdr:rowOff>
    </xdr:from>
    <xdr:to>
      <xdr:col>18</xdr:col>
      <xdr:colOff>485775</xdr:colOff>
      <xdr:row>11</xdr:row>
      <xdr:rowOff>182473</xdr:rowOff>
    </xdr:to>
    <xdr:pic>
      <xdr:nvPicPr>
        <xdr:cNvPr id="7" name="Picture 6" descr="tuulesuunad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-322"/>
        <a:stretch>
          <a:fillRect/>
        </a:stretch>
      </xdr:blipFill>
      <xdr:spPr>
        <a:xfrm>
          <a:off x="7038975" y="209550"/>
          <a:ext cx="6915150" cy="3678148"/>
        </a:xfrm>
        <a:prstGeom prst="rect">
          <a:avLst/>
        </a:prstGeom>
      </xdr:spPr>
    </xdr:pic>
    <xdr:clientData/>
  </xdr:twoCellAnchor>
  <xdr:twoCellAnchor editAs="oneCell">
    <xdr:from>
      <xdr:col>8</xdr:col>
      <xdr:colOff>302602</xdr:colOff>
      <xdr:row>26</xdr:row>
      <xdr:rowOff>136280</xdr:rowOff>
    </xdr:from>
    <xdr:to>
      <xdr:col>13</xdr:col>
      <xdr:colOff>682025</xdr:colOff>
      <xdr:row>57</xdr:row>
      <xdr:rowOff>32705</xdr:rowOff>
    </xdr:to>
    <xdr:pic>
      <xdr:nvPicPr>
        <xdr:cNvPr id="3" name="Picture 2" descr="jäide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12952" y="9061205"/>
          <a:ext cx="3808423" cy="58019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152400</xdr:colOff>
      <xdr:row>12</xdr:row>
      <xdr:rowOff>146661</xdr:rowOff>
    </xdr:from>
    <xdr:to>
      <xdr:col>35</xdr:col>
      <xdr:colOff>173740</xdr:colOff>
      <xdr:row>24</xdr:row>
      <xdr:rowOff>104775</xdr:rowOff>
    </xdr:to>
    <xdr:pic>
      <xdr:nvPicPr>
        <xdr:cNvPr id="2" name="Picture 1" descr="Posti_RK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57925" y="2661261"/>
          <a:ext cx="5660140" cy="2472714"/>
        </a:xfrm>
        <a:prstGeom prst="rect">
          <a:avLst/>
        </a:prstGeom>
      </xdr:spPr>
    </xdr:pic>
    <xdr:clientData/>
  </xdr:twoCellAnchor>
  <xdr:twoCellAnchor editAs="oneCell">
    <xdr:from>
      <xdr:col>23</xdr:col>
      <xdr:colOff>85725</xdr:colOff>
      <xdr:row>0</xdr:row>
      <xdr:rowOff>47625</xdr:rowOff>
    </xdr:from>
    <xdr:to>
      <xdr:col>32</xdr:col>
      <xdr:colOff>33269</xdr:colOff>
      <xdr:row>9</xdr:row>
      <xdr:rowOff>192891</xdr:rowOff>
    </xdr:to>
    <xdr:pic>
      <xdr:nvPicPr>
        <xdr:cNvPr id="4" name="Picture 3" descr="varutegurid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0950" y="47625"/>
          <a:ext cx="3119369" cy="2031216"/>
        </a:xfrm>
        <a:prstGeom prst="rect">
          <a:avLst/>
        </a:prstGeom>
      </xdr:spPr>
    </xdr:pic>
    <xdr:clientData/>
  </xdr:twoCellAnchor>
  <xdr:twoCellAnchor editAs="oneCell">
    <xdr:from>
      <xdr:col>20</xdr:col>
      <xdr:colOff>28575</xdr:colOff>
      <xdr:row>29</xdr:row>
      <xdr:rowOff>66751</xdr:rowOff>
    </xdr:from>
    <xdr:to>
      <xdr:col>32</xdr:col>
      <xdr:colOff>163056</xdr:colOff>
      <xdr:row>33</xdr:row>
      <xdr:rowOff>66881</xdr:rowOff>
    </xdr:to>
    <xdr:pic>
      <xdr:nvPicPr>
        <xdr:cNvPr id="5" name="Picture 4" descr="Posti_RK_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86525" y="6143701"/>
          <a:ext cx="4363581" cy="838330"/>
        </a:xfrm>
        <a:prstGeom prst="rect">
          <a:avLst/>
        </a:prstGeom>
      </xdr:spPr>
    </xdr:pic>
    <xdr:clientData/>
  </xdr:twoCellAnchor>
  <xdr:twoCellAnchor>
    <xdr:from>
      <xdr:col>12</xdr:col>
      <xdr:colOff>19050</xdr:colOff>
      <xdr:row>52</xdr:row>
      <xdr:rowOff>66676</xdr:rowOff>
    </xdr:from>
    <xdr:to>
      <xdr:col>18</xdr:col>
      <xdr:colOff>295275</xdr:colOff>
      <xdr:row>56</xdr:row>
      <xdr:rowOff>47626</xdr:rowOff>
    </xdr:to>
    <xdr:sp macro="" textlink="">
      <xdr:nvSpPr>
        <xdr:cNvPr id="6" name="TextBox 5"/>
        <xdr:cNvSpPr txBox="1"/>
      </xdr:nvSpPr>
      <xdr:spPr>
        <a:xfrm>
          <a:off x="4200525" y="10963276"/>
          <a:ext cx="2505075" cy="819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t-EE" sz="1100"/>
            <a:t>Lihtsustused toruprofiilidest varrastele:
*kiivetegur </a:t>
          </a:r>
          <a:r>
            <a:rPr lang="el-GR" sz="1100"/>
            <a:t>χ</a:t>
          </a:r>
          <a:r>
            <a:rPr lang="et-EE" sz="1100" baseline="-25000"/>
            <a:t>LT</a:t>
          </a:r>
          <a:r>
            <a:rPr lang="et-EE" sz="1100"/>
            <a:t> =1
*k</a:t>
          </a:r>
          <a:r>
            <a:rPr lang="et-EE" sz="1100" baseline="-25000"/>
            <a:t>yy</a:t>
          </a:r>
          <a:r>
            <a:rPr lang="et-EE" sz="1100"/>
            <a:t> määratakse tabelist 12.24a [Ins.Kr.]
*k</a:t>
          </a:r>
          <a:r>
            <a:rPr lang="et-EE" sz="1100" baseline="-25000"/>
            <a:t>zy</a:t>
          </a:r>
          <a:r>
            <a:rPr lang="et-EE" sz="1100"/>
            <a:t>=0</a:t>
          </a:r>
        </a:p>
      </xdr:txBody>
    </xdr:sp>
    <xdr:clientData/>
  </xdr:twoCellAnchor>
  <xdr:twoCellAnchor editAs="oneCell">
    <xdr:from>
      <xdr:col>19</xdr:col>
      <xdr:colOff>68162</xdr:colOff>
      <xdr:row>42</xdr:row>
      <xdr:rowOff>66674</xdr:rowOff>
    </xdr:from>
    <xdr:to>
      <xdr:col>36</xdr:col>
      <xdr:colOff>6104</xdr:colOff>
      <xdr:row>68</xdr:row>
      <xdr:rowOff>152399</xdr:rowOff>
    </xdr:to>
    <xdr:pic>
      <xdr:nvPicPr>
        <xdr:cNvPr id="7" name="Picture 6" descr="koosmõjutegurite_tabe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73687" y="8867774"/>
          <a:ext cx="5929167" cy="5534025"/>
        </a:xfrm>
        <a:prstGeom prst="rect">
          <a:avLst/>
        </a:prstGeom>
      </xdr:spPr>
    </xdr:pic>
    <xdr:clientData/>
  </xdr:twoCellAnchor>
  <xdr:twoCellAnchor>
    <xdr:from>
      <xdr:col>8</xdr:col>
      <xdr:colOff>19050</xdr:colOff>
      <xdr:row>59</xdr:row>
      <xdr:rowOff>142875</xdr:rowOff>
    </xdr:from>
    <xdr:to>
      <xdr:col>18</xdr:col>
      <xdr:colOff>47625</xdr:colOff>
      <xdr:row>61</xdr:row>
      <xdr:rowOff>180975</xdr:rowOff>
    </xdr:to>
    <xdr:sp macro="" textlink="">
      <xdr:nvSpPr>
        <xdr:cNvPr id="8" name="TextBox 7"/>
        <xdr:cNvSpPr txBox="1"/>
      </xdr:nvSpPr>
      <xdr:spPr>
        <a:xfrm>
          <a:off x="2714625" y="12506325"/>
          <a:ext cx="3743325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t-EE" sz="1100">
              <a:solidFill>
                <a:srgbClr val="FF0000"/>
              </a:solidFill>
            </a:rPr>
            <a:t>Siirduvate</a:t>
          </a:r>
          <a:r>
            <a:rPr lang="et-EE" sz="1100" baseline="0">
              <a:solidFill>
                <a:srgbClr val="FF0000"/>
              </a:solidFill>
            </a:rPr>
            <a:t> sõlmedega raamide varrastel  võib võtta Cmy=0,9.</a:t>
          </a:r>
        </a:p>
        <a:p>
          <a:r>
            <a:rPr lang="et-EE" sz="1100" baseline="0">
              <a:solidFill>
                <a:srgbClr val="FF0000"/>
              </a:solidFill>
            </a:rPr>
            <a:t>Kas kehtib ka siin?</a:t>
          </a:r>
        </a:p>
      </xdr:txBody>
    </xdr:sp>
    <xdr:clientData/>
  </xdr:twoCellAnchor>
  <xdr:twoCellAnchor>
    <xdr:from>
      <xdr:col>5</xdr:col>
      <xdr:colOff>9525</xdr:colOff>
      <xdr:row>60</xdr:row>
      <xdr:rowOff>161925</xdr:rowOff>
    </xdr:from>
    <xdr:to>
      <xdr:col>8</xdr:col>
      <xdr:colOff>19050</xdr:colOff>
      <xdr:row>62</xdr:row>
      <xdr:rowOff>66675</xdr:rowOff>
    </xdr:to>
    <xdr:cxnSp macro="">
      <xdr:nvCxnSpPr>
        <xdr:cNvPr id="10" name="Straight Arrow Connector 9"/>
        <xdr:cNvCxnSpPr>
          <a:stCxn id="8" idx="1"/>
        </xdr:cNvCxnSpPr>
      </xdr:nvCxnSpPr>
      <xdr:spPr>
        <a:xfrm flipH="1">
          <a:off x="1866900" y="12734925"/>
          <a:ext cx="847725" cy="3238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190500</xdr:colOff>
      <xdr:row>197</xdr:row>
      <xdr:rowOff>142875</xdr:rowOff>
    </xdr:from>
    <xdr:to>
      <xdr:col>31</xdr:col>
      <xdr:colOff>324981</xdr:colOff>
      <xdr:row>201</xdr:row>
      <xdr:rowOff>143005</xdr:rowOff>
    </xdr:to>
    <xdr:pic>
      <xdr:nvPicPr>
        <xdr:cNvPr id="9" name="Picture 8" descr="Posti_RK_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296025" y="38490525"/>
          <a:ext cx="4363581" cy="83833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154</xdr:row>
      <xdr:rowOff>114300</xdr:rowOff>
    </xdr:from>
    <xdr:to>
      <xdr:col>18</xdr:col>
      <xdr:colOff>180975</xdr:colOff>
      <xdr:row>157</xdr:row>
      <xdr:rowOff>123825</xdr:rowOff>
    </xdr:to>
    <xdr:sp macro="" textlink="">
      <xdr:nvSpPr>
        <xdr:cNvPr id="11" name="TextBox 10"/>
        <xdr:cNvSpPr txBox="1"/>
      </xdr:nvSpPr>
      <xdr:spPr>
        <a:xfrm>
          <a:off x="3829050" y="32385000"/>
          <a:ext cx="2105025" cy="638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t-EE" sz="1100"/>
            <a:t>Märkus.</a:t>
          </a:r>
          <a:r>
            <a:rPr lang="et-EE" sz="1100" baseline="0"/>
            <a:t> Ristlõikes töötab koos 2 profiili. </a:t>
          </a:r>
          <a:endParaRPr lang="et-EE" sz="1100"/>
        </a:p>
      </xdr:txBody>
    </xdr:sp>
    <xdr:clientData/>
  </xdr:twoCellAnchor>
  <xdr:twoCellAnchor>
    <xdr:from>
      <xdr:col>13</xdr:col>
      <xdr:colOff>66676</xdr:colOff>
      <xdr:row>170</xdr:row>
      <xdr:rowOff>193337</xdr:rowOff>
    </xdr:from>
    <xdr:to>
      <xdr:col>17</xdr:col>
      <xdr:colOff>228601</xdr:colOff>
      <xdr:row>178</xdr:row>
      <xdr:rowOff>67162</xdr:rowOff>
    </xdr:to>
    <xdr:grpSp>
      <xdr:nvGrpSpPr>
        <xdr:cNvPr id="39" name="Group 38"/>
        <xdr:cNvGrpSpPr/>
      </xdr:nvGrpSpPr>
      <xdr:grpSpPr>
        <a:xfrm>
          <a:off x="4095751" y="35816837"/>
          <a:ext cx="1571625" cy="1550225"/>
          <a:chOff x="4000500" y="33366087"/>
          <a:chExt cx="1409700" cy="1202545"/>
        </a:xfrm>
      </xdr:grpSpPr>
      <xdr:grpSp>
        <xdr:nvGrpSpPr>
          <xdr:cNvPr id="26" name="Group 25"/>
          <xdr:cNvGrpSpPr/>
        </xdr:nvGrpSpPr>
        <xdr:grpSpPr>
          <a:xfrm>
            <a:off x="4000500" y="33366087"/>
            <a:ext cx="1392612" cy="1202545"/>
            <a:chOff x="4105273" y="32889825"/>
            <a:chExt cx="1776783" cy="1330973"/>
          </a:xfrm>
        </xdr:grpSpPr>
        <xdr:grpSp>
          <xdr:nvGrpSpPr>
            <xdr:cNvPr id="17" name="Group 16"/>
            <xdr:cNvGrpSpPr/>
          </xdr:nvGrpSpPr>
          <xdr:grpSpPr>
            <a:xfrm>
              <a:off x="4105275" y="32889825"/>
              <a:ext cx="428625" cy="1085850"/>
              <a:chOff x="4076700" y="32823150"/>
              <a:chExt cx="428625" cy="1085850"/>
            </a:xfrm>
          </xdr:grpSpPr>
          <xdr:cxnSp macro="">
            <xdr:nvCxnSpPr>
              <xdr:cNvPr id="13" name="Straight Connector 12"/>
              <xdr:cNvCxnSpPr/>
            </xdr:nvCxnSpPr>
            <xdr:spPr>
              <a:xfrm>
                <a:off x="4076700" y="32823150"/>
                <a:ext cx="409575" cy="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" name="Straight Connector 14"/>
              <xdr:cNvCxnSpPr/>
            </xdr:nvCxnSpPr>
            <xdr:spPr>
              <a:xfrm>
                <a:off x="4505325" y="32832675"/>
                <a:ext cx="0" cy="1076325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6" name="Straight Connector 15"/>
              <xdr:cNvCxnSpPr/>
            </xdr:nvCxnSpPr>
            <xdr:spPr>
              <a:xfrm>
                <a:off x="4076700" y="33899475"/>
                <a:ext cx="409575" cy="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18" name="Group 17"/>
            <xdr:cNvGrpSpPr/>
          </xdr:nvGrpSpPr>
          <xdr:grpSpPr>
            <a:xfrm>
              <a:off x="5448300" y="32889825"/>
              <a:ext cx="419100" cy="1085850"/>
              <a:chOff x="4067175" y="32823150"/>
              <a:chExt cx="419100" cy="1085850"/>
            </a:xfrm>
          </xdr:grpSpPr>
          <xdr:cxnSp macro="">
            <xdr:nvCxnSpPr>
              <xdr:cNvPr id="19" name="Straight Connector 18"/>
              <xdr:cNvCxnSpPr/>
            </xdr:nvCxnSpPr>
            <xdr:spPr>
              <a:xfrm>
                <a:off x="4076700" y="32823150"/>
                <a:ext cx="409575" cy="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0" name="Straight Connector 19"/>
              <xdr:cNvCxnSpPr/>
            </xdr:nvCxnSpPr>
            <xdr:spPr>
              <a:xfrm>
                <a:off x="4067175" y="32832675"/>
                <a:ext cx="0" cy="1076325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1" name="Straight Connector 20"/>
              <xdr:cNvCxnSpPr/>
            </xdr:nvCxnSpPr>
            <xdr:spPr>
              <a:xfrm>
                <a:off x="4076700" y="33899475"/>
                <a:ext cx="409575" cy="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cxnSp macro="">
          <xdr:nvCxnSpPr>
            <xdr:cNvPr id="24" name="Straight Arrow Connector 23"/>
            <xdr:cNvCxnSpPr/>
          </xdr:nvCxnSpPr>
          <xdr:spPr>
            <a:xfrm>
              <a:off x="4524375" y="33908541"/>
              <a:ext cx="904875" cy="0"/>
            </a:xfrm>
            <a:prstGeom prst="straightConnector1">
              <a:avLst/>
            </a:prstGeom>
            <a:ln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5" name="TextBox 24"/>
            <xdr:cNvSpPr txBox="1"/>
          </xdr:nvSpPr>
          <xdr:spPr>
            <a:xfrm>
              <a:off x="4829176" y="33708516"/>
              <a:ext cx="323850" cy="228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t-EE" sz="1100"/>
                <a:t>d</a:t>
              </a:r>
            </a:p>
          </xdr:txBody>
        </xdr:sp>
        <xdr:sp macro="" textlink="">
          <xdr:nvSpPr>
            <xdr:cNvPr id="37" name="TextBox 36"/>
            <xdr:cNvSpPr txBox="1"/>
          </xdr:nvSpPr>
          <xdr:spPr>
            <a:xfrm>
              <a:off x="5497568" y="33181401"/>
              <a:ext cx="323850" cy="228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t-EE" sz="1100"/>
                <a:t>y</a:t>
              </a:r>
            </a:p>
          </xdr:txBody>
        </xdr:sp>
        <xdr:sp macro="" textlink="">
          <xdr:nvSpPr>
            <xdr:cNvPr id="38" name="TextBox 37"/>
            <xdr:cNvSpPr txBox="1"/>
          </xdr:nvSpPr>
          <xdr:spPr>
            <a:xfrm>
              <a:off x="4975006" y="33079584"/>
              <a:ext cx="515665" cy="26355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t-EE" sz="1100"/>
                <a:t>z</a:t>
              </a:r>
            </a:p>
          </xdr:txBody>
        </xdr:sp>
        <xdr:cxnSp macro="">
          <xdr:nvCxnSpPr>
            <xdr:cNvPr id="40" name="Straight Arrow Connector 39"/>
            <xdr:cNvCxnSpPr/>
          </xdr:nvCxnSpPr>
          <xdr:spPr>
            <a:xfrm>
              <a:off x="4105273" y="34192224"/>
              <a:ext cx="1776783" cy="0"/>
            </a:xfrm>
            <a:prstGeom prst="straightConnector1">
              <a:avLst/>
            </a:prstGeom>
            <a:ln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1" name="TextBox 40"/>
            <xdr:cNvSpPr txBox="1"/>
          </xdr:nvSpPr>
          <xdr:spPr>
            <a:xfrm>
              <a:off x="4829176" y="33992198"/>
              <a:ext cx="323850" cy="2286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r>
                <a:rPr lang="et-EE" sz="1100"/>
                <a:t>b</a:t>
              </a:r>
            </a:p>
          </xdr:txBody>
        </xdr:sp>
      </xdr:grpSp>
      <xdr:cxnSp macro="">
        <xdr:nvCxnSpPr>
          <xdr:cNvPr id="28" name="Straight Arrow Connector 27"/>
          <xdr:cNvCxnSpPr/>
        </xdr:nvCxnSpPr>
        <xdr:spPr>
          <a:xfrm>
            <a:off x="4591050" y="33842325"/>
            <a:ext cx="819150" cy="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Straight Arrow Connector 29"/>
          <xdr:cNvCxnSpPr/>
        </xdr:nvCxnSpPr>
        <xdr:spPr>
          <a:xfrm>
            <a:off x="4695825" y="33718500"/>
            <a:ext cx="0" cy="323850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657224</xdr:colOff>
      <xdr:row>31</xdr:row>
      <xdr:rowOff>236028</xdr:rowOff>
    </xdr:from>
    <xdr:to>
      <xdr:col>19</xdr:col>
      <xdr:colOff>19050</xdr:colOff>
      <xdr:row>40</xdr:row>
      <xdr:rowOff>0</xdr:rowOff>
    </xdr:to>
    <xdr:pic>
      <xdr:nvPicPr>
        <xdr:cNvPr id="19457" name="Picture 1" descr="UP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06224" y="9389553"/>
          <a:ext cx="2124076" cy="242144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40774</xdr:colOff>
      <xdr:row>6</xdr:row>
      <xdr:rowOff>86647</xdr:rowOff>
    </xdr:from>
    <xdr:to>
      <xdr:col>21</xdr:col>
      <xdr:colOff>36475</xdr:colOff>
      <xdr:row>20</xdr:row>
      <xdr:rowOff>143732</xdr:rowOff>
    </xdr:to>
    <xdr:pic>
      <xdr:nvPicPr>
        <xdr:cNvPr id="2" name="Picture 1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74699" y="1686847"/>
          <a:ext cx="2957976" cy="3314635"/>
        </a:xfrm>
        <a:prstGeom prst="rect">
          <a:avLst/>
        </a:prstGeom>
      </xdr:spPr>
    </xdr:pic>
    <xdr:clientData/>
  </xdr:twoCellAnchor>
  <xdr:twoCellAnchor editAs="oneCell">
    <xdr:from>
      <xdr:col>15</xdr:col>
      <xdr:colOff>253254</xdr:colOff>
      <xdr:row>39</xdr:row>
      <xdr:rowOff>225857</xdr:rowOff>
    </xdr:from>
    <xdr:to>
      <xdr:col>22</xdr:col>
      <xdr:colOff>248955</xdr:colOff>
      <xdr:row>54</xdr:row>
      <xdr:rowOff>32234</xdr:rowOff>
    </xdr:to>
    <xdr:pic>
      <xdr:nvPicPr>
        <xdr:cNvPr id="4" name="Picture 3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63429" y="9446057"/>
          <a:ext cx="2957976" cy="3311577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53</xdr:row>
      <xdr:rowOff>84424</xdr:rowOff>
    </xdr:from>
    <xdr:to>
      <xdr:col>6</xdr:col>
      <xdr:colOff>454270</xdr:colOff>
      <xdr:row>55</xdr:row>
      <xdr:rowOff>46613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849" y="12581224"/>
          <a:ext cx="1385521" cy="419389"/>
        </a:xfrm>
        <a:prstGeom prst="rect">
          <a:avLst/>
        </a:prstGeom>
        <a:noFill/>
      </xdr:spPr>
    </xdr:pic>
    <xdr:clientData/>
  </xdr:twoCellAnchor>
  <xdr:twoCellAnchor>
    <xdr:from>
      <xdr:col>4</xdr:col>
      <xdr:colOff>191457</xdr:colOff>
      <xdr:row>91</xdr:row>
      <xdr:rowOff>59576</xdr:rowOff>
    </xdr:from>
    <xdr:to>
      <xdr:col>6</xdr:col>
      <xdr:colOff>462553</xdr:colOff>
      <xdr:row>93</xdr:row>
      <xdr:rowOff>21765</xdr:rowOff>
    </xdr:to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9132" y="21319376"/>
          <a:ext cx="1385521" cy="419389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219809</xdr:colOff>
      <xdr:row>70</xdr:row>
      <xdr:rowOff>131884</xdr:rowOff>
    </xdr:from>
    <xdr:to>
      <xdr:col>25</xdr:col>
      <xdr:colOff>168520</xdr:colOff>
      <xdr:row>85</xdr:row>
      <xdr:rowOff>83285</xdr:rowOff>
    </xdr:to>
    <xdr:pic>
      <xdr:nvPicPr>
        <xdr:cNvPr id="8" name="Picture 7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34984" y="16514884"/>
          <a:ext cx="3063386" cy="3437551"/>
        </a:xfrm>
        <a:prstGeom prst="rect">
          <a:avLst/>
        </a:prstGeom>
      </xdr:spPr>
    </xdr:pic>
    <xdr:clientData/>
  </xdr:twoCellAnchor>
  <xdr:twoCellAnchor editAs="oneCell">
    <xdr:from>
      <xdr:col>15</xdr:col>
      <xdr:colOff>453062</xdr:colOff>
      <xdr:row>81</xdr:row>
      <xdr:rowOff>36634</xdr:rowOff>
    </xdr:from>
    <xdr:to>
      <xdr:col>21</xdr:col>
      <xdr:colOff>186221</xdr:colOff>
      <xdr:row>97</xdr:row>
      <xdr:rowOff>127520</xdr:rowOff>
    </xdr:to>
    <xdr:pic>
      <xdr:nvPicPr>
        <xdr:cNvPr id="9" name="Picture 8" descr="tuulesuunad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67837"/>
        <a:stretch>
          <a:fillRect/>
        </a:stretch>
      </xdr:blipFill>
      <xdr:spPr>
        <a:xfrm>
          <a:off x="5663237" y="18991384"/>
          <a:ext cx="2219184" cy="3691336"/>
        </a:xfrm>
        <a:prstGeom prst="rect">
          <a:avLst/>
        </a:prstGeom>
      </xdr:spPr>
    </xdr:pic>
    <xdr:clientData/>
  </xdr:twoCellAnchor>
  <xdr:twoCellAnchor>
    <xdr:from>
      <xdr:col>11</xdr:col>
      <xdr:colOff>363499</xdr:colOff>
      <xdr:row>82</xdr:row>
      <xdr:rowOff>80595</xdr:rowOff>
    </xdr:from>
    <xdr:to>
      <xdr:col>15</xdr:col>
      <xdr:colOff>43962</xdr:colOff>
      <xdr:row>88</xdr:row>
      <xdr:rowOff>131884</xdr:rowOff>
    </xdr:to>
    <xdr:grpSp>
      <xdr:nvGrpSpPr>
        <xdr:cNvPr id="10" name="Group 9"/>
        <xdr:cNvGrpSpPr/>
      </xdr:nvGrpSpPr>
      <xdr:grpSpPr>
        <a:xfrm>
          <a:off x="3668674" y="19263945"/>
          <a:ext cx="1585463" cy="1422889"/>
          <a:chOff x="6384074" y="21936808"/>
          <a:chExt cx="3003911" cy="1414096"/>
        </a:xfrm>
      </xdr:grpSpPr>
      <xdr:sp macro="" textlink="">
        <xdr:nvSpPr>
          <xdr:cNvPr id="11" name="Freeform 10"/>
          <xdr:cNvSpPr/>
        </xdr:nvSpPr>
        <xdr:spPr>
          <a:xfrm>
            <a:off x="7319596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sp macro="" textlink="">
        <xdr:nvSpPr>
          <xdr:cNvPr id="12" name="Freeform 11"/>
          <xdr:cNvSpPr/>
        </xdr:nvSpPr>
        <xdr:spPr>
          <a:xfrm rot="10800000">
            <a:off x="8806961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13" name="Straight Arrow Connector 12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4" name="TextBox 13"/>
          <xdr:cNvSpPr txBox="1"/>
        </xdr:nvSpPr>
        <xdr:spPr>
          <a:xfrm>
            <a:off x="6384074" y="22288500"/>
            <a:ext cx="1032663" cy="24178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11</xdr:col>
      <xdr:colOff>352008</xdr:colOff>
      <xdr:row>106</xdr:row>
      <xdr:rowOff>58616</xdr:rowOff>
    </xdr:from>
    <xdr:to>
      <xdr:col>16</xdr:col>
      <xdr:colOff>17254</xdr:colOff>
      <xdr:row>112</xdr:row>
      <xdr:rowOff>9535</xdr:rowOff>
    </xdr:to>
    <xdr:pic>
      <xdr:nvPicPr>
        <xdr:cNvPr id="15" name="Picture 14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57183" y="24747416"/>
          <a:ext cx="2046496" cy="1341569"/>
        </a:xfrm>
        <a:prstGeom prst="rect">
          <a:avLst/>
        </a:prstGeom>
      </xdr:spPr>
    </xdr:pic>
    <xdr:clientData/>
  </xdr:twoCellAnchor>
  <xdr:twoCellAnchor>
    <xdr:from>
      <xdr:col>4</xdr:col>
      <xdr:colOff>191457</xdr:colOff>
      <xdr:row>133</xdr:row>
      <xdr:rowOff>76141</xdr:rowOff>
    </xdr:from>
    <xdr:to>
      <xdr:col>6</xdr:col>
      <xdr:colOff>462553</xdr:colOff>
      <xdr:row>135</xdr:row>
      <xdr:rowOff>38330</xdr:rowOff>
    </xdr:to>
    <xdr:pic>
      <xdr:nvPicPr>
        <xdr:cNvPr id="1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9132" y="31051441"/>
          <a:ext cx="1385521" cy="419389"/>
        </a:xfrm>
        <a:prstGeom prst="rect">
          <a:avLst/>
        </a:prstGeom>
        <a:noFill/>
      </xdr:spPr>
    </xdr:pic>
    <xdr:clientData/>
  </xdr:twoCellAnchor>
  <xdr:twoCellAnchor>
    <xdr:from>
      <xdr:col>11</xdr:col>
      <xdr:colOff>413659</xdr:colOff>
      <xdr:row>122</xdr:row>
      <xdr:rowOff>148636</xdr:rowOff>
    </xdr:from>
    <xdr:to>
      <xdr:col>16</xdr:col>
      <xdr:colOff>102579</xdr:colOff>
      <xdr:row>129</xdr:row>
      <xdr:rowOff>87922</xdr:rowOff>
    </xdr:to>
    <xdr:grpSp>
      <xdr:nvGrpSpPr>
        <xdr:cNvPr id="18" name="Group 17"/>
        <xdr:cNvGrpSpPr/>
      </xdr:nvGrpSpPr>
      <xdr:grpSpPr>
        <a:xfrm>
          <a:off x="3718834" y="28571236"/>
          <a:ext cx="2070170" cy="1539486"/>
          <a:chOff x="6440277" y="21936818"/>
          <a:chExt cx="2072249" cy="1414096"/>
        </a:xfrm>
      </xdr:grpSpPr>
      <xdr:sp macro="" textlink="">
        <xdr:nvSpPr>
          <xdr:cNvPr id="19" name="Freeform 18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20" name="Straight Arrow Connector 19"/>
          <xdr:cNvCxnSpPr/>
        </xdr:nvCxnSpPr>
        <xdr:spPr>
          <a:xfrm>
            <a:off x="6440277" y="22588904"/>
            <a:ext cx="842598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1" name="TextBox 20"/>
          <xdr:cNvSpPr txBox="1"/>
        </xdr:nvSpPr>
        <xdr:spPr>
          <a:xfrm>
            <a:off x="6577270" y="22261956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11</xdr:col>
      <xdr:colOff>359335</xdr:colOff>
      <xdr:row>146</xdr:row>
      <xdr:rowOff>1</xdr:rowOff>
    </xdr:from>
    <xdr:to>
      <xdr:col>16</xdr:col>
      <xdr:colOff>17254</xdr:colOff>
      <xdr:row>152</xdr:row>
      <xdr:rowOff>125300</xdr:rowOff>
    </xdr:to>
    <xdr:pic>
      <xdr:nvPicPr>
        <xdr:cNvPr id="22" name="Picture 21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64510" y="34042351"/>
          <a:ext cx="2039169" cy="1515949"/>
        </a:xfrm>
        <a:prstGeom prst="rect">
          <a:avLst/>
        </a:prstGeom>
      </xdr:spPr>
    </xdr:pic>
    <xdr:clientData/>
  </xdr:twoCellAnchor>
  <xdr:twoCellAnchor editAs="oneCell">
    <xdr:from>
      <xdr:col>11</xdr:col>
      <xdr:colOff>315056</xdr:colOff>
      <xdr:row>153</xdr:row>
      <xdr:rowOff>180069</xdr:rowOff>
    </xdr:from>
    <xdr:to>
      <xdr:col>17</xdr:col>
      <xdr:colOff>476249</xdr:colOff>
      <xdr:row>160</xdr:row>
      <xdr:rowOff>190309</xdr:rowOff>
    </xdr:to>
    <xdr:pic>
      <xdr:nvPicPr>
        <xdr:cNvPr id="23" name="Picture 22" descr="ümarate nurkade mõju tegur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620231" y="35841669"/>
          <a:ext cx="3018693" cy="166759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139212</xdr:colOff>
      <xdr:row>220</xdr:row>
      <xdr:rowOff>175846</xdr:rowOff>
    </xdr:from>
    <xdr:to>
      <xdr:col>25</xdr:col>
      <xdr:colOff>87923</xdr:colOff>
      <xdr:row>236</xdr:row>
      <xdr:rowOff>59074</xdr:rowOff>
    </xdr:to>
    <xdr:pic>
      <xdr:nvPicPr>
        <xdr:cNvPr id="24" name="Picture 23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54387" y="51591796"/>
          <a:ext cx="3063386" cy="3578928"/>
        </a:xfrm>
        <a:prstGeom prst="rect">
          <a:avLst/>
        </a:prstGeom>
      </xdr:spPr>
    </xdr:pic>
    <xdr:clientData/>
  </xdr:twoCellAnchor>
  <xdr:twoCellAnchor>
    <xdr:from>
      <xdr:col>4</xdr:col>
      <xdr:colOff>191457</xdr:colOff>
      <xdr:row>183</xdr:row>
      <xdr:rowOff>59576</xdr:rowOff>
    </xdr:from>
    <xdr:to>
      <xdr:col>6</xdr:col>
      <xdr:colOff>462553</xdr:colOff>
      <xdr:row>185</xdr:row>
      <xdr:rowOff>21765</xdr:rowOff>
    </xdr:to>
    <xdr:pic>
      <xdr:nvPicPr>
        <xdr:cNvPr id="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9132" y="42769676"/>
          <a:ext cx="1385521" cy="419389"/>
        </a:xfrm>
        <a:prstGeom prst="rect">
          <a:avLst/>
        </a:prstGeom>
        <a:noFill/>
      </xdr:spPr>
    </xdr:pic>
    <xdr:clientData/>
  </xdr:twoCellAnchor>
  <xdr:twoCellAnchor>
    <xdr:from>
      <xdr:col>12</xdr:col>
      <xdr:colOff>25331</xdr:colOff>
      <xdr:row>172</xdr:row>
      <xdr:rowOff>148642</xdr:rowOff>
    </xdr:from>
    <xdr:to>
      <xdr:col>14</xdr:col>
      <xdr:colOff>175847</xdr:colOff>
      <xdr:row>179</xdr:row>
      <xdr:rowOff>87928</xdr:rowOff>
    </xdr:to>
    <xdr:grpSp>
      <xdr:nvGrpSpPr>
        <xdr:cNvPr id="26" name="Group 25"/>
        <xdr:cNvGrpSpPr/>
      </xdr:nvGrpSpPr>
      <xdr:grpSpPr>
        <a:xfrm>
          <a:off x="3806756" y="40306042"/>
          <a:ext cx="1103016" cy="1539486"/>
          <a:chOff x="6528288" y="21936825"/>
          <a:chExt cx="1984238" cy="1414096"/>
        </a:xfrm>
      </xdr:grpSpPr>
      <xdr:sp macro="" textlink="">
        <xdr:nvSpPr>
          <xdr:cNvPr id="27" name="Freeform 26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28" name="Straight Arrow Connector 27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9" name="TextBox 28"/>
          <xdr:cNvSpPr txBox="1"/>
        </xdr:nvSpPr>
        <xdr:spPr>
          <a:xfrm>
            <a:off x="6569938" y="22188694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12</xdr:col>
      <xdr:colOff>425278</xdr:colOff>
      <xdr:row>191</xdr:row>
      <xdr:rowOff>139213</xdr:rowOff>
    </xdr:from>
    <xdr:to>
      <xdr:col>19</xdr:col>
      <xdr:colOff>14480</xdr:colOff>
      <xdr:row>200</xdr:row>
      <xdr:rowOff>181707</xdr:rowOff>
    </xdr:to>
    <xdr:pic>
      <xdr:nvPicPr>
        <xdr:cNvPr id="30" name="Picture 29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06703" y="44716213"/>
          <a:ext cx="2922952" cy="2176094"/>
        </a:xfrm>
        <a:prstGeom prst="rect">
          <a:avLst/>
        </a:prstGeom>
      </xdr:spPr>
    </xdr:pic>
    <xdr:clientData/>
  </xdr:twoCellAnchor>
  <xdr:twoCellAnchor editAs="oneCell">
    <xdr:from>
      <xdr:col>12</xdr:col>
      <xdr:colOff>461912</xdr:colOff>
      <xdr:row>202</xdr:row>
      <xdr:rowOff>14653</xdr:rowOff>
    </xdr:from>
    <xdr:to>
      <xdr:col>21</xdr:col>
      <xdr:colOff>200716</xdr:colOff>
      <xdr:row>210</xdr:row>
      <xdr:rowOff>146347</xdr:rowOff>
    </xdr:to>
    <xdr:pic>
      <xdr:nvPicPr>
        <xdr:cNvPr id="31" name="Picture 30" descr="ümarate nurkade mõju tegur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243337" y="47182453"/>
          <a:ext cx="3653579" cy="2017644"/>
        </a:xfrm>
        <a:prstGeom prst="rect">
          <a:avLst/>
        </a:prstGeom>
      </xdr:spPr>
    </xdr:pic>
    <xdr:clientData/>
  </xdr:twoCellAnchor>
  <xdr:twoCellAnchor editAs="oneCell">
    <xdr:from>
      <xdr:col>15</xdr:col>
      <xdr:colOff>82826</xdr:colOff>
      <xdr:row>255</xdr:row>
      <xdr:rowOff>70061</xdr:rowOff>
    </xdr:from>
    <xdr:to>
      <xdr:col>19</xdr:col>
      <xdr:colOff>447260</xdr:colOff>
      <xdr:row>271</xdr:row>
      <xdr:rowOff>3100</xdr:rowOff>
    </xdr:to>
    <xdr:pic>
      <xdr:nvPicPr>
        <xdr:cNvPr id="32" name="Picture 31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1913" r="35178"/>
        <a:stretch>
          <a:fillRect/>
        </a:stretch>
      </xdr:blipFill>
      <xdr:spPr>
        <a:xfrm>
          <a:off x="5300869" y="60276344"/>
          <a:ext cx="2286000" cy="3756291"/>
        </a:xfrm>
        <a:prstGeom prst="rect">
          <a:avLst/>
        </a:prstGeom>
      </xdr:spPr>
    </xdr:pic>
    <xdr:clientData/>
  </xdr:twoCellAnchor>
  <xdr:twoCellAnchor editAs="oneCell">
    <xdr:from>
      <xdr:col>15</xdr:col>
      <xdr:colOff>85085</xdr:colOff>
      <xdr:row>239</xdr:row>
      <xdr:rowOff>107674</xdr:rowOff>
    </xdr:from>
    <xdr:to>
      <xdr:col>27</xdr:col>
      <xdr:colOff>79448</xdr:colOff>
      <xdr:row>254</xdr:row>
      <xdr:rowOff>144847</xdr:rowOff>
    </xdr:to>
    <xdr:pic>
      <xdr:nvPicPr>
        <xdr:cNvPr id="33" name="Picture 32" descr="jõutegurid vantidele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295260" y="55924174"/>
          <a:ext cx="6385638" cy="3561423"/>
        </a:xfrm>
        <a:prstGeom prst="rect">
          <a:avLst/>
        </a:prstGeom>
      </xdr:spPr>
    </xdr:pic>
    <xdr:clientData/>
  </xdr:twoCellAnchor>
  <xdr:twoCellAnchor editAs="oneCell">
    <xdr:from>
      <xdr:col>16</xdr:col>
      <xdr:colOff>171451</xdr:colOff>
      <xdr:row>274</xdr:row>
      <xdr:rowOff>0</xdr:rowOff>
    </xdr:from>
    <xdr:to>
      <xdr:col>23</xdr:col>
      <xdr:colOff>86600</xdr:colOff>
      <xdr:row>284</xdr:row>
      <xdr:rowOff>57830</xdr:rowOff>
    </xdr:to>
    <xdr:pic>
      <xdr:nvPicPr>
        <xdr:cNvPr id="34" name="Picture 33" descr="tuulejõud juhtmetele_1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57876" y="64065150"/>
          <a:ext cx="3086974" cy="2400980"/>
        </a:xfrm>
        <a:prstGeom prst="rect">
          <a:avLst/>
        </a:prstGeom>
      </xdr:spPr>
    </xdr:pic>
    <xdr:clientData/>
  </xdr:twoCellAnchor>
  <xdr:twoCellAnchor editAs="oneCell">
    <xdr:from>
      <xdr:col>16</xdr:col>
      <xdr:colOff>92851</xdr:colOff>
      <xdr:row>284</xdr:row>
      <xdr:rowOff>33942</xdr:rowOff>
    </xdr:from>
    <xdr:to>
      <xdr:col>22</xdr:col>
      <xdr:colOff>571500</xdr:colOff>
      <xdr:row>299</xdr:row>
      <xdr:rowOff>8199</xdr:rowOff>
    </xdr:to>
    <xdr:pic>
      <xdr:nvPicPr>
        <xdr:cNvPr id="35" name="Picture 34" descr="tuulejõud juhtmetele_2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779276" y="66442242"/>
          <a:ext cx="2964674" cy="3517557"/>
        </a:xfrm>
        <a:prstGeom prst="rect">
          <a:avLst/>
        </a:prstGeom>
      </xdr:spPr>
    </xdr:pic>
    <xdr:clientData/>
  </xdr:twoCellAnchor>
  <xdr:twoCellAnchor editAs="oneCell">
    <xdr:from>
      <xdr:col>22</xdr:col>
      <xdr:colOff>670680</xdr:colOff>
      <xdr:row>288</xdr:row>
      <xdr:rowOff>47625</xdr:rowOff>
    </xdr:from>
    <xdr:to>
      <xdr:col>27</xdr:col>
      <xdr:colOff>658053</xdr:colOff>
      <xdr:row>292</xdr:row>
      <xdr:rowOff>38329</xdr:rowOff>
    </xdr:to>
    <xdr:pic>
      <xdr:nvPicPr>
        <xdr:cNvPr id="36" name="Picture 35" descr="juhtme tuuletakistustegur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43130" y="67389375"/>
          <a:ext cx="3416373" cy="943204"/>
        </a:xfrm>
        <a:prstGeom prst="rect">
          <a:avLst/>
        </a:prstGeom>
      </xdr:spPr>
    </xdr:pic>
    <xdr:clientData/>
  </xdr:twoCellAnchor>
  <xdr:twoCellAnchor editAs="oneCell">
    <xdr:from>
      <xdr:col>22</xdr:col>
      <xdr:colOff>619125</xdr:colOff>
      <xdr:row>292</xdr:row>
      <xdr:rowOff>11392</xdr:rowOff>
    </xdr:from>
    <xdr:to>
      <xdr:col>28</xdr:col>
      <xdr:colOff>458054</xdr:colOff>
      <xdr:row>295</xdr:row>
      <xdr:rowOff>38258</xdr:rowOff>
    </xdr:to>
    <xdr:pic>
      <xdr:nvPicPr>
        <xdr:cNvPr id="37" name="Picture 36" descr="juhtme tuuletakistustegur_jää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791575" y="68305642"/>
          <a:ext cx="3953729" cy="731716"/>
        </a:xfrm>
        <a:prstGeom prst="rect">
          <a:avLst/>
        </a:prstGeom>
      </xdr:spPr>
    </xdr:pic>
    <xdr:clientData/>
  </xdr:twoCellAnchor>
  <xdr:twoCellAnchor editAs="oneCell">
    <xdr:from>
      <xdr:col>16</xdr:col>
      <xdr:colOff>70605</xdr:colOff>
      <xdr:row>341</xdr:row>
      <xdr:rowOff>219075</xdr:rowOff>
    </xdr:from>
    <xdr:to>
      <xdr:col>23</xdr:col>
      <xdr:colOff>315153</xdr:colOff>
      <xdr:row>345</xdr:row>
      <xdr:rowOff>209780</xdr:rowOff>
    </xdr:to>
    <xdr:pic>
      <xdr:nvPicPr>
        <xdr:cNvPr id="38" name="Picture 37" descr="juhtme tuuletakistustegur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757030" y="80095725"/>
          <a:ext cx="3416373" cy="943205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</xdr:colOff>
      <xdr:row>345</xdr:row>
      <xdr:rowOff>182842</xdr:rowOff>
    </xdr:from>
    <xdr:to>
      <xdr:col>24</xdr:col>
      <xdr:colOff>115154</xdr:colOff>
      <xdr:row>348</xdr:row>
      <xdr:rowOff>209708</xdr:rowOff>
    </xdr:to>
    <xdr:pic>
      <xdr:nvPicPr>
        <xdr:cNvPr id="39" name="Picture 38" descr="juhtme tuuletakistustegur_jää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05475" y="81011992"/>
          <a:ext cx="3953729" cy="73171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365</xdr:row>
      <xdr:rowOff>0</xdr:rowOff>
    </xdr:from>
    <xdr:to>
      <xdr:col>22</xdr:col>
      <xdr:colOff>66675</xdr:colOff>
      <xdr:row>369</xdr:row>
      <xdr:rowOff>179410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90975" y="85591650"/>
          <a:ext cx="4248150" cy="11128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200025</xdr:colOff>
      <xdr:row>369</xdr:row>
      <xdr:rowOff>161926</xdr:rowOff>
    </xdr:from>
    <xdr:to>
      <xdr:col>22</xdr:col>
      <xdr:colOff>47625</xdr:colOff>
      <xdr:row>374</xdr:row>
      <xdr:rowOff>161926</xdr:rowOff>
    </xdr:to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81450" y="86687026"/>
          <a:ext cx="4238625" cy="121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22</xdr:col>
      <xdr:colOff>219076</xdr:colOff>
      <xdr:row>366</xdr:row>
      <xdr:rowOff>104775</xdr:rowOff>
    </xdr:from>
    <xdr:to>
      <xdr:col>25</xdr:col>
      <xdr:colOff>7334</xdr:colOff>
      <xdr:row>370</xdr:row>
      <xdr:rowOff>219074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391526" y="85925025"/>
          <a:ext cx="1845658" cy="10667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200025</xdr:colOff>
      <xdr:row>313</xdr:row>
      <xdr:rowOff>161926</xdr:rowOff>
    </xdr:from>
    <xdr:to>
      <xdr:col>22</xdr:col>
      <xdr:colOff>47625</xdr:colOff>
      <xdr:row>318</xdr:row>
      <xdr:rowOff>161926</xdr:rowOff>
    </xdr:to>
    <xdr:pic>
      <xdr:nvPicPr>
        <xdr:cNvPr id="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81450" y="73447276"/>
          <a:ext cx="4238625" cy="121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171451</xdr:colOff>
      <xdr:row>385</xdr:row>
      <xdr:rowOff>0</xdr:rowOff>
    </xdr:from>
    <xdr:to>
      <xdr:col>23</xdr:col>
      <xdr:colOff>86600</xdr:colOff>
      <xdr:row>395</xdr:row>
      <xdr:rowOff>57830</xdr:rowOff>
    </xdr:to>
    <xdr:pic>
      <xdr:nvPicPr>
        <xdr:cNvPr id="44" name="Picture 43" descr="tuulejõud juhtmetele_1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57876" y="90316050"/>
          <a:ext cx="3086974" cy="2400980"/>
        </a:xfrm>
        <a:prstGeom prst="rect">
          <a:avLst/>
        </a:prstGeom>
      </xdr:spPr>
    </xdr:pic>
    <xdr:clientData/>
  </xdr:twoCellAnchor>
  <xdr:twoCellAnchor editAs="oneCell">
    <xdr:from>
      <xdr:col>17</xdr:col>
      <xdr:colOff>165855</xdr:colOff>
      <xdr:row>397</xdr:row>
      <xdr:rowOff>142875</xdr:rowOff>
    </xdr:from>
    <xdr:to>
      <xdr:col>24</xdr:col>
      <xdr:colOff>200853</xdr:colOff>
      <xdr:row>401</xdr:row>
      <xdr:rowOff>133578</xdr:rowOff>
    </xdr:to>
    <xdr:pic>
      <xdr:nvPicPr>
        <xdr:cNvPr id="45" name="Picture 44" descr="juhtme tuuletakistustegur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328530" y="93259275"/>
          <a:ext cx="3416373" cy="943203"/>
        </a:xfrm>
        <a:prstGeom prst="rect">
          <a:avLst/>
        </a:prstGeom>
      </xdr:spPr>
    </xdr:pic>
    <xdr:clientData/>
  </xdr:twoCellAnchor>
  <xdr:twoCellAnchor>
    <xdr:from>
      <xdr:col>29</xdr:col>
      <xdr:colOff>581025</xdr:colOff>
      <xdr:row>334</xdr:row>
      <xdr:rowOff>133350</xdr:rowOff>
    </xdr:from>
    <xdr:to>
      <xdr:col>30</xdr:col>
      <xdr:colOff>180975</xdr:colOff>
      <xdr:row>335</xdr:row>
      <xdr:rowOff>171450</xdr:rowOff>
    </xdr:to>
    <xdr:sp macro="" textlink="">
      <xdr:nvSpPr>
        <xdr:cNvPr id="46" name="TextBox 45"/>
        <xdr:cNvSpPr txBox="1"/>
      </xdr:nvSpPr>
      <xdr:spPr>
        <a:xfrm>
          <a:off x="13554075" y="78390750"/>
          <a:ext cx="2857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t-EE" sz="1100"/>
            <a:t>V</a:t>
          </a:r>
        </a:p>
      </xdr:txBody>
    </xdr:sp>
    <xdr:clientData/>
  </xdr:twoCellAnchor>
  <xdr:twoCellAnchor>
    <xdr:from>
      <xdr:col>16</xdr:col>
      <xdr:colOff>171451</xdr:colOff>
      <xdr:row>327</xdr:row>
      <xdr:rowOff>142875</xdr:rowOff>
    </xdr:from>
    <xdr:to>
      <xdr:col>30</xdr:col>
      <xdr:colOff>76200</xdr:colOff>
      <xdr:row>339</xdr:row>
      <xdr:rowOff>57830</xdr:rowOff>
    </xdr:to>
    <xdr:grpSp>
      <xdr:nvGrpSpPr>
        <xdr:cNvPr id="47" name="Group 46"/>
        <xdr:cNvGrpSpPr/>
      </xdr:nvGrpSpPr>
      <xdr:grpSpPr>
        <a:xfrm>
          <a:off x="5857876" y="76761975"/>
          <a:ext cx="7877174" cy="2715305"/>
          <a:chOff x="5869886" y="86124636"/>
          <a:chExt cx="7914031" cy="2747607"/>
        </a:xfrm>
      </xdr:grpSpPr>
      <xdr:cxnSp macro="">
        <xdr:nvCxnSpPr>
          <xdr:cNvPr id="48" name="Straight Arrow Connector 47"/>
          <xdr:cNvCxnSpPr/>
        </xdr:nvCxnSpPr>
        <xdr:spPr>
          <a:xfrm flipH="1">
            <a:off x="12637604" y="87838308"/>
            <a:ext cx="982732" cy="203338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49" name="Group 92"/>
          <xdr:cNvGrpSpPr/>
        </xdr:nvGrpSpPr>
        <xdr:grpSpPr>
          <a:xfrm>
            <a:off x="5869886" y="86124636"/>
            <a:ext cx="7914031" cy="2747607"/>
            <a:chOff x="5869886" y="86124636"/>
            <a:chExt cx="7914031" cy="2747607"/>
          </a:xfrm>
        </xdr:grpSpPr>
        <xdr:pic>
          <xdr:nvPicPr>
            <xdr:cNvPr id="51" name="Picture 50" descr="tuulejõud juhtmetele_1.PNG"/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/>
            <a:stretch>
              <a:fillRect/>
            </a:stretch>
          </xdr:blipFill>
          <xdr:spPr>
            <a:xfrm>
              <a:off x="5869886" y="86445587"/>
              <a:ext cx="3112236" cy="2426656"/>
            </a:xfrm>
            <a:prstGeom prst="rect">
              <a:avLst/>
            </a:prstGeom>
          </xdr:spPr>
        </xdr:pic>
        <xdr:grpSp>
          <xdr:nvGrpSpPr>
            <xdr:cNvPr id="52" name="Group 91"/>
            <xdr:cNvGrpSpPr/>
          </xdr:nvGrpSpPr>
          <xdr:grpSpPr>
            <a:xfrm>
              <a:off x="9524172" y="86124636"/>
              <a:ext cx="4259745" cy="2534064"/>
              <a:chOff x="9486900" y="85220175"/>
              <a:chExt cx="4248150" cy="2505075"/>
            </a:xfrm>
          </xdr:grpSpPr>
          <xdr:cxnSp macro="">
            <xdr:nvCxnSpPr>
              <xdr:cNvPr id="53" name="Straight Connector 52"/>
              <xdr:cNvCxnSpPr/>
            </xdr:nvCxnSpPr>
            <xdr:spPr>
              <a:xfrm>
                <a:off x="9486900" y="86591775"/>
                <a:ext cx="1628775" cy="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4" name="Rectangle 53"/>
              <xdr:cNvSpPr/>
            </xdr:nvSpPr>
            <xdr:spPr>
              <a:xfrm>
                <a:off x="11068050" y="86382225"/>
                <a:ext cx="523875" cy="476250"/>
              </a:xfrm>
              <a:prstGeom prst="rect">
                <a:avLst/>
              </a:prstGeom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vertOverflow="clip" rtlCol="0" anchor="ctr"/>
              <a:lstStyle/>
              <a:p>
                <a:pPr algn="ctr"/>
                <a:r>
                  <a:rPr lang="et-EE" sz="1100"/>
                  <a:t>mast</a:t>
                </a:r>
              </a:p>
            </xdr:txBody>
          </xdr:sp>
          <xdr:cxnSp macro="">
            <xdr:nvCxnSpPr>
              <xdr:cNvPr id="55" name="Straight Connector 54"/>
              <xdr:cNvCxnSpPr>
                <a:stCxn id="54" idx="3"/>
              </xdr:cNvCxnSpPr>
            </xdr:nvCxnSpPr>
            <xdr:spPr>
              <a:xfrm flipV="1">
                <a:off x="11591925" y="86610826"/>
                <a:ext cx="581025" cy="9524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" name="Straight Connector 55"/>
              <xdr:cNvCxnSpPr>
                <a:stCxn id="54" idx="3"/>
              </xdr:cNvCxnSpPr>
            </xdr:nvCxnSpPr>
            <xdr:spPr>
              <a:xfrm>
                <a:off x="11591925" y="86620350"/>
                <a:ext cx="2143125" cy="110490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7" name="Straight Connector 56"/>
              <xdr:cNvCxnSpPr/>
            </xdr:nvCxnSpPr>
            <xdr:spPr>
              <a:xfrm flipV="1">
                <a:off x="12582525" y="86506050"/>
                <a:ext cx="447675" cy="619125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8" name="Straight Arrow Connector 57"/>
              <xdr:cNvCxnSpPr/>
            </xdr:nvCxnSpPr>
            <xdr:spPr>
              <a:xfrm>
                <a:off x="11353800" y="85220175"/>
                <a:ext cx="0" cy="809625"/>
              </a:xfrm>
              <a:prstGeom prst="straightConnector1">
                <a:avLst/>
              </a:prstGeom>
              <a:ln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9" name="Straight Arrow Connector 58"/>
              <xdr:cNvCxnSpPr/>
            </xdr:nvCxnSpPr>
            <xdr:spPr>
              <a:xfrm>
                <a:off x="11182350" y="85658325"/>
                <a:ext cx="800100" cy="0"/>
              </a:xfrm>
              <a:prstGeom prst="straightConnector1">
                <a:avLst/>
              </a:prstGeom>
              <a:ln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0" name="TextBox 59"/>
              <xdr:cNvSpPr txBox="1"/>
            </xdr:nvSpPr>
            <xdr:spPr>
              <a:xfrm>
                <a:off x="11649075" y="85448775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t-EE" sz="1100"/>
                  <a:t>x</a:t>
                </a:r>
              </a:p>
            </xdr:txBody>
          </xdr:sp>
          <xdr:sp macro="" textlink="">
            <xdr:nvSpPr>
              <xdr:cNvPr id="61" name="TextBox 60"/>
              <xdr:cNvSpPr txBox="1"/>
            </xdr:nvSpPr>
            <xdr:spPr>
              <a:xfrm>
                <a:off x="11039475" y="85239225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t-EE" sz="1100"/>
                  <a:t>y</a:t>
                </a:r>
              </a:p>
            </xdr:txBody>
          </xdr:sp>
          <xdr:sp macro="" textlink="">
            <xdr:nvSpPr>
              <xdr:cNvPr id="62" name="TextBox 61"/>
              <xdr:cNvSpPr txBox="1"/>
            </xdr:nvSpPr>
            <xdr:spPr>
              <a:xfrm>
                <a:off x="11849100" y="86582250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t-EE" sz="1100"/>
                  <a:t>α</a:t>
                </a:r>
              </a:p>
            </xdr:txBody>
          </xdr:sp>
          <xdr:sp macro="" textlink="">
            <xdr:nvSpPr>
              <xdr:cNvPr id="63" name="TextBox 62"/>
              <xdr:cNvSpPr txBox="1"/>
            </xdr:nvSpPr>
            <xdr:spPr>
              <a:xfrm>
                <a:off x="12753975" y="86772750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l-GR" sz="1100"/>
                  <a:t>φ</a:t>
                </a:r>
                <a:endParaRPr lang="et-EE" sz="1100"/>
              </a:p>
            </xdr:txBody>
          </xdr:sp>
          <xdr:sp macro="" textlink="">
            <xdr:nvSpPr>
              <xdr:cNvPr id="64" name="Arc 63"/>
              <xdr:cNvSpPr/>
            </xdr:nvSpPr>
            <xdr:spPr>
              <a:xfrm>
                <a:off x="12582525" y="86744175"/>
                <a:ext cx="552450" cy="571499"/>
              </a:xfrm>
              <a:prstGeom prst="arc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rtlCol="0" anchor="ctr"/>
              <a:lstStyle/>
              <a:p>
                <a:pPr algn="ctr"/>
                <a:endParaRPr lang="et-EE" sz="1100"/>
              </a:p>
            </xdr:txBody>
          </xdr:sp>
        </xdr:grpSp>
      </xdr:grpSp>
      <xdr:sp macro="" textlink="">
        <xdr:nvSpPr>
          <xdr:cNvPr id="50" name="Arc 49"/>
          <xdr:cNvSpPr/>
        </xdr:nvSpPr>
        <xdr:spPr>
          <a:xfrm rot="5689720">
            <a:off x="11785236" y="87301366"/>
            <a:ext cx="487440" cy="437067"/>
          </a:xfrm>
          <a:prstGeom prst="arc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</xdr:grpSp>
    <xdr:clientData/>
  </xdr:twoCellAnchor>
  <xdr:twoCellAnchor editAs="oneCell">
    <xdr:from>
      <xdr:col>15</xdr:col>
      <xdr:colOff>455544</xdr:colOff>
      <xdr:row>21</xdr:row>
      <xdr:rowOff>132522</xdr:rowOff>
    </xdr:from>
    <xdr:to>
      <xdr:col>21</xdr:col>
      <xdr:colOff>240196</xdr:colOff>
      <xdr:row>37</xdr:row>
      <xdr:rowOff>95379</xdr:rowOff>
    </xdr:to>
    <xdr:pic>
      <xdr:nvPicPr>
        <xdr:cNvPr id="65" name="Picture 64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2075" r="34896"/>
        <a:stretch>
          <a:fillRect/>
        </a:stretch>
      </xdr:blipFill>
      <xdr:spPr>
        <a:xfrm>
          <a:off x="5673587" y="5176631"/>
          <a:ext cx="2294283" cy="375629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56</xdr:row>
      <xdr:rowOff>0</xdr:rowOff>
    </xdr:from>
    <xdr:to>
      <xdr:col>21</xdr:col>
      <xdr:colOff>265044</xdr:colOff>
      <xdr:row>72</xdr:row>
      <xdr:rowOff>45682</xdr:rowOff>
    </xdr:to>
    <xdr:pic>
      <xdr:nvPicPr>
        <xdr:cNvPr id="66" name="Picture 65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2075" r="34896"/>
        <a:stretch>
          <a:fillRect/>
        </a:stretch>
      </xdr:blipFill>
      <xdr:spPr>
        <a:xfrm>
          <a:off x="5698435" y="13285304"/>
          <a:ext cx="2294283" cy="375629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111</xdr:row>
      <xdr:rowOff>0</xdr:rowOff>
    </xdr:from>
    <xdr:to>
      <xdr:col>22</xdr:col>
      <xdr:colOff>265044</xdr:colOff>
      <xdr:row>126</xdr:row>
      <xdr:rowOff>211335</xdr:rowOff>
    </xdr:to>
    <xdr:pic>
      <xdr:nvPicPr>
        <xdr:cNvPr id="67" name="Picture 66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2075" r="34896"/>
        <a:stretch>
          <a:fillRect/>
        </a:stretch>
      </xdr:blipFill>
      <xdr:spPr>
        <a:xfrm>
          <a:off x="6178826" y="26081935"/>
          <a:ext cx="2294283" cy="3756291"/>
        </a:xfrm>
        <a:prstGeom prst="rect">
          <a:avLst/>
        </a:prstGeom>
      </xdr:spPr>
    </xdr:pic>
    <xdr:clientData/>
  </xdr:twoCellAnchor>
  <xdr:twoCellAnchor editAs="oneCell">
    <xdr:from>
      <xdr:col>16</xdr:col>
      <xdr:colOff>41413</xdr:colOff>
      <xdr:row>157</xdr:row>
      <xdr:rowOff>165652</xdr:rowOff>
    </xdr:from>
    <xdr:to>
      <xdr:col>21</xdr:col>
      <xdr:colOff>306457</xdr:colOff>
      <xdr:row>173</xdr:row>
      <xdr:rowOff>111943</xdr:rowOff>
    </xdr:to>
    <xdr:pic>
      <xdr:nvPicPr>
        <xdr:cNvPr id="68" name="Picture 67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2075" r="34896"/>
        <a:stretch>
          <a:fillRect/>
        </a:stretch>
      </xdr:blipFill>
      <xdr:spPr>
        <a:xfrm>
          <a:off x="5739848" y="37147500"/>
          <a:ext cx="2294283" cy="3756291"/>
        </a:xfrm>
        <a:prstGeom prst="rect">
          <a:avLst/>
        </a:prstGeom>
      </xdr:spPr>
    </xdr:pic>
    <xdr:clientData/>
  </xdr:twoCellAnchor>
  <xdr:twoCellAnchor editAs="oneCell">
    <xdr:from>
      <xdr:col>14</xdr:col>
      <xdr:colOff>289892</xdr:colOff>
      <xdr:row>295</xdr:row>
      <xdr:rowOff>182218</xdr:rowOff>
    </xdr:from>
    <xdr:to>
      <xdr:col>19</xdr:col>
      <xdr:colOff>173935</xdr:colOff>
      <xdr:row>311</xdr:row>
      <xdr:rowOff>95378</xdr:rowOff>
    </xdr:to>
    <xdr:pic>
      <xdr:nvPicPr>
        <xdr:cNvPr id="69" name="Picture 68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1913" r="35178"/>
        <a:stretch>
          <a:fillRect/>
        </a:stretch>
      </xdr:blipFill>
      <xdr:spPr>
        <a:xfrm>
          <a:off x="5027544" y="69896935"/>
          <a:ext cx="2286000" cy="3756291"/>
        </a:xfrm>
        <a:prstGeom prst="rect">
          <a:avLst/>
        </a:prstGeom>
      </xdr:spPr>
    </xdr:pic>
    <xdr:clientData/>
  </xdr:twoCellAnchor>
  <xdr:twoCellAnchor editAs="oneCell">
    <xdr:from>
      <xdr:col>14</xdr:col>
      <xdr:colOff>215348</xdr:colOff>
      <xdr:row>349</xdr:row>
      <xdr:rowOff>140804</xdr:rowOff>
    </xdr:from>
    <xdr:to>
      <xdr:col>19</xdr:col>
      <xdr:colOff>99391</xdr:colOff>
      <xdr:row>365</xdr:row>
      <xdr:rowOff>53965</xdr:rowOff>
    </xdr:to>
    <xdr:pic>
      <xdr:nvPicPr>
        <xdr:cNvPr id="70" name="Picture 69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1913" r="35178"/>
        <a:stretch>
          <a:fillRect/>
        </a:stretch>
      </xdr:blipFill>
      <xdr:spPr>
        <a:xfrm>
          <a:off x="4953000" y="82759826"/>
          <a:ext cx="2286000" cy="3756291"/>
        </a:xfrm>
        <a:prstGeom prst="rect">
          <a:avLst/>
        </a:prstGeom>
      </xdr:spPr>
    </xdr:pic>
    <xdr:clientData/>
  </xdr:twoCellAnchor>
  <xdr:twoCellAnchor editAs="oneCell">
    <xdr:from>
      <xdr:col>14</xdr:col>
      <xdr:colOff>207065</xdr:colOff>
      <xdr:row>404</xdr:row>
      <xdr:rowOff>99391</xdr:rowOff>
    </xdr:from>
    <xdr:to>
      <xdr:col>19</xdr:col>
      <xdr:colOff>91108</xdr:colOff>
      <xdr:row>419</xdr:row>
      <xdr:rowOff>244465</xdr:rowOff>
    </xdr:to>
    <xdr:pic>
      <xdr:nvPicPr>
        <xdr:cNvPr id="71" name="Picture 70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1913" r="35178"/>
        <a:stretch>
          <a:fillRect/>
        </a:stretch>
      </xdr:blipFill>
      <xdr:spPr>
        <a:xfrm>
          <a:off x="4944717" y="95838065"/>
          <a:ext cx="2286000" cy="37562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40774</xdr:colOff>
      <xdr:row>6</xdr:row>
      <xdr:rowOff>86647</xdr:rowOff>
    </xdr:from>
    <xdr:to>
      <xdr:col>21</xdr:col>
      <xdr:colOff>36475</xdr:colOff>
      <xdr:row>116</xdr:row>
      <xdr:rowOff>67343</xdr:rowOff>
    </xdr:to>
    <xdr:pic>
      <xdr:nvPicPr>
        <xdr:cNvPr id="2" name="Picture 1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65199" y="628650"/>
          <a:ext cx="2957976" cy="3314635"/>
        </a:xfrm>
        <a:prstGeom prst="rect">
          <a:avLst/>
        </a:prstGeom>
      </xdr:spPr>
    </xdr:pic>
    <xdr:clientData/>
  </xdr:twoCellAnchor>
  <xdr:twoCellAnchor editAs="oneCell">
    <xdr:from>
      <xdr:col>14</xdr:col>
      <xdr:colOff>446942</xdr:colOff>
      <xdr:row>20</xdr:row>
      <xdr:rowOff>65945</xdr:rowOff>
    </xdr:from>
    <xdr:to>
      <xdr:col>19</xdr:col>
      <xdr:colOff>285750</xdr:colOff>
      <xdr:row>119</xdr:row>
      <xdr:rowOff>200790</xdr:rowOff>
    </xdr:to>
    <xdr:pic>
      <xdr:nvPicPr>
        <xdr:cNvPr id="3" name="Picture 2" descr="tuulesuunad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1417" r="36376"/>
        <a:stretch>
          <a:fillRect/>
        </a:stretch>
      </xdr:blipFill>
      <xdr:spPr>
        <a:xfrm>
          <a:off x="5385288" y="4901714"/>
          <a:ext cx="2220058" cy="3678148"/>
        </a:xfrm>
        <a:prstGeom prst="rect">
          <a:avLst/>
        </a:prstGeom>
      </xdr:spPr>
    </xdr:pic>
    <xdr:clientData/>
  </xdr:twoCellAnchor>
  <xdr:twoCellAnchor editAs="oneCell">
    <xdr:from>
      <xdr:col>15</xdr:col>
      <xdr:colOff>253254</xdr:colOff>
      <xdr:row>39</xdr:row>
      <xdr:rowOff>225857</xdr:rowOff>
    </xdr:from>
    <xdr:to>
      <xdr:col>22</xdr:col>
      <xdr:colOff>248955</xdr:colOff>
      <xdr:row>120</xdr:row>
      <xdr:rowOff>49820</xdr:rowOff>
    </xdr:to>
    <xdr:pic>
      <xdr:nvPicPr>
        <xdr:cNvPr id="4" name="Picture 3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53929" y="1540307"/>
          <a:ext cx="2957976" cy="3311577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51</xdr:row>
      <xdr:rowOff>51293</xdr:rowOff>
    </xdr:from>
    <xdr:to>
      <xdr:col>6</xdr:col>
      <xdr:colOff>454270</xdr:colOff>
      <xdr:row>53</xdr:row>
      <xdr:rowOff>13482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849" y="2476500"/>
          <a:ext cx="1385521" cy="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183174</xdr:colOff>
      <xdr:row>89</xdr:row>
      <xdr:rowOff>51293</xdr:rowOff>
    </xdr:from>
    <xdr:to>
      <xdr:col>6</xdr:col>
      <xdr:colOff>454270</xdr:colOff>
      <xdr:row>91</xdr:row>
      <xdr:rowOff>13482</xdr:rowOff>
    </xdr:to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849" y="3867150"/>
          <a:ext cx="1385521" cy="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542194</xdr:colOff>
      <xdr:row>68</xdr:row>
      <xdr:rowOff>175845</xdr:rowOff>
    </xdr:from>
    <xdr:to>
      <xdr:col>27</xdr:col>
      <xdr:colOff>168520</xdr:colOff>
      <xdr:row>167</xdr:row>
      <xdr:rowOff>181467</xdr:rowOff>
    </xdr:to>
    <xdr:pic>
      <xdr:nvPicPr>
        <xdr:cNvPr id="8" name="Picture 7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16867" y="16016653"/>
          <a:ext cx="3069980" cy="3425828"/>
        </a:xfrm>
        <a:prstGeom prst="rect">
          <a:avLst/>
        </a:prstGeom>
      </xdr:spPr>
    </xdr:pic>
    <xdr:clientData/>
  </xdr:twoCellAnchor>
  <xdr:twoCellAnchor>
    <xdr:from>
      <xdr:col>11</xdr:col>
      <xdr:colOff>363499</xdr:colOff>
      <xdr:row>80</xdr:row>
      <xdr:rowOff>80594</xdr:rowOff>
    </xdr:from>
    <xdr:to>
      <xdr:col>15</xdr:col>
      <xdr:colOff>14654</xdr:colOff>
      <xdr:row>86</xdr:row>
      <xdr:rowOff>219807</xdr:rowOff>
    </xdr:to>
    <xdr:grpSp>
      <xdr:nvGrpSpPr>
        <xdr:cNvPr id="10" name="Group 9"/>
        <xdr:cNvGrpSpPr/>
      </xdr:nvGrpSpPr>
      <xdr:grpSpPr>
        <a:xfrm>
          <a:off x="3859174" y="3719144"/>
          <a:ext cx="1556155" cy="148006"/>
          <a:chOff x="6384074" y="21936808"/>
          <a:chExt cx="3003911" cy="1414096"/>
        </a:xfrm>
      </xdr:grpSpPr>
      <xdr:sp macro="" textlink="">
        <xdr:nvSpPr>
          <xdr:cNvPr id="11" name="Freeform 10"/>
          <xdr:cNvSpPr/>
        </xdr:nvSpPr>
        <xdr:spPr>
          <a:xfrm>
            <a:off x="7319596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sp macro="" textlink="">
        <xdr:nvSpPr>
          <xdr:cNvPr id="12" name="Freeform 11"/>
          <xdr:cNvSpPr/>
        </xdr:nvSpPr>
        <xdr:spPr>
          <a:xfrm rot="10800000">
            <a:off x="8806961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13" name="Straight Arrow Connector 12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4" name="TextBox 13"/>
          <xdr:cNvSpPr txBox="1"/>
        </xdr:nvSpPr>
        <xdr:spPr>
          <a:xfrm>
            <a:off x="6384074" y="22288500"/>
            <a:ext cx="1032663" cy="24178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11</xdr:col>
      <xdr:colOff>352008</xdr:colOff>
      <xdr:row>104</xdr:row>
      <xdr:rowOff>58616</xdr:rowOff>
    </xdr:from>
    <xdr:to>
      <xdr:col>16</xdr:col>
      <xdr:colOff>17254</xdr:colOff>
      <xdr:row>164</xdr:row>
      <xdr:rowOff>180984</xdr:rowOff>
    </xdr:to>
    <xdr:pic>
      <xdr:nvPicPr>
        <xdr:cNvPr id="15" name="Picture 14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47683" y="3867150"/>
          <a:ext cx="2046496" cy="1341569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131</xdr:row>
      <xdr:rowOff>51293</xdr:rowOff>
    </xdr:from>
    <xdr:to>
      <xdr:col>6</xdr:col>
      <xdr:colOff>454270</xdr:colOff>
      <xdr:row>133</xdr:row>
      <xdr:rowOff>13482</xdr:rowOff>
    </xdr:to>
    <xdr:pic>
      <xdr:nvPicPr>
        <xdr:cNvPr id="1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849" y="5029200"/>
          <a:ext cx="1385521" cy="0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234462</xdr:colOff>
      <xdr:row>110</xdr:row>
      <xdr:rowOff>146537</xdr:rowOff>
    </xdr:from>
    <xdr:to>
      <xdr:col>21</xdr:col>
      <xdr:colOff>139212</xdr:colOff>
      <xdr:row>218</xdr:row>
      <xdr:rowOff>39598</xdr:rowOff>
    </xdr:to>
    <xdr:pic>
      <xdr:nvPicPr>
        <xdr:cNvPr id="17" name="Picture 16" descr="tuulesuunad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1531" r="37800"/>
        <a:stretch>
          <a:fillRect/>
        </a:stretch>
      </xdr:blipFill>
      <xdr:spPr>
        <a:xfrm>
          <a:off x="5649058" y="25658883"/>
          <a:ext cx="2388577" cy="3758744"/>
        </a:xfrm>
        <a:prstGeom prst="rect">
          <a:avLst/>
        </a:prstGeom>
      </xdr:spPr>
    </xdr:pic>
    <xdr:clientData/>
  </xdr:twoCellAnchor>
  <xdr:twoCellAnchor>
    <xdr:from>
      <xdr:col>11</xdr:col>
      <xdr:colOff>413659</xdr:colOff>
      <xdr:row>120</xdr:row>
      <xdr:rowOff>148635</xdr:rowOff>
    </xdr:from>
    <xdr:to>
      <xdr:col>16</xdr:col>
      <xdr:colOff>102579</xdr:colOff>
      <xdr:row>125</xdr:row>
      <xdr:rowOff>161191</xdr:rowOff>
    </xdr:to>
    <xdr:grpSp>
      <xdr:nvGrpSpPr>
        <xdr:cNvPr id="18" name="Group 17"/>
        <xdr:cNvGrpSpPr/>
      </xdr:nvGrpSpPr>
      <xdr:grpSpPr>
        <a:xfrm>
          <a:off x="3909334" y="4949235"/>
          <a:ext cx="2070170" cy="79965"/>
          <a:chOff x="6440277" y="21936818"/>
          <a:chExt cx="2072249" cy="1414096"/>
        </a:xfrm>
      </xdr:grpSpPr>
      <xdr:sp macro="" textlink="">
        <xdr:nvSpPr>
          <xdr:cNvPr id="19" name="Freeform 18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20" name="Straight Arrow Connector 19"/>
          <xdr:cNvCxnSpPr/>
        </xdr:nvCxnSpPr>
        <xdr:spPr>
          <a:xfrm>
            <a:off x="6440277" y="22588904"/>
            <a:ext cx="842598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1" name="TextBox 20"/>
          <xdr:cNvSpPr txBox="1"/>
        </xdr:nvSpPr>
        <xdr:spPr>
          <a:xfrm>
            <a:off x="6577270" y="22261956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11</xdr:col>
      <xdr:colOff>359335</xdr:colOff>
      <xdr:row>144</xdr:row>
      <xdr:rowOff>1</xdr:rowOff>
    </xdr:from>
    <xdr:to>
      <xdr:col>16</xdr:col>
      <xdr:colOff>17254</xdr:colOff>
      <xdr:row>170</xdr:row>
      <xdr:rowOff>109181</xdr:rowOff>
    </xdr:to>
    <xdr:pic>
      <xdr:nvPicPr>
        <xdr:cNvPr id="22" name="Picture 21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55010" y="5029200"/>
          <a:ext cx="2039169" cy="1515949"/>
        </a:xfrm>
        <a:prstGeom prst="rect">
          <a:avLst/>
        </a:prstGeom>
      </xdr:spPr>
    </xdr:pic>
    <xdr:clientData/>
  </xdr:twoCellAnchor>
  <xdr:twoCellAnchor editAs="oneCell">
    <xdr:from>
      <xdr:col>11</xdr:col>
      <xdr:colOff>315056</xdr:colOff>
      <xdr:row>151</xdr:row>
      <xdr:rowOff>180069</xdr:rowOff>
    </xdr:from>
    <xdr:to>
      <xdr:col>17</xdr:col>
      <xdr:colOff>476249</xdr:colOff>
      <xdr:row>214</xdr:row>
      <xdr:rowOff>26360</xdr:rowOff>
    </xdr:to>
    <xdr:pic>
      <xdr:nvPicPr>
        <xdr:cNvPr id="23" name="Picture 22" descr="ümarate nurkade mõju tegur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810731" y="5029200"/>
          <a:ext cx="3018693" cy="166759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139212</xdr:colOff>
      <xdr:row>218</xdr:row>
      <xdr:rowOff>175846</xdr:rowOff>
    </xdr:from>
    <xdr:to>
      <xdr:col>25</xdr:col>
      <xdr:colOff>87923</xdr:colOff>
      <xdr:row>266</xdr:row>
      <xdr:rowOff>208544</xdr:rowOff>
    </xdr:to>
    <xdr:pic>
      <xdr:nvPicPr>
        <xdr:cNvPr id="24" name="Picture 23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44887" y="7776796"/>
          <a:ext cx="3063386" cy="3578928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181</xdr:row>
      <xdr:rowOff>51293</xdr:rowOff>
    </xdr:from>
    <xdr:to>
      <xdr:col>6</xdr:col>
      <xdr:colOff>454270</xdr:colOff>
      <xdr:row>183</xdr:row>
      <xdr:rowOff>13482</xdr:rowOff>
    </xdr:to>
    <xdr:pic>
      <xdr:nvPicPr>
        <xdr:cNvPr id="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849" y="6667500"/>
          <a:ext cx="1385521" cy="0"/>
        </a:xfrm>
        <a:prstGeom prst="rect">
          <a:avLst/>
        </a:prstGeom>
        <a:noFill/>
      </xdr:spPr>
    </xdr:pic>
    <xdr:clientData/>
  </xdr:twoCellAnchor>
  <xdr:twoCellAnchor>
    <xdr:from>
      <xdr:col>12</xdr:col>
      <xdr:colOff>25331</xdr:colOff>
      <xdr:row>170</xdr:row>
      <xdr:rowOff>148642</xdr:rowOff>
    </xdr:from>
    <xdr:to>
      <xdr:col>14</xdr:col>
      <xdr:colOff>175847</xdr:colOff>
      <xdr:row>175</xdr:row>
      <xdr:rowOff>87923</xdr:rowOff>
    </xdr:to>
    <xdr:grpSp>
      <xdr:nvGrpSpPr>
        <xdr:cNvPr id="26" name="Group 25"/>
        <xdr:cNvGrpSpPr/>
      </xdr:nvGrpSpPr>
      <xdr:grpSpPr>
        <a:xfrm>
          <a:off x="3997256" y="6587542"/>
          <a:ext cx="1103016" cy="79958"/>
          <a:chOff x="6528288" y="21936825"/>
          <a:chExt cx="1984238" cy="1414096"/>
        </a:xfrm>
      </xdr:grpSpPr>
      <xdr:sp macro="" textlink="">
        <xdr:nvSpPr>
          <xdr:cNvPr id="27" name="Freeform 26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28" name="Straight Arrow Connector 27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9" name="TextBox 28"/>
          <xdr:cNvSpPr txBox="1"/>
        </xdr:nvSpPr>
        <xdr:spPr>
          <a:xfrm>
            <a:off x="6569938" y="22188694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12</xdr:col>
      <xdr:colOff>425278</xdr:colOff>
      <xdr:row>189</xdr:row>
      <xdr:rowOff>139213</xdr:rowOff>
    </xdr:from>
    <xdr:to>
      <xdr:col>19</xdr:col>
      <xdr:colOff>14480</xdr:colOff>
      <xdr:row>256</xdr:row>
      <xdr:rowOff>74732</xdr:rowOff>
    </xdr:to>
    <xdr:pic>
      <xdr:nvPicPr>
        <xdr:cNvPr id="30" name="Picture 29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97203" y="6667500"/>
          <a:ext cx="2922952" cy="2176094"/>
        </a:xfrm>
        <a:prstGeom prst="rect">
          <a:avLst/>
        </a:prstGeom>
      </xdr:spPr>
    </xdr:pic>
    <xdr:clientData/>
  </xdr:twoCellAnchor>
  <xdr:twoCellAnchor editAs="oneCell">
    <xdr:from>
      <xdr:col>12</xdr:col>
      <xdr:colOff>461912</xdr:colOff>
      <xdr:row>200</xdr:row>
      <xdr:rowOff>14653</xdr:rowOff>
    </xdr:from>
    <xdr:to>
      <xdr:col>21</xdr:col>
      <xdr:colOff>200716</xdr:colOff>
      <xdr:row>255</xdr:row>
      <xdr:rowOff>147813</xdr:rowOff>
    </xdr:to>
    <xdr:pic>
      <xdr:nvPicPr>
        <xdr:cNvPr id="31" name="Picture 30" descr="ümarate nurkade mõju tegur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33837" y="6667500"/>
          <a:ext cx="3653579" cy="2017644"/>
        </a:xfrm>
        <a:prstGeom prst="rect">
          <a:avLst/>
        </a:prstGeom>
      </xdr:spPr>
    </xdr:pic>
    <xdr:clientData/>
  </xdr:twoCellAnchor>
  <xdr:twoCellAnchor editAs="oneCell">
    <xdr:from>
      <xdr:col>14</xdr:col>
      <xdr:colOff>7326</xdr:colOff>
      <xdr:row>323</xdr:row>
      <xdr:rowOff>215964</xdr:rowOff>
    </xdr:from>
    <xdr:to>
      <xdr:col>18</xdr:col>
      <xdr:colOff>461596</xdr:colOff>
      <xdr:row>339</xdr:row>
      <xdr:rowOff>99244</xdr:rowOff>
    </xdr:to>
    <xdr:pic>
      <xdr:nvPicPr>
        <xdr:cNvPr id="32" name="Picture 31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1406" r="34251"/>
        <a:stretch>
          <a:fillRect/>
        </a:stretch>
      </xdr:blipFill>
      <xdr:spPr>
        <a:xfrm>
          <a:off x="4945672" y="75734560"/>
          <a:ext cx="2359270" cy="3715261"/>
        </a:xfrm>
        <a:prstGeom prst="rect">
          <a:avLst/>
        </a:prstGeom>
      </xdr:spPr>
    </xdr:pic>
    <xdr:clientData/>
  </xdr:twoCellAnchor>
  <xdr:twoCellAnchor editAs="oneCell">
    <xdr:from>
      <xdr:col>15</xdr:col>
      <xdr:colOff>85085</xdr:colOff>
      <xdr:row>237</xdr:row>
      <xdr:rowOff>107674</xdr:rowOff>
    </xdr:from>
    <xdr:to>
      <xdr:col>27</xdr:col>
      <xdr:colOff>79448</xdr:colOff>
      <xdr:row>270</xdr:row>
      <xdr:rowOff>21054</xdr:rowOff>
    </xdr:to>
    <xdr:pic>
      <xdr:nvPicPr>
        <xdr:cNvPr id="33" name="Picture 32" descr="jõutegurid vantidele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485760" y="8534400"/>
          <a:ext cx="6385638" cy="35614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40774</xdr:colOff>
      <xdr:row>6</xdr:row>
      <xdr:rowOff>86647</xdr:rowOff>
    </xdr:from>
    <xdr:to>
      <xdr:col>21</xdr:col>
      <xdr:colOff>36475</xdr:colOff>
      <xdr:row>21</xdr:row>
      <xdr:rowOff>1590</xdr:rowOff>
    </xdr:to>
    <xdr:pic>
      <xdr:nvPicPr>
        <xdr:cNvPr id="2" name="Picture 1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65199" y="1686847"/>
          <a:ext cx="2957976" cy="3305843"/>
        </a:xfrm>
        <a:prstGeom prst="rect">
          <a:avLst/>
        </a:prstGeom>
      </xdr:spPr>
    </xdr:pic>
    <xdr:clientData/>
  </xdr:twoCellAnchor>
  <xdr:twoCellAnchor editAs="oneCell">
    <xdr:from>
      <xdr:col>15</xdr:col>
      <xdr:colOff>241789</xdr:colOff>
      <xdr:row>21</xdr:row>
      <xdr:rowOff>161194</xdr:rowOff>
    </xdr:from>
    <xdr:to>
      <xdr:col>21</xdr:col>
      <xdr:colOff>124558</xdr:colOff>
      <xdr:row>37</xdr:row>
      <xdr:rowOff>95285</xdr:rowOff>
    </xdr:to>
    <xdr:pic>
      <xdr:nvPicPr>
        <xdr:cNvPr id="3" name="Picture 2" descr="tuulesuunad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3199" r="2468"/>
        <a:stretch>
          <a:fillRect/>
        </a:stretch>
      </xdr:blipFill>
      <xdr:spPr>
        <a:xfrm>
          <a:off x="5656385" y="5150829"/>
          <a:ext cx="2366596" cy="3678148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51</xdr:row>
      <xdr:rowOff>51293</xdr:rowOff>
    </xdr:from>
    <xdr:to>
      <xdr:col>6</xdr:col>
      <xdr:colOff>454270</xdr:colOff>
      <xdr:row>53</xdr:row>
      <xdr:rowOff>13482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849" y="12033743"/>
          <a:ext cx="1385521" cy="419389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183174</xdr:colOff>
      <xdr:row>89</xdr:row>
      <xdr:rowOff>51293</xdr:rowOff>
    </xdr:from>
    <xdr:to>
      <xdr:col>6</xdr:col>
      <xdr:colOff>454270</xdr:colOff>
      <xdr:row>91</xdr:row>
      <xdr:rowOff>13482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849" y="20796743"/>
          <a:ext cx="1385521" cy="419389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542194</xdr:colOff>
      <xdr:row>68</xdr:row>
      <xdr:rowOff>175845</xdr:rowOff>
    </xdr:from>
    <xdr:to>
      <xdr:col>27</xdr:col>
      <xdr:colOff>168520</xdr:colOff>
      <xdr:row>124</xdr:row>
      <xdr:rowOff>201981</xdr:rowOff>
    </xdr:to>
    <xdr:pic>
      <xdr:nvPicPr>
        <xdr:cNvPr id="7" name="Picture 6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5144" y="16044495"/>
          <a:ext cx="3055326" cy="3439017"/>
        </a:xfrm>
        <a:prstGeom prst="rect">
          <a:avLst/>
        </a:prstGeom>
      </xdr:spPr>
    </xdr:pic>
    <xdr:clientData/>
  </xdr:twoCellAnchor>
  <xdr:twoCellAnchor editAs="oneCell">
    <xdr:from>
      <xdr:col>11</xdr:col>
      <xdr:colOff>352008</xdr:colOff>
      <xdr:row>104</xdr:row>
      <xdr:rowOff>58616</xdr:rowOff>
    </xdr:from>
    <xdr:to>
      <xdr:col>16</xdr:col>
      <xdr:colOff>17254</xdr:colOff>
      <xdr:row>121</xdr:row>
      <xdr:rowOff>179518</xdr:rowOff>
    </xdr:to>
    <xdr:pic>
      <xdr:nvPicPr>
        <xdr:cNvPr id="13" name="Picture 12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47683" y="24233066"/>
          <a:ext cx="2046496" cy="1343034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131</xdr:row>
      <xdr:rowOff>51293</xdr:rowOff>
    </xdr:from>
    <xdr:to>
      <xdr:col>6</xdr:col>
      <xdr:colOff>454270</xdr:colOff>
      <xdr:row>133</xdr:row>
      <xdr:rowOff>13482</xdr:rowOff>
    </xdr:to>
    <xdr:pic>
      <xdr:nvPicPr>
        <xdr:cNvPr id="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849" y="30512243"/>
          <a:ext cx="1385521" cy="419389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234462</xdr:colOff>
      <xdr:row>110</xdr:row>
      <xdr:rowOff>146537</xdr:rowOff>
    </xdr:from>
    <xdr:to>
      <xdr:col>21</xdr:col>
      <xdr:colOff>139212</xdr:colOff>
      <xdr:row>132</xdr:row>
      <xdr:rowOff>58648</xdr:rowOff>
    </xdr:to>
    <xdr:pic>
      <xdr:nvPicPr>
        <xdr:cNvPr id="15" name="Picture 14" descr="tuulesuunad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1531" r="37800"/>
        <a:stretch>
          <a:fillRect/>
        </a:stretch>
      </xdr:blipFill>
      <xdr:spPr>
        <a:xfrm>
          <a:off x="5635137" y="25711637"/>
          <a:ext cx="2390775" cy="3773398"/>
        </a:xfrm>
        <a:prstGeom prst="rect">
          <a:avLst/>
        </a:prstGeom>
      </xdr:spPr>
    </xdr:pic>
    <xdr:clientData/>
  </xdr:twoCellAnchor>
  <xdr:twoCellAnchor>
    <xdr:from>
      <xdr:col>11</xdr:col>
      <xdr:colOff>413659</xdr:colOff>
      <xdr:row>120</xdr:row>
      <xdr:rowOff>148635</xdr:rowOff>
    </xdr:from>
    <xdr:to>
      <xdr:col>16</xdr:col>
      <xdr:colOff>102579</xdr:colOff>
      <xdr:row>125</xdr:row>
      <xdr:rowOff>161191</xdr:rowOff>
    </xdr:to>
    <xdr:grpSp>
      <xdr:nvGrpSpPr>
        <xdr:cNvPr id="16" name="Group 15"/>
        <xdr:cNvGrpSpPr/>
      </xdr:nvGrpSpPr>
      <xdr:grpSpPr>
        <a:xfrm>
          <a:off x="3909334" y="12835935"/>
          <a:ext cx="2070170" cy="1155556"/>
          <a:chOff x="6440277" y="21936818"/>
          <a:chExt cx="2072249" cy="1414096"/>
        </a:xfrm>
      </xdr:grpSpPr>
      <xdr:sp macro="" textlink="">
        <xdr:nvSpPr>
          <xdr:cNvPr id="17" name="Freeform 16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18" name="Straight Arrow Connector 17"/>
          <xdr:cNvCxnSpPr/>
        </xdr:nvCxnSpPr>
        <xdr:spPr>
          <a:xfrm>
            <a:off x="6440277" y="22588904"/>
            <a:ext cx="842598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9" name="TextBox 18"/>
          <xdr:cNvSpPr txBox="1"/>
        </xdr:nvSpPr>
        <xdr:spPr>
          <a:xfrm>
            <a:off x="6577270" y="22261956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11</xdr:col>
      <xdr:colOff>359335</xdr:colOff>
      <xdr:row>144</xdr:row>
      <xdr:rowOff>1</xdr:rowOff>
    </xdr:from>
    <xdr:to>
      <xdr:col>16</xdr:col>
      <xdr:colOff>17254</xdr:colOff>
      <xdr:row>150</xdr:row>
      <xdr:rowOff>128231</xdr:rowOff>
    </xdr:to>
    <xdr:pic>
      <xdr:nvPicPr>
        <xdr:cNvPr id="20" name="Picture 19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55010" y="33528001"/>
          <a:ext cx="2039169" cy="1518881"/>
        </a:xfrm>
        <a:prstGeom prst="rect">
          <a:avLst/>
        </a:prstGeom>
      </xdr:spPr>
    </xdr:pic>
    <xdr:clientData/>
  </xdr:twoCellAnchor>
  <xdr:twoCellAnchor editAs="oneCell">
    <xdr:from>
      <xdr:col>11</xdr:col>
      <xdr:colOff>315056</xdr:colOff>
      <xdr:row>151</xdr:row>
      <xdr:rowOff>180069</xdr:rowOff>
    </xdr:from>
    <xdr:to>
      <xdr:col>17</xdr:col>
      <xdr:colOff>476249</xdr:colOff>
      <xdr:row>158</xdr:row>
      <xdr:rowOff>187378</xdr:rowOff>
    </xdr:to>
    <xdr:pic>
      <xdr:nvPicPr>
        <xdr:cNvPr id="21" name="Picture 20" descr="ümarate nurkade mõju tegur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810731" y="35327319"/>
          <a:ext cx="3018693" cy="166466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139212</xdr:colOff>
      <xdr:row>218</xdr:row>
      <xdr:rowOff>175846</xdr:rowOff>
    </xdr:from>
    <xdr:to>
      <xdr:col>25</xdr:col>
      <xdr:colOff>87923</xdr:colOff>
      <xdr:row>234</xdr:row>
      <xdr:rowOff>75193</xdr:rowOff>
    </xdr:to>
    <xdr:pic>
      <xdr:nvPicPr>
        <xdr:cNvPr id="22" name="Picture 21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44887" y="51077446"/>
          <a:ext cx="3063386" cy="3595048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181</xdr:row>
      <xdr:rowOff>51293</xdr:rowOff>
    </xdr:from>
    <xdr:to>
      <xdr:col>6</xdr:col>
      <xdr:colOff>454270</xdr:colOff>
      <xdr:row>183</xdr:row>
      <xdr:rowOff>13482</xdr:rowOff>
    </xdr:to>
    <xdr:pic>
      <xdr:nvPicPr>
        <xdr:cNvPr id="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849" y="42247043"/>
          <a:ext cx="1385521" cy="419389"/>
        </a:xfrm>
        <a:prstGeom prst="rect">
          <a:avLst/>
        </a:prstGeom>
        <a:noFill/>
      </xdr:spPr>
    </xdr:pic>
    <xdr:clientData/>
  </xdr:twoCellAnchor>
  <xdr:twoCellAnchor>
    <xdr:from>
      <xdr:col>12</xdr:col>
      <xdr:colOff>25331</xdr:colOff>
      <xdr:row>170</xdr:row>
      <xdr:rowOff>148642</xdr:rowOff>
    </xdr:from>
    <xdr:to>
      <xdr:col>14</xdr:col>
      <xdr:colOff>175847</xdr:colOff>
      <xdr:row>175</xdr:row>
      <xdr:rowOff>87923</xdr:rowOff>
    </xdr:to>
    <xdr:grpSp>
      <xdr:nvGrpSpPr>
        <xdr:cNvPr id="24" name="Group 23"/>
        <xdr:cNvGrpSpPr/>
      </xdr:nvGrpSpPr>
      <xdr:grpSpPr>
        <a:xfrm>
          <a:off x="3997256" y="24570742"/>
          <a:ext cx="1103016" cy="1082281"/>
          <a:chOff x="6528288" y="21936825"/>
          <a:chExt cx="1984238" cy="1414096"/>
        </a:xfrm>
      </xdr:grpSpPr>
      <xdr:sp macro="" textlink="">
        <xdr:nvSpPr>
          <xdr:cNvPr id="25" name="Freeform 24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26" name="Straight Arrow Connector 25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7" name="TextBox 26"/>
          <xdr:cNvSpPr txBox="1"/>
        </xdr:nvSpPr>
        <xdr:spPr>
          <a:xfrm>
            <a:off x="6569938" y="22188694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12</xdr:col>
      <xdr:colOff>425278</xdr:colOff>
      <xdr:row>189</xdr:row>
      <xdr:rowOff>139213</xdr:rowOff>
    </xdr:from>
    <xdr:to>
      <xdr:col>19</xdr:col>
      <xdr:colOff>14480</xdr:colOff>
      <xdr:row>198</xdr:row>
      <xdr:rowOff>175845</xdr:rowOff>
    </xdr:to>
    <xdr:pic>
      <xdr:nvPicPr>
        <xdr:cNvPr id="28" name="Picture 27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97203" y="44201863"/>
          <a:ext cx="2922952" cy="2170232"/>
        </a:xfrm>
        <a:prstGeom prst="rect">
          <a:avLst/>
        </a:prstGeom>
      </xdr:spPr>
    </xdr:pic>
    <xdr:clientData/>
  </xdr:twoCellAnchor>
  <xdr:twoCellAnchor editAs="oneCell">
    <xdr:from>
      <xdr:col>12</xdr:col>
      <xdr:colOff>461912</xdr:colOff>
      <xdr:row>200</xdr:row>
      <xdr:rowOff>14653</xdr:rowOff>
    </xdr:from>
    <xdr:to>
      <xdr:col>21</xdr:col>
      <xdr:colOff>200716</xdr:colOff>
      <xdr:row>208</xdr:row>
      <xdr:rowOff>143417</xdr:rowOff>
    </xdr:to>
    <xdr:pic>
      <xdr:nvPicPr>
        <xdr:cNvPr id="29" name="Picture 28" descr="ümarate nurkade mõju tegur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33837" y="46668103"/>
          <a:ext cx="3653579" cy="2014713"/>
        </a:xfrm>
        <a:prstGeom prst="rect">
          <a:avLst/>
        </a:prstGeom>
      </xdr:spPr>
    </xdr:pic>
    <xdr:clientData/>
  </xdr:twoCellAnchor>
  <xdr:twoCellAnchor editAs="oneCell">
    <xdr:from>
      <xdr:col>13</xdr:col>
      <xdr:colOff>212481</xdr:colOff>
      <xdr:row>322</xdr:row>
      <xdr:rowOff>223291</xdr:rowOff>
    </xdr:from>
    <xdr:to>
      <xdr:col>18</xdr:col>
      <xdr:colOff>219808</xdr:colOff>
      <xdr:row>338</xdr:row>
      <xdr:rowOff>128552</xdr:rowOff>
    </xdr:to>
    <xdr:pic>
      <xdr:nvPicPr>
        <xdr:cNvPr id="30" name="Picture 29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5536" r="-305"/>
        <a:stretch>
          <a:fillRect/>
        </a:stretch>
      </xdr:blipFill>
      <xdr:spPr>
        <a:xfrm>
          <a:off x="4674577" y="60326041"/>
          <a:ext cx="2388577" cy="3715261"/>
        </a:xfrm>
        <a:prstGeom prst="rect">
          <a:avLst/>
        </a:prstGeom>
      </xdr:spPr>
    </xdr:pic>
    <xdr:clientData/>
  </xdr:twoCellAnchor>
  <xdr:twoCellAnchor editAs="oneCell">
    <xdr:from>
      <xdr:col>15</xdr:col>
      <xdr:colOff>85085</xdr:colOff>
      <xdr:row>237</xdr:row>
      <xdr:rowOff>107674</xdr:rowOff>
    </xdr:from>
    <xdr:to>
      <xdr:col>27</xdr:col>
      <xdr:colOff>79448</xdr:colOff>
      <xdr:row>252</xdr:row>
      <xdr:rowOff>147778</xdr:rowOff>
    </xdr:to>
    <xdr:pic>
      <xdr:nvPicPr>
        <xdr:cNvPr id="31" name="Picture 30" descr="jõutegurid vantidele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485760" y="55409824"/>
          <a:ext cx="6385638" cy="3564354"/>
        </a:xfrm>
        <a:prstGeom prst="rect">
          <a:avLst/>
        </a:prstGeom>
      </xdr:spPr>
    </xdr:pic>
    <xdr:clientData/>
  </xdr:twoCellAnchor>
  <xdr:twoCellAnchor editAs="oneCell">
    <xdr:from>
      <xdr:col>13</xdr:col>
      <xdr:colOff>212480</xdr:colOff>
      <xdr:row>295</xdr:row>
      <xdr:rowOff>168520</xdr:rowOff>
    </xdr:from>
    <xdr:to>
      <xdr:col>18</xdr:col>
      <xdr:colOff>227134</xdr:colOff>
      <xdr:row>311</xdr:row>
      <xdr:rowOff>95762</xdr:rowOff>
    </xdr:to>
    <xdr:pic>
      <xdr:nvPicPr>
        <xdr:cNvPr id="34" name="Picture 33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5643" r="-519"/>
        <a:stretch>
          <a:fillRect/>
        </a:stretch>
      </xdr:blipFill>
      <xdr:spPr>
        <a:xfrm>
          <a:off x="4674576" y="53874866"/>
          <a:ext cx="2395904" cy="37152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40774</xdr:colOff>
      <xdr:row>6</xdr:row>
      <xdr:rowOff>86647</xdr:rowOff>
    </xdr:from>
    <xdr:to>
      <xdr:col>21</xdr:col>
      <xdr:colOff>36475</xdr:colOff>
      <xdr:row>20</xdr:row>
      <xdr:rowOff>143732</xdr:rowOff>
    </xdr:to>
    <xdr:pic>
      <xdr:nvPicPr>
        <xdr:cNvPr id="2" name="Picture 1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74699" y="1686847"/>
          <a:ext cx="2957976" cy="3314635"/>
        </a:xfrm>
        <a:prstGeom prst="rect">
          <a:avLst/>
        </a:prstGeom>
      </xdr:spPr>
    </xdr:pic>
    <xdr:clientData/>
  </xdr:twoCellAnchor>
  <xdr:twoCellAnchor editAs="oneCell">
    <xdr:from>
      <xdr:col>15</xdr:col>
      <xdr:colOff>253254</xdr:colOff>
      <xdr:row>39</xdr:row>
      <xdr:rowOff>225857</xdr:rowOff>
    </xdr:from>
    <xdr:to>
      <xdr:col>22</xdr:col>
      <xdr:colOff>248955</xdr:colOff>
      <xdr:row>54</xdr:row>
      <xdr:rowOff>32234</xdr:rowOff>
    </xdr:to>
    <xdr:pic>
      <xdr:nvPicPr>
        <xdr:cNvPr id="3" name="Picture 2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63429" y="9446057"/>
          <a:ext cx="2957976" cy="3311577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53</xdr:row>
      <xdr:rowOff>84424</xdr:rowOff>
    </xdr:from>
    <xdr:to>
      <xdr:col>6</xdr:col>
      <xdr:colOff>454270</xdr:colOff>
      <xdr:row>55</xdr:row>
      <xdr:rowOff>46613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849" y="12581224"/>
          <a:ext cx="1385521" cy="419389"/>
        </a:xfrm>
        <a:prstGeom prst="rect">
          <a:avLst/>
        </a:prstGeom>
        <a:noFill/>
      </xdr:spPr>
    </xdr:pic>
    <xdr:clientData/>
  </xdr:twoCellAnchor>
  <xdr:twoCellAnchor>
    <xdr:from>
      <xdr:col>4</xdr:col>
      <xdr:colOff>191457</xdr:colOff>
      <xdr:row>91</xdr:row>
      <xdr:rowOff>59576</xdr:rowOff>
    </xdr:from>
    <xdr:to>
      <xdr:col>6</xdr:col>
      <xdr:colOff>462553</xdr:colOff>
      <xdr:row>93</xdr:row>
      <xdr:rowOff>21765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9132" y="21319376"/>
          <a:ext cx="1385521" cy="419389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219809</xdr:colOff>
      <xdr:row>70</xdr:row>
      <xdr:rowOff>131884</xdr:rowOff>
    </xdr:from>
    <xdr:to>
      <xdr:col>25</xdr:col>
      <xdr:colOff>168520</xdr:colOff>
      <xdr:row>85</xdr:row>
      <xdr:rowOff>83285</xdr:rowOff>
    </xdr:to>
    <xdr:pic>
      <xdr:nvPicPr>
        <xdr:cNvPr id="6" name="Picture 5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34984" y="16514884"/>
          <a:ext cx="3063386" cy="3437551"/>
        </a:xfrm>
        <a:prstGeom prst="rect">
          <a:avLst/>
        </a:prstGeom>
      </xdr:spPr>
    </xdr:pic>
    <xdr:clientData/>
  </xdr:twoCellAnchor>
  <xdr:twoCellAnchor editAs="oneCell">
    <xdr:from>
      <xdr:col>24</xdr:col>
      <xdr:colOff>480392</xdr:colOff>
      <xdr:row>81</xdr:row>
      <xdr:rowOff>36634</xdr:rowOff>
    </xdr:from>
    <xdr:to>
      <xdr:col>28</xdr:col>
      <xdr:colOff>41413</xdr:colOff>
      <xdr:row>97</xdr:row>
      <xdr:rowOff>127520</xdr:rowOff>
    </xdr:to>
    <xdr:pic>
      <xdr:nvPicPr>
        <xdr:cNvPr id="7" name="Picture 6" descr="tuulesuunad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62987" r="3874"/>
        <a:stretch>
          <a:fillRect/>
        </a:stretch>
      </xdr:blipFill>
      <xdr:spPr>
        <a:xfrm>
          <a:off x="10063370" y="19169460"/>
          <a:ext cx="2310847" cy="3726951"/>
        </a:xfrm>
        <a:prstGeom prst="rect">
          <a:avLst/>
        </a:prstGeom>
      </xdr:spPr>
    </xdr:pic>
    <xdr:clientData/>
  </xdr:twoCellAnchor>
  <xdr:twoCellAnchor>
    <xdr:from>
      <xdr:col>11</xdr:col>
      <xdr:colOff>363499</xdr:colOff>
      <xdr:row>82</xdr:row>
      <xdr:rowOff>80595</xdr:rowOff>
    </xdr:from>
    <xdr:to>
      <xdr:col>15</xdr:col>
      <xdr:colOff>43962</xdr:colOff>
      <xdr:row>88</xdr:row>
      <xdr:rowOff>131884</xdr:rowOff>
    </xdr:to>
    <xdr:grpSp>
      <xdr:nvGrpSpPr>
        <xdr:cNvPr id="8" name="Group 7"/>
        <xdr:cNvGrpSpPr/>
      </xdr:nvGrpSpPr>
      <xdr:grpSpPr>
        <a:xfrm>
          <a:off x="3668674" y="19263945"/>
          <a:ext cx="1585463" cy="1422889"/>
          <a:chOff x="6384074" y="21936808"/>
          <a:chExt cx="3003911" cy="1414096"/>
        </a:xfrm>
      </xdr:grpSpPr>
      <xdr:sp macro="" textlink="">
        <xdr:nvSpPr>
          <xdr:cNvPr id="9" name="Freeform 8"/>
          <xdr:cNvSpPr/>
        </xdr:nvSpPr>
        <xdr:spPr>
          <a:xfrm>
            <a:off x="7319596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sp macro="" textlink="">
        <xdr:nvSpPr>
          <xdr:cNvPr id="10" name="Freeform 9"/>
          <xdr:cNvSpPr/>
        </xdr:nvSpPr>
        <xdr:spPr>
          <a:xfrm rot="10800000">
            <a:off x="8806961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11" name="Straight Arrow Connector 10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2" name="TextBox 11"/>
          <xdr:cNvSpPr txBox="1"/>
        </xdr:nvSpPr>
        <xdr:spPr>
          <a:xfrm>
            <a:off x="6384074" y="22288500"/>
            <a:ext cx="1032663" cy="24178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11</xdr:col>
      <xdr:colOff>352008</xdr:colOff>
      <xdr:row>106</xdr:row>
      <xdr:rowOff>58616</xdr:rowOff>
    </xdr:from>
    <xdr:to>
      <xdr:col>16</xdr:col>
      <xdr:colOff>17254</xdr:colOff>
      <xdr:row>112</xdr:row>
      <xdr:rowOff>9535</xdr:rowOff>
    </xdr:to>
    <xdr:pic>
      <xdr:nvPicPr>
        <xdr:cNvPr id="13" name="Picture 12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57183" y="24747416"/>
          <a:ext cx="2046496" cy="1341569"/>
        </a:xfrm>
        <a:prstGeom prst="rect">
          <a:avLst/>
        </a:prstGeom>
      </xdr:spPr>
    </xdr:pic>
    <xdr:clientData/>
  </xdr:twoCellAnchor>
  <xdr:twoCellAnchor>
    <xdr:from>
      <xdr:col>4</xdr:col>
      <xdr:colOff>191457</xdr:colOff>
      <xdr:row>133</xdr:row>
      <xdr:rowOff>76141</xdr:rowOff>
    </xdr:from>
    <xdr:to>
      <xdr:col>6</xdr:col>
      <xdr:colOff>462553</xdr:colOff>
      <xdr:row>135</xdr:row>
      <xdr:rowOff>38330</xdr:rowOff>
    </xdr:to>
    <xdr:pic>
      <xdr:nvPicPr>
        <xdr:cNvPr id="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9132" y="31051441"/>
          <a:ext cx="1385521" cy="419389"/>
        </a:xfrm>
        <a:prstGeom prst="rect">
          <a:avLst/>
        </a:prstGeom>
        <a:noFill/>
      </xdr:spPr>
    </xdr:pic>
    <xdr:clientData/>
  </xdr:twoCellAnchor>
  <xdr:twoCellAnchor>
    <xdr:from>
      <xdr:col>11</xdr:col>
      <xdr:colOff>413659</xdr:colOff>
      <xdr:row>122</xdr:row>
      <xdr:rowOff>148636</xdr:rowOff>
    </xdr:from>
    <xdr:to>
      <xdr:col>16</xdr:col>
      <xdr:colOff>102579</xdr:colOff>
      <xdr:row>129</xdr:row>
      <xdr:rowOff>87922</xdr:rowOff>
    </xdr:to>
    <xdr:grpSp>
      <xdr:nvGrpSpPr>
        <xdr:cNvPr id="15" name="Group 14"/>
        <xdr:cNvGrpSpPr/>
      </xdr:nvGrpSpPr>
      <xdr:grpSpPr>
        <a:xfrm>
          <a:off x="3718834" y="28571236"/>
          <a:ext cx="2070170" cy="1539486"/>
          <a:chOff x="6440277" y="21936818"/>
          <a:chExt cx="2072249" cy="1414096"/>
        </a:xfrm>
      </xdr:grpSpPr>
      <xdr:sp macro="" textlink="">
        <xdr:nvSpPr>
          <xdr:cNvPr id="16" name="Freeform 15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17" name="Straight Arrow Connector 16"/>
          <xdr:cNvCxnSpPr/>
        </xdr:nvCxnSpPr>
        <xdr:spPr>
          <a:xfrm>
            <a:off x="6440277" y="22588904"/>
            <a:ext cx="842598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8" name="TextBox 17"/>
          <xdr:cNvSpPr txBox="1"/>
        </xdr:nvSpPr>
        <xdr:spPr>
          <a:xfrm>
            <a:off x="6577270" y="22261956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11</xdr:col>
      <xdr:colOff>359335</xdr:colOff>
      <xdr:row>146</xdr:row>
      <xdr:rowOff>1</xdr:rowOff>
    </xdr:from>
    <xdr:to>
      <xdr:col>16</xdr:col>
      <xdr:colOff>17254</xdr:colOff>
      <xdr:row>152</xdr:row>
      <xdr:rowOff>125300</xdr:rowOff>
    </xdr:to>
    <xdr:pic>
      <xdr:nvPicPr>
        <xdr:cNvPr id="19" name="Picture 18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64510" y="34042351"/>
          <a:ext cx="2039169" cy="1515949"/>
        </a:xfrm>
        <a:prstGeom prst="rect">
          <a:avLst/>
        </a:prstGeom>
      </xdr:spPr>
    </xdr:pic>
    <xdr:clientData/>
  </xdr:twoCellAnchor>
  <xdr:twoCellAnchor editAs="oneCell">
    <xdr:from>
      <xdr:col>11</xdr:col>
      <xdr:colOff>315056</xdr:colOff>
      <xdr:row>153</xdr:row>
      <xdr:rowOff>180069</xdr:rowOff>
    </xdr:from>
    <xdr:to>
      <xdr:col>17</xdr:col>
      <xdr:colOff>476249</xdr:colOff>
      <xdr:row>160</xdr:row>
      <xdr:rowOff>190309</xdr:rowOff>
    </xdr:to>
    <xdr:pic>
      <xdr:nvPicPr>
        <xdr:cNvPr id="20" name="Picture 19" descr="ümarate nurkade mõju tegur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620231" y="35841669"/>
          <a:ext cx="3018693" cy="166759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139212</xdr:colOff>
      <xdr:row>220</xdr:row>
      <xdr:rowOff>175846</xdr:rowOff>
    </xdr:from>
    <xdr:to>
      <xdr:col>25</xdr:col>
      <xdr:colOff>87923</xdr:colOff>
      <xdr:row>236</xdr:row>
      <xdr:rowOff>59074</xdr:rowOff>
    </xdr:to>
    <xdr:pic>
      <xdr:nvPicPr>
        <xdr:cNvPr id="21" name="Picture 20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54387" y="51591796"/>
          <a:ext cx="3063386" cy="3578928"/>
        </a:xfrm>
        <a:prstGeom prst="rect">
          <a:avLst/>
        </a:prstGeom>
      </xdr:spPr>
    </xdr:pic>
    <xdr:clientData/>
  </xdr:twoCellAnchor>
  <xdr:twoCellAnchor>
    <xdr:from>
      <xdr:col>4</xdr:col>
      <xdr:colOff>191457</xdr:colOff>
      <xdr:row>183</xdr:row>
      <xdr:rowOff>59576</xdr:rowOff>
    </xdr:from>
    <xdr:to>
      <xdr:col>6</xdr:col>
      <xdr:colOff>462553</xdr:colOff>
      <xdr:row>185</xdr:row>
      <xdr:rowOff>21765</xdr:rowOff>
    </xdr:to>
    <xdr:pic>
      <xdr:nvPicPr>
        <xdr:cNvPr id="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9132" y="42769676"/>
          <a:ext cx="1385521" cy="419389"/>
        </a:xfrm>
        <a:prstGeom prst="rect">
          <a:avLst/>
        </a:prstGeom>
        <a:noFill/>
      </xdr:spPr>
    </xdr:pic>
    <xdr:clientData/>
  </xdr:twoCellAnchor>
  <xdr:twoCellAnchor>
    <xdr:from>
      <xdr:col>12</xdr:col>
      <xdr:colOff>25331</xdr:colOff>
      <xdr:row>172</xdr:row>
      <xdr:rowOff>148642</xdr:rowOff>
    </xdr:from>
    <xdr:to>
      <xdr:col>14</xdr:col>
      <xdr:colOff>175847</xdr:colOff>
      <xdr:row>179</xdr:row>
      <xdr:rowOff>87928</xdr:rowOff>
    </xdr:to>
    <xdr:grpSp>
      <xdr:nvGrpSpPr>
        <xdr:cNvPr id="23" name="Group 22"/>
        <xdr:cNvGrpSpPr/>
      </xdr:nvGrpSpPr>
      <xdr:grpSpPr>
        <a:xfrm>
          <a:off x="3806756" y="40306042"/>
          <a:ext cx="1103016" cy="1539486"/>
          <a:chOff x="6528288" y="21936825"/>
          <a:chExt cx="1984238" cy="1414096"/>
        </a:xfrm>
      </xdr:grpSpPr>
      <xdr:sp macro="" textlink="">
        <xdr:nvSpPr>
          <xdr:cNvPr id="24" name="Freeform 23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25" name="Straight Arrow Connector 24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6" name="TextBox 25"/>
          <xdr:cNvSpPr txBox="1"/>
        </xdr:nvSpPr>
        <xdr:spPr>
          <a:xfrm>
            <a:off x="6569938" y="22188694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12</xdr:col>
      <xdr:colOff>425278</xdr:colOff>
      <xdr:row>191</xdr:row>
      <xdr:rowOff>139213</xdr:rowOff>
    </xdr:from>
    <xdr:to>
      <xdr:col>19</xdr:col>
      <xdr:colOff>14480</xdr:colOff>
      <xdr:row>200</xdr:row>
      <xdr:rowOff>181707</xdr:rowOff>
    </xdr:to>
    <xdr:pic>
      <xdr:nvPicPr>
        <xdr:cNvPr id="27" name="Picture 26" descr="otsa mõju tegur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06703" y="44716213"/>
          <a:ext cx="2922952" cy="2176094"/>
        </a:xfrm>
        <a:prstGeom prst="rect">
          <a:avLst/>
        </a:prstGeom>
      </xdr:spPr>
    </xdr:pic>
    <xdr:clientData/>
  </xdr:twoCellAnchor>
  <xdr:twoCellAnchor editAs="oneCell">
    <xdr:from>
      <xdr:col>12</xdr:col>
      <xdr:colOff>461912</xdr:colOff>
      <xdr:row>202</xdr:row>
      <xdr:rowOff>14653</xdr:rowOff>
    </xdr:from>
    <xdr:to>
      <xdr:col>21</xdr:col>
      <xdr:colOff>200716</xdr:colOff>
      <xdr:row>210</xdr:row>
      <xdr:rowOff>146347</xdr:rowOff>
    </xdr:to>
    <xdr:pic>
      <xdr:nvPicPr>
        <xdr:cNvPr id="28" name="Picture 27" descr="ümarate nurkade mõju tegur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243337" y="47182453"/>
          <a:ext cx="3653579" cy="2017644"/>
        </a:xfrm>
        <a:prstGeom prst="rect">
          <a:avLst/>
        </a:prstGeom>
      </xdr:spPr>
    </xdr:pic>
    <xdr:clientData/>
  </xdr:twoCellAnchor>
  <xdr:twoCellAnchor editAs="oneCell">
    <xdr:from>
      <xdr:col>15</xdr:col>
      <xdr:colOff>66261</xdr:colOff>
      <xdr:row>255</xdr:row>
      <xdr:rowOff>103191</xdr:rowOff>
    </xdr:from>
    <xdr:to>
      <xdr:col>20</xdr:col>
      <xdr:colOff>99391</xdr:colOff>
      <xdr:row>271</xdr:row>
      <xdr:rowOff>32917</xdr:rowOff>
    </xdr:to>
    <xdr:pic>
      <xdr:nvPicPr>
        <xdr:cNvPr id="29" name="Picture 28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5299" r="-354"/>
        <a:stretch>
          <a:fillRect/>
        </a:stretch>
      </xdr:blipFill>
      <xdr:spPr>
        <a:xfrm>
          <a:off x="5284304" y="60309474"/>
          <a:ext cx="2435087" cy="3756291"/>
        </a:xfrm>
        <a:prstGeom prst="rect">
          <a:avLst/>
        </a:prstGeom>
      </xdr:spPr>
    </xdr:pic>
    <xdr:clientData/>
  </xdr:twoCellAnchor>
  <xdr:twoCellAnchor editAs="oneCell">
    <xdr:from>
      <xdr:col>15</xdr:col>
      <xdr:colOff>85085</xdr:colOff>
      <xdr:row>239</xdr:row>
      <xdr:rowOff>107674</xdr:rowOff>
    </xdr:from>
    <xdr:to>
      <xdr:col>27</xdr:col>
      <xdr:colOff>79448</xdr:colOff>
      <xdr:row>254</xdr:row>
      <xdr:rowOff>144847</xdr:rowOff>
    </xdr:to>
    <xdr:pic>
      <xdr:nvPicPr>
        <xdr:cNvPr id="30" name="Picture 29" descr="jõutegurid vantidele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295260" y="55924174"/>
          <a:ext cx="6385638" cy="3561423"/>
        </a:xfrm>
        <a:prstGeom prst="rect">
          <a:avLst/>
        </a:prstGeom>
      </xdr:spPr>
    </xdr:pic>
    <xdr:clientData/>
  </xdr:twoCellAnchor>
  <xdr:twoCellAnchor editAs="oneCell">
    <xdr:from>
      <xdr:col>16</xdr:col>
      <xdr:colOff>171451</xdr:colOff>
      <xdr:row>274</xdr:row>
      <xdr:rowOff>0</xdr:rowOff>
    </xdr:from>
    <xdr:to>
      <xdr:col>23</xdr:col>
      <xdr:colOff>86600</xdr:colOff>
      <xdr:row>284</xdr:row>
      <xdr:rowOff>57830</xdr:rowOff>
    </xdr:to>
    <xdr:pic>
      <xdr:nvPicPr>
        <xdr:cNvPr id="31" name="Picture 30" descr="tuulejõud juhtmetele_1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57876" y="64065150"/>
          <a:ext cx="3086974" cy="2400980"/>
        </a:xfrm>
        <a:prstGeom prst="rect">
          <a:avLst/>
        </a:prstGeom>
      </xdr:spPr>
    </xdr:pic>
    <xdr:clientData/>
  </xdr:twoCellAnchor>
  <xdr:twoCellAnchor editAs="oneCell">
    <xdr:from>
      <xdr:col>16</xdr:col>
      <xdr:colOff>92851</xdr:colOff>
      <xdr:row>284</xdr:row>
      <xdr:rowOff>33942</xdr:rowOff>
    </xdr:from>
    <xdr:to>
      <xdr:col>22</xdr:col>
      <xdr:colOff>571500</xdr:colOff>
      <xdr:row>299</xdr:row>
      <xdr:rowOff>8199</xdr:rowOff>
    </xdr:to>
    <xdr:pic>
      <xdr:nvPicPr>
        <xdr:cNvPr id="32" name="Picture 31" descr="tuulejõud juhtmetele_2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779276" y="66442242"/>
          <a:ext cx="2964674" cy="3517557"/>
        </a:xfrm>
        <a:prstGeom prst="rect">
          <a:avLst/>
        </a:prstGeom>
      </xdr:spPr>
    </xdr:pic>
    <xdr:clientData/>
  </xdr:twoCellAnchor>
  <xdr:twoCellAnchor editAs="oneCell">
    <xdr:from>
      <xdr:col>22</xdr:col>
      <xdr:colOff>670680</xdr:colOff>
      <xdr:row>288</xdr:row>
      <xdr:rowOff>47625</xdr:rowOff>
    </xdr:from>
    <xdr:to>
      <xdr:col>27</xdr:col>
      <xdr:colOff>658053</xdr:colOff>
      <xdr:row>292</xdr:row>
      <xdr:rowOff>38329</xdr:rowOff>
    </xdr:to>
    <xdr:pic>
      <xdr:nvPicPr>
        <xdr:cNvPr id="33" name="Picture 32" descr="juhtme tuuletakistustegur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43130" y="67389375"/>
          <a:ext cx="3416373" cy="943204"/>
        </a:xfrm>
        <a:prstGeom prst="rect">
          <a:avLst/>
        </a:prstGeom>
      </xdr:spPr>
    </xdr:pic>
    <xdr:clientData/>
  </xdr:twoCellAnchor>
  <xdr:twoCellAnchor editAs="oneCell">
    <xdr:from>
      <xdr:col>22</xdr:col>
      <xdr:colOff>619125</xdr:colOff>
      <xdr:row>292</xdr:row>
      <xdr:rowOff>11392</xdr:rowOff>
    </xdr:from>
    <xdr:to>
      <xdr:col>28</xdr:col>
      <xdr:colOff>458054</xdr:colOff>
      <xdr:row>295</xdr:row>
      <xdr:rowOff>38258</xdr:rowOff>
    </xdr:to>
    <xdr:pic>
      <xdr:nvPicPr>
        <xdr:cNvPr id="34" name="Picture 33" descr="juhtme tuuletakistustegur_jää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791575" y="68305642"/>
          <a:ext cx="3953729" cy="731716"/>
        </a:xfrm>
        <a:prstGeom prst="rect">
          <a:avLst/>
        </a:prstGeom>
      </xdr:spPr>
    </xdr:pic>
    <xdr:clientData/>
  </xdr:twoCellAnchor>
  <xdr:twoCellAnchor editAs="oneCell">
    <xdr:from>
      <xdr:col>16</xdr:col>
      <xdr:colOff>70605</xdr:colOff>
      <xdr:row>341</xdr:row>
      <xdr:rowOff>219075</xdr:rowOff>
    </xdr:from>
    <xdr:to>
      <xdr:col>23</xdr:col>
      <xdr:colOff>315153</xdr:colOff>
      <xdr:row>345</xdr:row>
      <xdr:rowOff>209780</xdr:rowOff>
    </xdr:to>
    <xdr:pic>
      <xdr:nvPicPr>
        <xdr:cNvPr id="35" name="Picture 34" descr="juhtme tuuletakistustegur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757030" y="80095725"/>
          <a:ext cx="3416373" cy="943205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</xdr:colOff>
      <xdr:row>345</xdr:row>
      <xdr:rowOff>182842</xdr:rowOff>
    </xdr:from>
    <xdr:to>
      <xdr:col>24</xdr:col>
      <xdr:colOff>115154</xdr:colOff>
      <xdr:row>348</xdr:row>
      <xdr:rowOff>209708</xdr:rowOff>
    </xdr:to>
    <xdr:pic>
      <xdr:nvPicPr>
        <xdr:cNvPr id="36" name="Picture 35" descr="juhtme tuuletakistustegur_jää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05475" y="81011992"/>
          <a:ext cx="3953729" cy="73171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365</xdr:row>
      <xdr:rowOff>0</xdr:rowOff>
    </xdr:from>
    <xdr:to>
      <xdr:col>22</xdr:col>
      <xdr:colOff>66675</xdr:colOff>
      <xdr:row>369</xdr:row>
      <xdr:rowOff>179410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90975" y="85591650"/>
          <a:ext cx="4248150" cy="11128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200025</xdr:colOff>
      <xdr:row>369</xdr:row>
      <xdr:rowOff>161926</xdr:rowOff>
    </xdr:from>
    <xdr:to>
      <xdr:col>22</xdr:col>
      <xdr:colOff>47625</xdr:colOff>
      <xdr:row>374</xdr:row>
      <xdr:rowOff>161926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81450" y="86687026"/>
          <a:ext cx="4238625" cy="121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22</xdr:col>
      <xdr:colOff>219076</xdr:colOff>
      <xdr:row>366</xdr:row>
      <xdr:rowOff>104775</xdr:rowOff>
    </xdr:from>
    <xdr:to>
      <xdr:col>25</xdr:col>
      <xdr:colOff>7334</xdr:colOff>
      <xdr:row>370</xdr:row>
      <xdr:rowOff>219074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391526" y="85925025"/>
          <a:ext cx="1845658" cy="10667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200025</xdr:colOff>
      <xdr:row>313</xdr:row>
      <xdr:rowOff>161926</xdr:rowOff>
    </xdr:from>
    <xdr:to>
      <xdr:col>22</xdr:col>
      <xdr:colOff>47625</xdr:colOff>
      <xdr:row>318</xdr:row>
      <xdr:rowOff>161926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81450" y="73447276"/>
          <a:ext cx="4238625" cy="121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171451</xdr:colOff>
      <xdr:row>385</xdr:row>
      <xdr:rowOff>0</xdr:rowOff>
    </xdr:from>
    <xdr:to>
      <xdr:col>23</xdr:col>
      <xdr:colOff>86600</xdr:colOff>
      <xdr:row>395</xdr:row>
      <xdr:rowOff>57830</xdr:rowOff>
    </xdr:to>
    <xdr:pic>
      <xdr:nvPicPr>
        <xdr:cNvPr id="41" name="Picture 40" descr="tuulejõud juhtmetele_1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57876" y="90316050"/>
          <a:ext cx="3086974" cy="2400980"/>
        </a:xfrm>
        <a:prstGeom prst="rect">
          <a:avLst/>
        </a:prstGeom>
      </xdr:spPr>
    </xdr:pic>
    <xdr:clientData/>
  </xdr:twoCellAnchor>
  <xdr:twoCellAnchor editAs="oneCell">
    <xdr:from>
      <xdr:col>17</xdr:col>
      <xdr:colOff>165855</xdr:colOff>
      <xdr:row>397</xdr:row>
      <xdr:rowOff>142875</xdr:rowOff>
    </xdr:from>
    <xdr:to>
      <xdr:col>24</xdr:col>
      <xdr:colOff>200853</xdr:colOff>
      <xdr:row>401</xdr:row>
      <xdr:rowOff>133578</xdr:rowOff>
    </xdr:to>
    <xdr:pic>
      <xdr:nvPicPr>
        <xdr:cNvPr id="42" name="Picture 41" descr="juhtme tuuletakistustegur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328530" y="93259275"/>
          <a:ext cx="3416373" cy="943203"/>
        </a:xfrm>
        <a:prstGeom prst="rect">
          <a:avLst/>
        </a:prstGeom>
      </xdr:spPr>
    </xdr:pic>
    <xdr:clientData/>
  </xdr:twoCellAnchor>
  <xdr:twoCellAnchor>
    <xdr:from>
      <xdr:col>29</xdr:col>
      <xdr:colOff>581025</xdr:colOff>
      <xdr:row>334</xdr:row>
      <xdr:rowOff>133350</xdr:rowOff>
    </xdr:from>
    <xdr:to>
      <xdr:col>30</xdr:col>
      <xdr:colOff>180975</xdr:colOff>
      <xdr:row>335</xdr:row>
      <xdr:rowOff>171450</xdr:rowOff>
    </xdr:to>
    <xdr:sp macro="" textlink="">
      <xdr:nvSpPr>
        <xdr:cNvPr id="43" name="TextBox 42"/>
        <xdr:cNvSpPr txBox="1"/>
      </xdr:nvSpPr>
      <xdr:spPr>
        <a:xfrm>
          <a:off x="13554075" y="78390750"/>
          <a:ext cx="2857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t-EE" sz="1100"/>
            <a:t>V</a:t>
          </a:r>
        </a:p>
      </xdr:txBody>
    </xdr:sp>
    <xdr:clientData/>
  </xdr:twoCellAnchor>
  <xdr:twoCellAnchor>
    <xdr:from>
      <xdr:col>16</xdr:col>
      <xdr:colOff>171451</xdr:colOff>
      <xdr:row>327</xdr:row>
      <xdr:rowOff>142875</xdr:rowOff>
    </xdr:from>
    <xdr:to>
      <xdr:col>30</xdr:col>
      <xdr:colOff>76200</xdr:colOff>
      <xdr:row>339</xdr:row>
      <xdr:rowOff>57830</xdr:rowOff>
    </xdr:to>
    <xdr:grpSp>
      <xdr:nvGrpSpPr>
        <xdr:cNvPr id="44" name="Group 43"/>
        <xdr:cNvGrpSpPr/>
      </xdr:nvGrpSpPr>
      <xdr:grpSpPr>
        <a:xfrm>
          <a:off x="5857876" y="76761975"/>
          <a:ext cx="7877174" cy="2715305"/>
          <a:chOff x="5869886" y="86124636"/>
          <a:chExt cx="7914031" cy="2747607"/>
        </a:xfrm>
      </xdr:grpSpPr>
      <xdr:cxnSp macro="">
        <xdr:nvCxnSpPr>
          <xdr:cNvPr id="45" name="Straight Arrow Connector 44"/>
          <xdr:cNvCxnSpPr/>
        </xdr:nvCxnSpPr>
        <xdr:spPr>
          <a:xfrm flipH="1">
            <a:off x="12637604" y="87838308"/>
            <a:ext cx="982732" cy="203338"/>
          </a:xfrm>
          <a:prstGeom prst="straightConnector1">
            <a:avLst/>
          </a:prstGeom>
          <a:ln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46" name="Group 92"/>
          <xdr:cNvGrpSpPr/>
        </xdr:nvGrpSpPr>
        <xdr:grpSpPr>
          <a:xfrm>
            <a:off x="5869886" y="86124636"/>
            <a:ext cx="7914031" cy="2747607"/>
            <a:chOff x="5869886" y="86124636"/>
            <a:chExt cx="7914031" cy="2747607"/>
          </a:xfrm>
        </xdr:grpSpPr>
        <xdr:pic>
          <xdr:nvPicPr>
            <xdr:cNvPr id="48" name="Picture 47" descr="tuulejõud juhtmetele_1.PNG"/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/>
            <a:stretch>
              <a:fillRect/>
            </a:stretch>
          </xdr:blipFill>
          <xdr:spPr>
            <a:xfrm>
              <a:off x="5869886" y="86445587"/>
              <a:ext cx="3112236" cy="2426656"/>
            </a:xfrm>
            <a:prstGeom prst="rect">
              <a:avLst/>
            </a:prstGeom>
          </xdr:spPr>
        </xdr:pic>
        <xdr:grpSp>
          <xdr:nvGrpSpPr>
            <xdr:cNvPr id="49" name="Group 91"/>
            <xdr:cNvGrpSpPr/>
          </xdr:nvGrpSpPr>
          <xdr:grpSpPr>
            <a:xfrm>
              <a:off x="9524172" y="86124636"/>
              <a:ext cx="4259745" cy="2534064"/>
              <a:chOff x="9486900" y="85220175"/>
              <a:chExt cx="4248150" cy="2505075"/>
            </a:xfrm>
          </xdr:grpSpPr>
          <xdr:cxnSp macro="">
            <xdr:nvCxnSpPr>
              <xdr:cNvPr id="50" name="Straight Connector 49"/>
              <xdr:cNvCxnSpPr/>
            </xdr:nvCxnSpPr>
            <xdr:spPr>
              <a:xfrm>
                <a:off x="9486900" y="86591775"/>
                <a:ext cx="1628775" cy="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1" name="Rectangle 50"/>
              <xdr:cNvSpPr/>
            </xdr:nvSpPr>
            <xdr:spPr>
              <a:xfrm>
                <a:off x="11068050" y="86382225"/>
                <a:ext cx="523875" cy="476250"/>
              </a:xfrm>
              <a:prstGeom prst="rect">
                <a:avLst/>
              </a:prstGeom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vertOverflow="clip" rtlCol="0" anchor="ctr"/>
              <a:lstStyle/>
              <a:p>
                <a:pPr algn="ctr"/>
                <a:r>
                  <a:rPr lang="et-EE" sz="1100"/>
                  <a:t>mast</a:t>
                </a:r>
              </a:p>
            </xdr:txBody>
          </xdr:sp>
          <xdr:cxnSp macro="">
            <xdr:nvCxnSpPr>
              <xdr:cNvPr id="52" name="Straight Connector 51"/>
              <xdr:cNvCxnSpPr>
                <a:stCxn id="51" idx="3"/>
              </xdr:cNvCxnSpPr>
            </xdr:nvCxnSpPr>
            <xdr:spPr>
              <a:xfrm flipV="1">
                <a:off x="11591925" y="86610826"/>
                <a:ext cx="581025" cy="9524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3" name="Straight Connector 52"/>
              <xdr:cNvCxnSpPr>
                <a:stCxn id="51" idx="3"/>
              </xdr:cNvCxnSpPr>
            </xdr:nvCxnSpPr>
            <xdr:spPr>
              <a:xfrm>
                <a:off x="11591925" y="86620350"/>
                <a:ext cx="2143125" cy="110490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4" name="Straight Connector 53"/>
              <xdr:cNvCxnSpPr/>
            </xdr:nvCxnSpPr>
            <xdr:spPr>
              <a:xfrm flipV="1">
                <a:off x="12582525" y="86506050"/>
                <a:ext cx="447675" cy="619125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" name="Straight Arrow Connector 54"/>
              <xdr:cNvCxnSpPr/>
            </xdr:nvCxnSpPr>
            <xdr:spPr>
              <a:xfrm>
                <a:off x="11353800" y="85220175"/>
                <a:ext cx="0" cy="809625"/>
              </a:xfrm>
              <a:prstGeom prst="straightConnector1">
                <a:avLst/>
              </a:prstGeom>
              <a:ln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" name="Straight Arrow Connector 55"/>
              <xdr:cNvCxnSpPr/>
            </xdr:nvCxnSpPr>
            <xdr:spPr>
              <a:xfrm>
                <a:off x="11182350" y="85658325"/>
                <a:ext cx="800100" cy="0"/>
              </a:xfrm>
              <a:prstGeom prst="straightConnector1">
                <a:avLst/>
              </a:prstGeom>
              <a:ln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7" name="TextBox 56"/>
              <xdr:cNvSpPr txBox="1"/>
            </xdr:nvSpPr>
            <xdr:spPr>
              <a:xfrm>
                <a:off x="11649075" y="85448775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t-EE" sz="1100"/>
                  <a:t>x</a:t>
                </a:r>
              </a:p>
            </xdr:txBody>
          </xdr:sp>
          <xdr:sp macro="" textlink="">
            <xdr:nvSpPr>
              <xdr:cNvPr id="58" name="TextBox 57"/>
              <xdr:cNvSpPr txBox="1"/>
            </xdr:nvSpPr>
            <xdr:spPr>
              <a:xfrm>
                <a:off x="11039475" y="85239225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t-EE" sz="1100"/>
                  <a:t>y</a:t>
                </a:r>
              </a:p>
            </xdr:txBody>
          </xdr:sp>
          <xdr:sp macro="" textlink="">
            <xdr:nvSpPr>
              <xdr:cNvPr id="59" name="TextBox 58"/>
              <xdr:cNvSpPr txBox="1"/>
            </xdr:nvSpPr>
            <xdr:spPr>
              <a:xfrm>
                <a:off x="11849100" y="86582250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t-EE" sz="1100"/>
                  <a:t>α</a:t>
                </a:r>
              </a:p>
            </xdr:txBody>
          </xdr:sp>
          <xdr:sp macro="" textlink="">
            <xdr:nvSpPr>
              <xdr:cNvPr id="60" name="TextBox 59"/>
              <xdr:cNvSpPr txBox="1"/>
            </xdr:nvSpPr>
            <xdr:spPr>
              <a:xfrm>
                <a:off x="12753975" y="86772750"/>
                <a:ext cx="285750" cy="2667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wrap="square" rtlCol="0" anchor="t"/>
              <a:lstStyle/>
              <a:p>
                <a:r>
                  <a:rPr lang="el-GR" sz="1100"/>
                  <a:t>φ</a:t>
                </a:r>
                <a:endParaRPr lang="et-EE" sz="1100"/>
              </a:p>
            </xdr:txBody>
          </xdr:sp>
          <xdr:sp macro="" textlink="">
            <xdr:nvSpPr>
              <xdr:cNvPr id="61" name="Arc 60"/>
              <xdr:cNvSpPr/>
            </xdr:nvSpPr>
            <xdr:spPr>
              <a:xfrm>
                <a:off x="12582525" y="86744175"/>
                <a:ext cx="552450" cy="571499"/>
              </a:xfrm>
              <a:prstGeom prst="arc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vertOverflow="clip" rtlCol="0" anchor="ctr"/>
              <a:lstStyle/>
              <a:p>
                <a:pPr algn="ctr"/>
                <a:endParaRPr lang="et-EE" sz="1100"/>
              </a:p>
            </xdr:txBody>
          </xdr:sp>
        </xdr:grpSp>
      </xdr:grpSp>
      <xdr:sp macro="" textlink="">
        <xdr:nvSpPr>
          <xdr:cNvPr id="47" name="Arc 46"/>
          <xdr:cNvSpPr/>
        </xdr:nvSpPr>
        <xdr:spPr>
          <a:xfrm rot="5689720">
            <a:off x="11785236" y="87301366"/>
            <a:ext cx="487440" cy="437067"/>
          </a:xfrm>
          <a:prstGeom prst="arc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</xdr:grpSp>
    <xdr:clientData/>
  </xdr:twoCellAnchor>
  <xdr:twoCellAnchor editAs="oneCell">
    <xdr:from>
      <xdr:col>14</xdr:col>
      <xdr:colOff>165653</xdr:colOff>
      <xdr:row>21</xdr:row>
      <xdr:rowOff>132522</xdr:rowOff>
    </xdr:from>
    <xdr:to>
      <xdr:col>19</xdr:col>
      <xdr:colOff>414131</xdr:colOff>
      <xdr:row>37</xdr:row>
      <xdr:rowOff>95379</xdr:rowOff>
    </xdr:to>
    <xdr:pic>
      <xdr:nvPicPr>
        <xdr:cNvPr id="62" name="Picture 61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4746" r="-2902"/>
        <a:stretch>
          <a:fillRect/>
        </a:stretch>
      </xdr:blipFill>
      <xdr:spPr>
        <a:xfrm>
          <a:off x="4903305" y="5176631"/>
          <a:ext cx="2650435" cy="3756291"/>
        </a:xfrm>
        <a:prstGeom prst="rect">
          <a:avLst/>
        </a:prstGeom>
      </xdr:spPr>
    </xdr:pic>
    <xdr:clientData/>
  </xdr:twoCellAnchor>
  <xdr:twoCellAnchor editAs="oneCell">
    <xdr:from>
      <xdr:col>14</xdr:col>
      <xdr:colOff>455544</xdr:colOff>
      <xdr:row>55</xdr:row>
      <xdr:rowOff>74543</xdr:rowOff>
    </xdr:from>
    <xdr:to>
      <xdr:col>20</xdr:col>
      <xdr:colOff>41414</xdr:colOff>
      <xdr:row>71</xdr:row>
      <xdr:rowOff>145073</xdr:rowOff>
    </xdr:to>
    <xdr:pic>
      <xdr:nvPicPr>
        <xdr:cNvPr id="63" name="Picture 62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4865" r="-398"/>
        <a:stretch>
          <a:fillRect/>
        </a:stretch>
      </xdr:blipFill>
      <xdr:spPr>
        <a:xfrm>
          <a:off x="5193196" y="13152782"/>
          <a:ext cx="2468218" cy="3756291"/>
        </a:xfrm>
        <a:prstGeom prst="rect">
          <a:avLst/>
        </a:prstGeom>
      </xdr:spPr>
    </xdr:pic>
    <xdr:clientData/>
  </xdr:twoCellAnchor>
  <xdr:twoCellAnchor editAs="oneCell">
    <xdr:from>
      <xdr:col>16</xdr:col>
      <xdr:colOff>430695</xdr:colOff>
      <xdr:row>110</xdr:row>
      <xdr:rowOff>165652</xdr:rowOff>
    </xdr:from>
    <xdr:to>
      <xdr:col>22</xdr:col>
      <xdr:colOff>339587</xdr:colOff>
      <xdr:row>126</xdr:row>
      <xdr:rowOff>145074</xdr:rowOff>
    </xdr:to>
    <xdr:pic>
      <xdr:nvPicPr>
        <xdr:cNvPr id="64" name="Picture 63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5462" r="-280"/>
        <a:stretch>
          <a:fillRect/>
        </a:stretch>
      </xdr:blipFill>
      <xdr:spPr>
        <a:xfrm>
          <a:off x="6129130" y="26015674"/>
          <a:ext cx="2418522" cy="3756291"/>
        </a:xfrm>
        <a:prstGeom prst="rect">
          <a:avLst/>
        </a:prstGeom>
      </xdr:spPr>
    </xdr:pic>
    <xdr:clientData/>
  </xdr:twoCellAnchor>
  <xdr:twoCellAnchor editAs="oneCell">
    <xdr:from>
      <xdr:col>15</xdr:col>
      <xdr:colOff>16566</xdr:colOff>
      <xdr:row>159</xdr:row>
      <xdr:rowOff>165652</xdr:rowOff>
    </xdr:from>
    <xdr:to>
      <xdr:col>21</xdr:col>
      <xdr:colOff>74543</xdr:colOff>
      <xdr:row>175</xdr:row>
      <xdr:rowOff>128508</xdr:rowOff>
    </xdr:to>
    <xdr:pic>
      <xdr:nvPicPr>
        <xdr:cNvPr id="65" name="Picture 64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4746" r="-1710"/>
        <a:stretch>
          <a:fillRect/>
        </a:stretch>
      </xdr:blipFill>
      <xdr:spPr>
        <a:xfrm>
          <a:off x="5234609" y="37627891"/>
          <a:ext cx="2567608" cy="3756291"/>
        </a:xfrm>
        <a:prstGeom prst="rect">
          <a:avLst/>
        </a:prstGeom>
      </xdr:spPr>
    </xdr:pic>
    <xdr:clientData/>
  </xdr:twoCellAnchor>
  <xdr:twoCellAnchor editAs="oneCell">
    <xdr:from>
      <xdr:col>14</xdr:col>
      <xdr:colOff>323022</xdr:colOff>
      <xdr:row>297</xdr:row>
      <xdr:rowOff>49696</xdr:rowOff>
    </xdr:from>
    <xdr:to>
      <xdr:col>19</xdr:col>
      <xdr:colOff>438977</xdr:colOff>
      <xdr:row>312</xdr:row>
      <xdr:rowOff>211335</xdr:rowOff>
    </xdr:to>
    <xdr:pic>
      <xdr:nvPicPr>
        <xdr:cNvPr id="66" name="Picture 65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4583" r="-831"/>
        <a:stretch>
          <a:fillRect/>
        </a:stretch>
      </xdr:blipFill>
      <xdr:spPr>
        <a:xfrm>
          <a:off x="5060674" y="70244805"/>
          <a:ext cx="2517912" cy="3756291"/>
        </a:xfrm>
        <a:prstGeom prst="rect">
          <a:avLst/>
        </a:prstGeom>
      </xdr:spPr>
    </xdr:pic>
    <xdr:clientData/>
  </xdr:twoCellAnchor>
  <xdr:twoCellAnchor editAs="oneCell">
    <xdr:from>
      <xdr:col>14</xdr:col>
      <xdr:colOff>331304</xdr:colOff>
      <xdr:row>349</xdr:row>
      <xdr:rowOff>124238</xdr:rowOff>
    </xdr:from>
    <xdr:to>
      <xdr:col>19</xdr:col>
      <xdr:colOff>455543</xdr:colOff>
      <xdr:row>365</xdr:row>
      <xdr:rowOff>37399</xdr:rowOff>
    </xdr:to>
    <xdr:pic>
      <xdr:nvPicPr>
        <xdr:cNvPr id="67" name="Picture 66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4464" r="-832"/>
        <a:stretch>
          <a:fillRect/>
        </a:stretch>
      </xdr:blipFill>
      <xdr:spPr>
        <a:xfrm>
          <a:off x="5068956" y="82743260"/>
          <a:ext cx="2526196" cy="3756291"/>
        </a:xfrm>
        <a:prstGeom prst="rect">
          <a:avLst/>
        </a:prstGeom>
      </xdr:spPr>
    </xdr:pic>
    <xdr:clientData/>
  </xdr:twoCellAnchor>
  <xdr:twoCellAnchor editAs="oneCell">
    <xdr:from>
      <xdr:col>14</xdr:col>
      <xdr:colOff>140804</xdr:colOff>
      <xdr:row>404</xdr:row>
      <xdr:rowOff>115956</xdr:rowOff>
    </xdr:from>
    <xdr:to>
      <xdr:col>19</xdr:col>
      <xdr:colOff>215347</xdr:colOff>
      <xdr:row>420</xdr:row>
      <xdr:rowOff>12551</xdr:rowOff>
    </xdr:to>
    <xdr:pic>
      <xdr:nvPicPr>
        <xdr:cNvPr id="68" name="Picture 67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4584" r="-235"/>
        <a:stretch>
          <a:fillRect/>
        </a:stretch>
      </xdr:blipFill>
      <xdr:spPr>
        <a:xfrm>
          <a:off x="4878456" y="95854630"/>
          <a:ext cx="2476500" cy="37562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213634</xdr:colOff>
      <xdr:row>45</xdr:row>
      <xdr:rowOff>167685</xdr:rowOff>
    </xdr:from>
    <xdr:to>
      <xdr:col>15</xdr:col>
      <xdr:colOff>304800</xdr:colOff>
      <xdr:row>49</xdr:row>
      <xdr:rowOff>19050</xdr:rowOff>
    </xdr:to>
    <xdr:grpSp>
      <xdr:nvGrpSpPr>
        <xdr:cNvPr id="10" name="Group 9"/>
        <xdr:cNvGrpSpPr/>
      </xdr:nvGrpSpPr>
      <xdr:grpSpPr>
        <a:xfrm>
          <a:off x="4185559" y="10854735"/>
          <a:ext cx="1519916" cy="765765"/>
          <a:chOff x="6440277" y="21936818"/>
          <a:chExt cx="2072249" cy="1414096"/>
        </a:xfrm>
      </xdr:grpSpPr>
      <xdr:sp macro="" textlink="">
        <xdr:nvSpPr>
          <xdr:cNvPr id="11" name="Freeform 10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12" name="Straight Arrow Connector 11"/>
          <xdr:cNvCxnSpPr/>
        </xdr:nvCxnSpPr>
        <xdr:spPr>
          <a:xfrm>
            <a:off x="6440277" y="22588904"/>
            <a:ext cx="842598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3" name="TextBox 12"/>
          <xdr:cNvSpPr txBox="1"/>
        </xdr:nvSpPr>
        <xdr:spPr>
          <a:xfrm>
            <a:off x="6577270" y="22261956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19</xdr:col>
      <xdr:colOff>367812</xdr:colOff>
      <xdr:row>39</xdr:row>
      <xdr:rowOff>200025</xdr:rowOff>
    </xdr:from>
    <xdr:to>
      <xdr:col>25</xdr:col>
      <xdr:colOff>316523</xdr:colOff>
      <xdr:row>55</xdr:row>
      <xdr:rowOff>61272</xdr:rowOff>
    </xdr:to>
    <xdr:pic>
      <xdr:nvPicPr>
        <xdr:cNvPr id="16" name="Picture 15" descr="masti_skeem_2x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73487" y="9477375"/>
          <a:ext cx="3063386" cy="3595047"/>
        </a:xfrm>
        <a:prstGeom prst="rect">
          <a:avLst/>
        </a:prstGeom>
      </xdr:spPr>
    </xdr:pic>
    <xdr:clientData/>
  </xdr:twoCellAnchor>
  <xdr:twoCellAnchor>
    <xdr:from>
      <xdr:col>12</xdr:col>
      <xdr:colOff>133350</xdr:colOff>
      <xdr:row>57</xdr:row>
      <xdr:rowOff>5767</xdr:rowOff>
    </xdr:from>
    <xdr:to>
      <xdr:col>14</xdr:col>
      <xdr:colOff>428625</xdr:colOff>
      <xdr:row>60</xdr:row>
      <xdr:rowOff>85725</xdr:rowOff>
    </xdr:to>
    <xdr:grpSp>
      <xdr:nvGrpSpPr>
        <xdr:cNvPr id="18" name="Group 17"/>
        <xdr:cNvGrpSpPr/>
      </xdr:nvGrpSpPr>
      <xdr:grpSpPr>
        <a:xfrm>
          <a:off x="4105275" y="13474117"/>
          <a:ext cx="1247775" cy="765758"/>
          <a:chOff x="6528288" y="21936825"/>
          <a:chExt cx="1984238" cy="1414096"/>
        </a:xfrm>
      </xdr:grpSpPr>
      <xdr:sp macro="" textlink="">
        <xdr:nvSpPr>
          <xdr:cNvPr id="19" name="Freeform 18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20" name="Straight Arrow Connector 19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1" name="TextBox 20"/>
          <xdr:cNvSpPr txBox="1"/>
        </xdr:nvSpPr>
        <xdr:spPr>
          <a:xfrm>
            <a:off x="6569938" y="22188694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 editAs="oneCell">
    <xdr:from>
      <xdr:col>15</xdr:col>
      <xdr:colOff>314325</xdr:colOff>
      <xdr:row>65</xdr:row>
      <xdr:rowOff>133350</xdr:rowOff>
    </xdr:from>
    <xdr:to>
      <xdr:col>24</xdr:col>
      <xdr:colOff>76199</xdr:colOff>
      <xdr:row>78</xdr:row>
      <xdr:rowOff>132186</xdr:rowOff>
    </xdr:to>
    <xdr:pic>
      <xdr:nvPicPr>
        <xdr:cNvPr id="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00" y="15468600"/>
          <a:ext cx="4095749" cy="30277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228600</xdr:colOff>
      <xdr:row>109</xdr:row>
      <xdr:rowOff>114300</xdr:rowOff>
    </xdr:from>
    <xdr:to>
      <xdr:col>24</xdr:col>
      <xdr:colOff>466724</xdr:colOff>
      <xdr:row>122</xdr:row>
      <xdr:rowOff>75036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05525" y="25812750"/>
          <a:ext cx="4095749" cy="30277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66674</xdr:colOff>
      <xdr:row>106</xdr:row>
      <xdr:rowOff>28575</xdr:rowOff>
    </xdr:from>
    <xdr:to>
      <xdr:col>18</xdr:col>
      <xdr:colOff>133349</xdr:colOff>
      <xdr:row>108</xdr:row>
      <xdr:rowOff>104775</xdr:rowOff>
    </xdr:to>
    <xdr:sp macro="" textlink="">
      <xdr:nvSpPr>
        <xdr:cNvPr id="17" name="TextBox 16"/>
        <xdr:cNvSpPr txBox="1"/>
      </xdr:nvSpPr>
      <xdr:spPr>
        <a:xfrm>
          <a:off x="400049" y="25727025"/>
          <a:ext cx="6562725" cy="533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t-EE" sz="1100"/>
            <a:t>Kuna jäitekoormus</a:t>
          </a:r>
          <a:r>
            <a:rPr lang="et-EE" sz="1100" baseline="0"/>
            <a:t> 330kV isolaatorketile jääb vahemikku 0,1-0,2 kN, ning 110kV isolaatorketile on jäitekoormus veelgi väiksem, siis jätan isolaatorkettidele mõjuva jäitekoormuse arvestamata. Koormus on hüljatavalt väike.</a:t>
          </a:r>
          <a:endParaRPr lang="et-EE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85725</xdr:colOff>
      <xdr:row>24</xdr:row>
      <xdr:rowOff>133350</xdr:rowOff>
    </xdr:from>
    <xdr:to>
      <xdr:col>24</xdr:col>
      <xdr:colOff>36931</xdr:colOff>
      <xdr:row>39</xdr:row>
      <xdr:rowOff>19051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72150" y="72713850"/>
          <a:ext cx="3808831" cy="36766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43</xdr:row>
      <xdr:rowOff>219076</xdr:rowOff>
    </xdr:from>
    <xdr:to>
      <xdr:col>23</xdr:col>
      <xdr:colOff>171451</xdr:colOff>
      <xdr:row>48</xdr:row>
      <xdr:rowOff>116206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91226" y="76685776"/>
          <a:ext cx="3038475" cy="11353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49</xdr:row>
      <xdr:rowOff>104776</xdr:rowOff>
    </xdr:from>
    <xdr:to>
      <xdr:col>23</xdr:col>
      <xdr:colOff>104777</xdr:colOff>
      <xdr:row>53</xdr:row>
      <xdr:rowOff>1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72177" y="77943076"/>
          <a:ext cx="29908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85725</xdr:colOff>
      <xdr:row>64</xdr:row>
      <xdr:rowOff>133350</xdr:rowOff>
    </xdr:from>
    <xdr:to>
      <xdr:col>24</xdr:col>
      <xdr:colOff>36931</xdr:colOff>
      <xdr:row>79</xdr:row>
      <xdr:rowOff>19051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24550" y="1200150"/>
          <a:ext cx="3304006" cy="379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82</xdr:row>
      <xdr:rowOff>219076</xdr:rowOff>
    </xdr:from>
    <xdr:to>
      <xdr:col>23</xdr:col>
      <xdr:colOff>171451</xdr:colOff>
      <xdr:row>87</xdr:row>
      <xdr:rowOff>116206</xdr:rowOff>
    </xdr:to>
    <xdr:pic>
      <xdr:nvPicPr>
        <xdr:cNvPr id="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43626" y="5286376"/>
          <a:ext cx="2800350" cy="1230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88</xdr:row>
      <xdr:rowOff>104776</xdr:rowOff>
    </xdr:from>
    <xdr:to>
      <xdr:col>23</xdr:col>
      <xdr:colOff>104777</xdr:colOff>
      <xdr:row>92</xdr:row>
      <xdr:rowOff>1</xdr:rowOff>
    </xdr:to>
    <xdr:pic>
      <xdr:nvPicPr>
        <xdr:cNvPr id="1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24577" y="6638926"/>
          <a:ext cx="275272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85725</xdr:colOff>
      <xdr:row>103</xdr:row>
      <xdr:rowOff>133350</xdr:rowOff>
    </xdr:from>
    <xdr:to>
      <xdr:col>24</xdr:col>
      <xdr:colOff>36931</xdr:colOff>
      <xdr:row>118</xdr:row>
      <xdr:rowOff>19051</xdr:rowOff>
    </xdr:to>
    <xdr:pic>
      <xdr:nvPicPr>
        <xdr:cNvPr id="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91225" y="10496550"/>
          <a:ext cx="3304006" cy="379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121</xdr:row>
      <xdr:rowOff>219076</xdr:rowOff>
    </xdr:from>
    <xdr:to>
      <xdr:col>23</xdr:col>
      <xdr:colOff>171451</xdr:colOff>
      <xdr:row>126</xdr:row>
      <xdr:rowOff>116206</xdr:rowOff>
    </xdr:to>
    <xdr:pic>
      <xdr:nvPicPr>
        <xdr:cNvPr id="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10301" y="14811376"/>
          <a:ext cx="2800350" cy="1230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127</xdr:row>
      <xdr:rowOff>104776</xdr:rowOff>
    </xdr:from>
    <xdr:to>
      <xdr:col>23</xdr:col>
      <xdr:colOff>104777</xdr:colOff>
      <xdr:row>131</xdr:row>
      <xdr:rowOff>1</xdr:rowOff>
    </xdr:to>
    <xdr:pic>
      <xdr:nvPicPr>
        <xdr:cNvPr id="2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2" y="16163926"/>
          <a:ext cx="275272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200025</xdr:colOff>
      <xdr:row>3</xdr:row>
      <xdr:rowOff>57150</xdr:rowOff>
    </xdr:from>
    <xdr:to>
      <xdr:col>11</xdr:col>
      <xdr:colOff>9525</xdr:colOff>
      <xdr:row>21</xdr:row>
      <xdr:rowOff>3441</xdr:rowOff>
    </xdr:to>
    <xdr:pic>
      <xdr:nvPicPr>
        <xdr:cNvPr id="29" name="Picture 28" descr="tuulesuunad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67587"/>
        <a:stretch>
          <a:fillRect/>
        </a:stretch>
      </xdr:blipFill>
      <xdr:spPr>
        <a:xfrm>
          <a:off x="1695450" y="685800"/>
          <a:ext cx="2228850" cy="3718191"/>
        </a:xfrm>
        <a:prstGeom prst="rect">
          <a:avLst/>
        </a:prstGeom>
      </xdr:spPr>
    </xdr:pic>
    <xdr:clientData/>
  </xdr:twoCellAnchor>
  <xdr:twoCellAnchor editAs="oneCell">
    <xdr:from>
      <xdr:col>14</xdr:col>
      <xdr:colOff>40774</xdr:colOff>
      <xdr:row>150</xdr:row>
      <xdr:rowOff>86647</xdr:rowOff>
    </xdr:from>
    <xdr:to>
      <xdr:col>21</xdr:col>
      <xdr:colOff>36475</xdr:colOff>
      <xdr:row>164</xdr:row>
      <xdr:rowOff>143732</xdr:rowOff>
    </xdr:to>
    <xdr:pic>
      <xdr:nvPicPr>
        <xdr:cNvPr id="12" name="Picture 11" descr="masti_skeem_2x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74699" y="1686847"/>
          <a:ext cx="2957976" cy="3314635"/>
        </a:xfrm>
        <a:prstGeom prst="rect">
          <a:avLst/>
        </a:prstGeom>
      </xdr:spPr>
    </xdr:pic>
    <xdr:clientData/>
  </xdr:twoCellAnchor>
  <xdr:twoCellAnchor editAs="oneCell">
    <xdr:from>
      <xdr:col>16</xdr:col>
      <xdr:colOff>318257</xdr:colOff>
      <xdr:row>165</xdr:row>
      <xdr:rowOff>65945</xdr:rowOff>
    </xdr:from>
    <xdr:to>
      <xdr:col>22</xdr:col>
      <xdr:colOff>51416</xdr:colOff>
      <xdr:row>180</xdr:row>
      <xdr:rowOff>233032</xdr:rowOff>
    </xdr:to>
    <xdr:pic>
      <xdr:nvPicPr>
        <xdr:cNvPr id="13" name="Picture 12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r="67837"/>
        <a:stretch>
          <a:fillRect/>
        </a:stretch>
      </xdr:blipFill>
      <xdr:spPr>
        <a:xfrm>
          <a:off x="6004682" y="5076095"/>
          <a:ext cx="2219184" cy="3691337"/>
        </a:xfrm>
        <a:prstGeom prst="rect">
          <a:avLst/>
        </a:prstGeom>
      </xdr:spPr>
    </xdr:pic>
    <xdr:clientData/>
  </xdr:twoCellAnchor>
  <xdr:twoCellAnchor editAs="oneCell">
    <xdr:from>
      <xdr:col>15</xdr:col>
      <xdr:colOff>253254</xdr:colOff>
      <xdr:row>177</xdr:row>
      <xdr:rowOff>225857</xdr:rowOff>
    </xdr:from>
    <xdr:to>
      <xdr:col>22</xdr:col>
      <xdr:colOff>248955</xdr:colOff>
      <xdr:row>192</xdr:row>
      <xdr:rowOff>32234</xdr:rowOff>
    </xdr:to>
    <xdr:pic>
      <xdr:nvPicPr>
        <xdr:cNvPr id="14" name="Picture 13" descr="masti_skeem_2x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463429" y="9446057"/>
          <a:ext cx="2957976" cy="3311577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191</xdr:row>
      <xdr:rowOff>84424</xdr:rowOff>
    </xdr:from>
    <xdr:to>
      <xdr:col>6</xdr:col>
      <xdr:colOff>454270</xdr:colOff>
      <xdr:row>193</xdr:row>
      <xdr:rowOff>46613</xdr:rowOff>
    </xdr:to>
    <xdr:pic>
      <xdr:nvPicPr>
        <xdr:cNvPr id="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0849" y="12581224"/>
          <a:ext cx="1385521" cy="41938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186104</xdr:colOff>
      <xdr:row>192</xdr:row>
      <xdr:rowOff>67768</xdr:rowOff>
    </xdr:from>
    <xdr:to>
      <xdr:col>22</xdr:col>
      <xdr:colOff>180975</xdr:colOff>
      <xdr:row>207</xdr:row>
      <xdr:rowOff>229366</xdr:rowOff>
    </xdr:to>
    <xdr:pic>
      <xdr:nvPicPr>
        <xdr:cNvPr id="16" name="Picture 15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r="67837"/>
        <a:stretch>
          <a:fillRect/>
        </a:stretch>
      </xdr:blipFill>
      <xdr:spPr>
        <a:xfrm>
          <a:off x="6615479" y="48835768"/>
          <a:ext cx="2090371" cy="3571548"/>
        </a:xfrm>
        <a:prstGeom prst="rect">
          <a:avLst/>
        </a:prstGeom>
      </xdr:spPr>
    </xdr:pic>
    <xdr:clientData/>
  </xdr:twoCellAnchor>
  <xdr:twoCellAnchor>
    <xdr:from>
      <xdr:col>4</xdr:col>
      <xdr:colOff>191457</xdr:colOff>
      <xdr:row>222</xdr:row>
      <xdr:rowOff>59576</xdr:rowOff>
    </xdr:from>
    <xdr:to>
      <xdr:col>6</xdr:col>
      <xdr:colOff>462553</xdr:colOff>
      <xdr:row>224</xdr:row>
      <xdr:rowOff>21765</xdr:rowOff>
    </xdr:to>
    <xdr:pic>
      <xdr:nvPicPr>
        <xdr:cNvPr id="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9132" y="21319376"/>
          <a:ext cx="1385521" cy="419389"/>
        </a:xfrm>
        <a:prstGeom prst="rect">
          <a:avLst/>
        </a:prstGeom>
        <a:noFill/>
      </xdr:spPr>
    </xdr:pic>
    <xdr:clientData/>
  </xdr:twoCellAnchor>
  <xdr:twoCellAnchor>
    <xdr:from>
      <xdr:col>13</xdr:col>
      <xdr:colOff>77749</xdr:colOff>
      <xdr:row>214</xdr:row>
      <xdr:rowOff>185370</xdr:rowOff>
    </xdr:from>
    <xdr:to>
      <xdr:col>16</xdr:col>
      <xdr:colOff>177312</xdr:colOff>
      <xdr:row>220</xdr:row>
      <xdr:rowOff>217609</xdr:rowOff>
    </xdr:to>
    <xdr:grpSp>
      <xdr:nvGrpSpPr>
        <xdr:cNvPr id="26" name="Group 25"/>
        <xdr:cNvGrpSpPr/>
      </xdr:nvGrpSpPr>
      <xdr:grpSpPr>
        <a:xfrm>
          <a:off x="4830724" y="52868145"/>
          <a:ext cx="1356863" cy="1422889"/>
          <a:chOff x="6384074" y="21936808"/>
          <a:chExt cx="3003911" cy="1414096"/>
        </a:xfrm>
      </xdr:grpSpPr>
      <xdr:sp macro="" textlink="">
        <xdr:nvSpPr>
          <xdr:cNvPr id="27" name="Freeform 26"/>
          <xdr:cNvSpPr/>
        </xdr:nvSpPr>
        <xdr:spPr>
          <a:xfrm>
            <a:off x="7319596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sp macro="" textlink="">
        <xdr:nvSpPr>
          <xdr:cNvPr id="28" name="Freeform 27"/>
          <xdr:cNvSpPr/>
        </xdr:nvSpPr>
        <xdr:spPr>
          <a:xfrm rot="10800000">
            <a:off x="8806961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30" name="Straight Arrow Connector 29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1" name="TextBox 30"/>
          <xdr:cNvSpPr txBox="1"/>
        </xdr:nvSpPr>
        <xdr:spPr>
          <a:xfrm>
            <a:off x="6384074" y="22288500"/>
            <a:ext cx="1032663" cy="24178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>
    <xdr:from>
      <xdr:col>4</xdr:col>
      <xdr:colOff>191457</xdr:colOff>
      <xdr:row>255</xdr:row>
      <xdr:rowOff>76141</xdr:rowOff>
    </xdr:from>
    <xdr:to>
      <xdr:col>6</xdr:col>
      <xdr:colOff>462553</xdr:colOff>
      <xdr:row>257</xdr:row>
      <xdr:rowOff>38330</xdr:rowOff>
    </xdr:to>
    <xdr:pic>
      <xdr:nvPicPr>
        <xdr:cNvPr id="3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9132" y="31051441"/>
          <a:ext cx="1385521" cy="419389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453062</xdr:colOff>
      <xdr:row>243</xdr:row>
      <xdr:rowOff>36634</xdr:rowOff>
    </xdr:from>
    <xdr:to>
      <xdr:col>21</xdr:col>
      <xdr:colOff>417019</xdr:colOff>
      <xdr:row>259</xdr:row>
      <xdr:rowOff>92351</xdr:rowOff>
    </xdr:to>
    <xdr:pic>
      <xdr:nvPicPr>
        <xdr:cNvPr id="34" name="Picture 33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r="67837"/>
        <a:stretch>
          <a:fillRect/>
        </a:stretch>
      </xdr:blipFill>
      <xdr:spPr>
        <a:xfrm>
          <a:off x="5663237" y="28230634"/>
          <a:ext cx="2507132" cy="3770467"/>
        </a:xfrm>
        <a:prstGeom prst="rect">
          <a:avLst/>
        </a:prstGeom>
      </xdr:spPr>
    </xdr:pic>
    <xdr:clientData/>
  </xdr:twoCellAnchor>
  <xdr:twoCellAnchor>
    <xdr:from>
      <xdr:col>11</xdr:col>
      <xdr:colOff>413659</xdr:colOff>
      <xdr:row>244</xdr:row>
      <xdr:rowOff>148636</xdr:rowOff>
    </xdr:from>
    <xdr:to>
      <xdr:col>16</xdr:col>
      <xdr:colOff>102579</xdr:colOff>
      <xdr:row>251</xdr:row>
      <xdr:rowOff>87922</xdr:rowOff>
    </xdr:to>
    <xdr:grpSp>
      <xdr:nvGrpSpPr>
        <xdr:cNvPr id="35" name="Group 34"/>
        <xdr:cNvGrpSpPr/>
      </xdr:nvGrpSpPr>
      <xdr:grpSpPr>
        <a:xfrm>
          <a:off x="4328434" y="59727511"/>
          <a:ext cx="1784420" cy="1539486"/>
          <a:chOff x="6440277" y="21936818"/>
          <a:chExt cx="2072249" cy="1414096"/>
        </a:xfrm>
      </xdr:grpSpPr>
      <xdr:sp macro="" textlink="">
        <xdr:nvSpPr>
          <xdr:cNvPr id="36" name="Freeform 35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37" name="Straight Arrow Connector 36"/>
          <xdr:cNvCxnSpPr/>
        </xdr:nvCxnSpPr>
        <xdr:spPr>
          <a:xfrm>
            <a:off x="6440277" y="22588904"/>
            <a:ext cx="842598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8" name="TextBox 37"/>
          <xdr:cNvSpPr txBox="1"/>
        </xdr:nvSpPr>
        <xdr:spPr>
          <a:xfrm>
            <a:off x="6577270" y="22261956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>
    <xdr:from>
      <xdr:col>4</xdr:col>
      <xdr:colOff>191457</xdr:colOff>
      <xdr:row>294</xdr:row>
      <xdr:rowOff>59576</xdr:rowOff>
    </xdr:from>
    <xdr:to>
      <xdr:col>6</xdr:col>
      <xdr:colOff>462553</xdr:colOff>
      <xdr:row>296</xdr:row>
      <xdr:rowOff>21765</xdr:rowOff>
    </xdr:to>
    <xdr:pic>
      <xdr:nvPicPr>
        <xdr:cNvPr id="4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39132" y="42769676"/>
          <a:ext cx="1385521" cy="419389"/>
        </a:xfrm>
        <a:prstGeom prst="rect">
          <a:avLst/>
        </a:prstGeom>
        <a:noFill/>
      </xdr:spPr>
    </xdr:pic>
    <xdr:clientData/>
  </xdr:twoCellAnchor>
  <xdr:twoCellAnchor>
    <xdr:from>
      <xdr:col>12</xdr:col>
      <xdr:colOff>25331</xdr:colOff>
      <xdr:row>283</xdr:row>
      <xdr:rowOff>148642</xdr:rowOff>
    </xdr:from>
    <xdr:to>
      <xdr:col>14</xdr:col>
      <xdr:colOff>175847</xdr:colOff>
      <xdr:row>290</xdr:row>
      <xdr:rowOff>87928</xdr:rowOff>
    </xdr:to>
    <xdr:grpSp>
      <xdr:nvGrpSpPr>
        <xdr:cNvPr id="42" name="Group 41"/>
        <xdr:cNvGrpSpPr/>
      </xdr:nvGrpSpPr>
      <xdr:grpSpPr>
        <a:xfrm>
          <a:off x="4359206" y="68909617"/>
          <a:ext cx="988716" cy="1539486"/>
          <a:chOff x="6528288" y="21936825"/>
          <a:chExt cx="1984238" cy="1414096"/>
        </a:xfrm>
      </xdr:grpSpPr>
      <xdr:sp macro="" textlink="">
        <xdr:nvSpPr>
          <xdr:cNvPr id="43" name="Freeform 42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44" name="Straight Arrow Connector 43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45" name="TextBox 44"/>
          <xdr:cNvSpPr txBox="1"/>
        </xdr:nvSpPr>
        <xdr:spPr>
          <a:xfrm>
            <a:off x="6569938" y="22188694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>
    <xdr:from>
      <xdr:col>22</xdr:col>
      <xdr:colOff>66676</xdr:colOff>
      <xdr:row>147</xdr:row>
      <xdr:rowOff>142875</xdr:rowOff>
    </xdr:from>
    <xdr:to>
      <xdr:col>37</xdr:col>
      <xdr:colOff>57150</xdr:colOff>
      <xdr:row>159</xdr:row>
      <xdr:rowOff>114876</xdr:rowOff>
    </xdr:to>
    <xdr:grpSp>
      <xdr:nvGrpSpPr>
        <xdr:cNvPr id="50" name="Group 49"/>
        <xdr:cNvGrpSpPr/>
      </xdr:nvGrpSpPr>
      <xdr:grpSpPr>
        <a:xfrm>
          <a:off x="8591551" y="37318950"/>
          <a:ext cx="6276974" cy="2810451"/>
          <a:chOff x="762000" y="35833050"/>
          <a:chExt cx="8211697" cy="4124901"/>
        </a:xfrm>
      </xdr:grpSpPr>
      <xdr:pic>
        <xdr:nvPicPr>
          <xdr:cNvPr id="48" name="Picture 47" descr="varraste tuuletakistustegur jääga.PNG"/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tretch>
            <a:fillRect/>
          </a:stretch>
        </xdr:blipFill>
        <xdr:spPr>
          <a:xfrm>
            <a:off x="762000" y="35833050"/>
            <a:ext cx="8211697" cy="4124901"/>
          </a:xfrm>
          <a:prstGeom prst="rect">
            <a:avLst/>
          </a:prstGeom>
        </xdr:spPr>
      </xdr:pic>
      <xdr:sp macro="" textlink="">
        <xdr:nvSpPr>
          <xdr:cNvPr id="49" name="TextBox 48"/>
          <xdr:cNvSpPr txBox="1"/>
        </xdr:nvSpPr>
        <xdr:spPr>
          <a:xfrm>
            <a:off x="6915150" y="35947350"/>
            <a:ext cx="1247775" cy="3333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t-EE" sz="1100"/>
              <a:t>DIN</a:t>
            </a:r>
            <a:r>
              <a:rPr lang="et-EE" sz="1100" baseline="0"/>
              <a:t> EN  10143</a:t>
            </a:r>
            <a:endParaRPr lang="et-EE" sz="1100"/>
          </a:p>
        </xdr:txBody>
      </xdr:sp>
    </xdr:grpSp>
    <xdr:clientData/>
  </xdr:twoCellAnchor>
  <xdr:twoCellAnchor editAs="oneCell">
    <xdr:from>
      <xdr:col>16</xdr:col>
      <xdr:colOff>85725</xdr:colOff>
      <xdr:row>324</xdr:row>
      <xdr:rowOff>133350</xdr:rowOff>
    </xdr:from>
    <xdr:to>
      <xdr:col>24</xdr:col>
      <xdr:colOff>36931</xdr:colOff>
      <xdr:row>339</xdr:row>
      <xdr:rowOff>19051</xdr:rowOff>
    </xdr:to>
    <xdr:pic>
      <xdr:nvPicPr>
        <xdr:cNvPr id="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0" y="25603200"/>
          <a:ext cx="3304006" cy="379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342</xdr:row>
      <xdr:rowOff>219076</xdr:rowOff>
    </xdr:from>
    <xdr:to>
      <xdr:col>23</xdr:col>
      <xdr:colOff>171451</xdr:colOff>
      <xdr:row>347</xdr:row>
      <xdr:rowOff>116206</xdr:rowOff>
    </xdr:to>
    <xdr:pic>
      <xdr:nvPicPr>
        <xdr:cNvPr id="4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15076" y="30375226"/>
          <a:ext cx="2800350" cy="1230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348</xdr:row>
      <xdr:rowOff>104776</xdr:rowOff>
    </xdr:from>
    <xdr:to>
      <xdr:col>23</xdr:col>
      <xdr:colOff>104777</xdr:colOff>
      <xdr:row>352</xdr:row>
      <xdr:rowOff>1</xdr:rowOff>
    </xdr:to>
    <xdr:pic>
      <xdr:nvPicPr>
        <xdr:cNvPr id="4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96027" y="31851601"/>
          <a:ext cx="275272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85725</xdr:colOff>
      <xdr:row>24</xdr:row>
      <xdr:rowOff>133350</xdr:rowOff>
    </xdr:from>
    <xdr:to>
      <xdr:col>24</xdr:col>
      <xdr:colOff>36931</xdr:colOff>
      <xdr:row>39</xdr:row>
      <xdr:rowOff>19051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91225" y="5210175"/>
          <a:ext cx="3304006" cy="379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42</xdr:row>
      <xdr:rowOff>219076</xdr:rowOff>
    </xdr:from>
    <xdr:to>
      <xdr:col>23</xdr:col>
      <xdr:colOff>171451</xdr:colOff>
      <xdr:row>47</xdr:row>
      <xdr:rowOff>116206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10301" y="9982201"/>
          <a:ext cx="2800350" cy="1230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48</xdr:row>
      <xdr:rowOff>104776</xdr:rowOff>
    </xdr:from>
    <xdr:to>
      <xdr:col>23</xdr:col>
      <xdr:colOff>104777</xdr:colOff>
      <xdr:row>52</xdr:row>
      <xdr:rowOff>1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2" y="11458576"/>
          <a:ext cx="275272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85725</xdr:colOff>
      <xdr:row>63</xdr:row>
      <xdr:rowOff>133350</xdr:rowOff>
    </xdr:from>
    <xdr:to>
      <xdr:col>24</xdr:col>
      <xdr:colOff>36931</xdr:colOff>
      <xdr:row>78</xdr:row>
      <xdr:rowOff>19051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91225" y="15430500"/>
          <a:ext cx="3304006" cy="379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81</xdr:row>
      <xdr:rowOff>219076</xdr:rowOff>
    </xdr:from>
    <xdr:to>
      <xdr:col>23</xdr:col>
      <xdr:colOff>171451</xdr:colOff>
      <xdr:row>86</xdr:row>
      <xdr:rowOff>116206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10301" y="20202526"/>
          <a:ext cx="2800350" cy="1230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87</xdr:row>
      <xdr:rowOff>104776</xdr:rowOff>
    </xdr:from>
    <xdr:to>
      <xdr:col>23</xdr:col>
      <xdr:colOff>104777</xdr:colOff>
      <xdr:row>91</xdr:row>
      <xdr:rowOff>1</xdr:rowOff>
    </xdr:to>
    <xdr:pic>
      <xdr:nvPicPr>
        <xdr:cNvPr id="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2" y="21678901"/>
          <a:ext cx="275272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85725</xdr:colOff>
      <xdr:row>102</xdr:row>
      <xdr:rowOff>133350</xdr:rowOff>
    </xdr:from>
    <xdr:to>
      <xdr:col>24</xdr:col>
      <xdr:colOff>36931</xdr:colOff>
      <xdr:row>117</xdr:row>
      <xdr:rowOff>19051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91225" y="25603200"/>
          <a:ext cx="3304006" cy="379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120</xdr:row>
      <xdr:rowOff>219076</xdr:rowOff>
    </xdr:from>
    <xdr:to>
      <xdr:col>23</xdr:col>
      <xdr:colOff>171451</xdr:colOff>
      <xdr:row>125</xdr:row>
      <xdr:rowOff>116206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10301" y="30375226"/>
          <a:ext cx="2800350" cy="1230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126</xdr:row>
      <xdr:rowOff>104776</xdr:rowOff>
    </xdr:from>
    <xdr:to>
      <xdr:col>23</xdr:col>
      <xdr:colOff>104777</xdr:colOff>
      <xdr:row>130</xdr:row>
      <xdr:rowOff>1</xdr:rowOff>
    </xdr:to>
    <xdr:pic>
      <xdr:nvPicPr>
        <xdr:cNvPr id="1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2" y="31851601"/>
          <a:ext cx="275272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95250</xdr:colOff>
      <xdr:row>3</xdr:row>
      <xdr:rowOff>57150</xdr:rowOff>
    </xdr:from>
    <xdr:to>
      <xdr:col>16</xdr:col>
      <xdr:colOff>285750</xdr:colOff>
      <xdr:row>21</xdr:row>
      <xdr:rowOff>3441</xdr:rowOff>
    </xdr:to>
    <xdr:pic>
      <xdr:nvPicPr>
        <xdr:cNvPr id="11" name="Picture 10" descr="tuulesuunad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32136" r="34620"/>
        <a:stretch>
          <a:fillRect/>
        </a:stretch>
      </xdr:blipFill>
      <xdr:spPr>
        <a:xfrm>
          <a:off x="3905250" y="685800"/>
          <a:ext cx="2286000" cy="3718191"/>
        </a:xfrm>
        <a:prstGeom prst="rect">
          <a:avLst/>
        </a:prstGeom>
      </xdr:spPr>
    </xdr:pic>
    <xdr:clientData/>
  </xdr:twoCellAnchor>
  <xdr:twoCellAnchor editAs="oneCell">
    <xdr:from>
      <xdr:col>14</xdr:col>
      <xdr:colOff>40774</xdr:colOff>
      <xdr:row>147</xdr:row>
      <xdr:rowOff>86647</xdr:rowOff>
    </xdr:from>
    <xdr:to>
      <xdr:col>21</xdr:col>
      <xdr:colOff>36475</xdr:colOff>
      <xdr:row>161</xdr:row>
      <xdr:rowOff>143732</xdr:rowOff>
    </xdr:to>
    <xdr:pic>
      <xdr:nvPicPr>
        <xdr:cNvPr id="12" name="Picture 11" descr="masti_skeem_2x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212849" y="37729447"/>
          <a:ext cx="2929401" cy="3314635"/>
        </a:xfrm>
        <a:prstGeom prst="rect">
          <a:avLst/>
        </a:prstGeom>
      </xdr:spPr>
    </xdr:pic>
    <xdr:clientData/>
  </xdr:twoCellAnchor>
  <xdr:twoCellAnchor editAs="oneCell">
    <xdr:from>
      <xdr:col>21</xdr:col>
      <xdr:colOff>209550</xdr:colOff>
      <xdr:row>158</xdr:row>
      <xdr:rowOff>27845</xdr:rowOff>
    </xdr:from>
    <xdr:to>
      <xdr:col>26</xdr:col>
      <xdr:colOff>323850</xdr:colOff>
      <xdr:row>174</xdr:row>
      <xdr:rowOff>61582</xdr:rowOff>
    </xdr:to>
    <xdr:pic>
      <xdr:nvPicPr>
        <xdr:cNvPr id="13" name="Picture 12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1154" r="37226"/>
        <a:stretch>
          <a:fillRect/>
        </a:stretch>
      </xdr:blipFill>
      <xdr:spPr>
        <a:xfrm>
          <a:off x="8286750" y="39680420"/>
          <a:ext cx="2209800" cy="3691337"/>
        </a:xfrm>
        <a:prstGeom prst="rect">
          <a:avLst/>
        </a:prstGeom>
      </xdr:spPr>
    </xdr:pic>
    <xdr:clientData/>
  </xdr:twoCellAnchor>
  <xdr:twoCellAnchor editAs="oneCell">
    <xdr:from>
      <xdr:col>15</xdr:col>
      <xdr:colOff>253254</xdr:colOff>
      <xdr:row>174</xdr:row>
      <xdr:rowOff>225857</xdr:rowOff>
    </xdr:from>
    <xdr:to>
      <xdr:col>22</xdr:col>
      <xdr:colOff>248955</xdr:colOff>
      <xdr:row>189</xdr:row>
      <xdr:rowOff>32234</xdr:rowOff>
    </xdr:to>
    <xdr:pic>
      <xdr:nvPicPr>
        <xdr:cNvPr id="14" name="Picture 13" descr="masti_skeem_2x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844429" y="45488657"/>
          <a:ext cx="2929401" cy="3311577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188</xdr:row>
      <xdr:rowOff>84424</xdr:rowOff>
    </xdr:from>
    <xdr:to>
      <xdr:col>6</xdr:col>
      <xdr:colOff>454270</xdr:colOff>
      <xdr:row>190</xdr:row>
      <xdr:rowOff>46613</xdr:rowOff>
    </xdr:to>
    <xdr:pic>
      <xdr:nvPicPr>
        <xdr:cNvPr id="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59499" y="48623824"/>
          <a:ext cx="1261696" cy="419389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142875</xdr:colOff>
      <xdr:row>190</xdr:row>
      <xdr:rowOff>124918</xdr:rowOff>
    </xdr:from>
    <xdr:to>
      <xdr:col>21</xdr:col>
      <xdr:colOff>104775</xdr:colOff>
      <xdr:row>206</xdr:row>
      <xdr:rowOff>38866</xdr:rowOff>
    </xdr:to>
    <xdr:pic>
      <xdr:nvPicPr>
        <xdr:cNvPr id="16" name="Picture 15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1430" r="36915"/>
        <a:stretch>
          <a:fillRect/>
        </a:stretch>
      </xdr:blipFill>
      <xdr:spPr>
        <a:xfrm>
          <a:off x="6124575" y="47168893"/>
          <a:ext cx="2057400" cy="3571548"/>
        </a:xfrm>
        <a:prstGeom prst="rect">
          <a:avLst/>
        </a:prstGeom>
      </xdr:spPr>
    </xdr:pic>
    <xdr:clientData/>
  </xdr:twoCellAnchor>
  <xdr:twoCellAnchor>
    <xdr:from>
      <xdr:col>4</xdr:col>
      <xdr:colOff>191457</xdr:colOff>
      <xdr:row>219</xdr:row>
      <xdr:rowOff>59576</xdr:rowOff>
    </xdr:from>
    <xdr:to>
      <xdr:col>6</xdr:col>
      <xdr:colOff>462553</xdr:colOff>
      <xdr:row>221</xdr:row>
      <xdr:rowOff>21765</xdr:rowOff>
    </xdr:to>
    <xdr:pic>
      <xdr:nvPicPr>
        <xdr:cNvPr id="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67782" y="55723676"/>
          <a:ext cx="1252171" cy="419389"/>
        </a:xfrm>
        <a:prstGeom prst="rect">
          <a:avLst/>
        </a:prstGeom>
        <a:noFill/>
      </xdr:spPr>
    </xdr:pic>
    <xdr:clientData/>
  </xdr:twoCellAnchor>
  <xdr:twoCellAnchor>
    <xdr:from>
      <xdr:col>13</xdr:col>
      <xdr:colOff>77749</xdr:colOff>
      <xdr:row>211</xdr:row>
      <xdr:rowOff>185370</xdr:rowOff>
    </xdr:from>
    <xdr:to>
      <xdr:col>16</xdr:col>
      <xdr:colOff>177312</xdr:colOff>
      <xdr:row>217</xdr:row>
      <xdr:rowOff>208084</xdr:rowOff>
    </xdr:to>
    <xdr:grpSp>
      <xdr:nvGrpSpPr>
        <xdr:cNvPr id="18" name="Group 17"/>
        <xdr:cNvGrpSpPr/>
      </xdr:nvGrpSpPr>
      <xdr:grpSpPr>
        <a:xfrm>
          <a:off x="4802149" y="52048995"/>
          <a:ext cx="1356863" cy="1413364"/>
          <a:chOff x="6384074" y="21936808"/>
          <a:chExt cx="3003911" cy="1414096"/>
        </a:xfrm>
      </xdr:grpSpPr>
      <xdr:sp macro="" textlink="">
        <xdr:nvSpPr>
          <xdr:cNvPr id="19" name="Freeform 18"/>
          <xdr:cNvSpPr/>
        </xdr:nvSpPr>
        <xdr:spPr>
          <a:xfrm>
            <a:off x="7319596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sp macro="" textlink="">
        <xdr:nvSpPr>
          <xdr:cNvPr id="20" name="Freeform 19"/>
          <xdr:cNvSpPr/>
        </xdr:nvSpPr>
        <xdr:spPr>
          <a:xfrm rot="10800000">
            <a:off x="8806961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21" name="Straight Arrow Connector 20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2" name="TextBox 21"/>
          <xdr:cNvSpPr txBox="1"/>
        </xdr:nvSpPr>
        <xdr:spPr>
          <a:xfrm>
            <a:off x="6384074" y="22288500"/>
            <a:ext cx="1032663" cy="24178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>
    <xdr:from>
      <xdr:col>4</xdr:col>
      <xdr:colOff>191457</xdr:colOff>
      <xdr:row>252</xdr:row>
      <xdr:rowOff>76141</xdr:rowOff>
    </xdr:from>
    <xdr:to>
      <xdr:col>6</xdr:col>
      <xdr:colOff>462553</xdr:colOff>
      <xdr:row>254</xdr:row>
      <xdr:rowOff>38330</xdr:rowOff>
    </xdr:to>
    <xdr:pic>
      <xdr:nvPicPr>
        <xdr:cNvPr id="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67782" y="63341191"/>
          <a:ext cx="1252171" cy="419389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57150</xdr:colOff>
      <xdr:row>262</xdr:row>
      <xdr:rowOff>55684</xdr:rowOff>
    </xdr:from>
    <xdr:to>
      <xdr:col>22</xdr:col>
      <xdr:colOff>400050</xdr:colOff>
      <xdr:row>278</xdr:row>
      <xdr:rowOff>16151</xdr:rowOff>
    </xdr:to>
    <xdr:pic>
      <xdr:nvPicPr>
        <xdr:cNvPr id="24" name="Picture 23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1703" r="37134"/>
        <a:stretch>
          <a:fillRect/>
        </a:stretch>
      </xdr:blipFill>
      <xdr:spPr>
        <a:xfrm>
          <a:off x="6457950" y="63711259"/>
          <a:ext cx="2438400" cy="3770467"/>
        </a:xfrm>
        <a:prstGeom prst="rect">
          <a:avLst/>
        </a:prstGeom>
      </xdr:spPr>
    </xdr:pic>
    <xdr:clientData/>
  </xdr:twoCellAnchor>
  <xdr:twoCellAnchor>
    <xdr:from>
      <xdr:col>11</xdr:col>
      <xdr:colOff>413659</xdr:colOff>
      <xdr:row>241</xdr:row>
      <xdr:rowOff>148636</xdr:rowOff>
    </xdr:from>
    <xdr:to>
      <xdr:col>16</xdr:col>
      <xdr:colOff>102579</xdr:colOff>
      <xdr:row>248</xdr:row>
      <xdr:rowOff>87922</xdr:rowOff>
    </xdr:to>
    <xdr:grpSp>
      <xdr:nvGrpSpPr>
        <xdr:cNvPr id="25" name="Group 24"/>
        <xdr:cNvGrpSpPr/>
      </xdr:nvGrpSpPr>
      <xdr:grpSpPr>
        <a:xfrm>
          <a:off x="4299859" y="58908361"/>
          <a:ext cx="1784420" cy="1539486"/>
          <a:chOff x="6440277" y="21936818"/>
          <a:chExt cx="2072249" cy="1414096"/>
        </a:xfrm>
      </xdr:grpSpPr>
      <xdr:sp macro="" textlink="">
        <xdr:nvSpPr>
          <xdr:cNvPr id="26" name="Freeform 25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27" name="Straight Arrow Connector 26"/>
          <xdr:cNvCxnSpPr/>
        </xdr:nvCxnSpPr>
        <xdr:spPr>
          <a:xfrm>
            <a:off x="6440277" y="22588904"/>
            <a:ext cx="842598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8" name="TextBox 27"/>
          <xdr:cNvSpPr txBox="1"/>
        </xdr:nvSpPr>
        <xdr:spPr>
          <a:xfrm>
            <a:off x="6577270" y="22261956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>
    <xdr:from>
      <xdr:col>4</xdr:col>
      <xdr:colOff>191457</xdr:colOff>
      <xdr:row>291</xdr:row>
      <xdr:rowOff>59576</xdr:rowOff>
    </xdr:from>
    <xdr:to>
      <xdr:col>6</xdr:col>
      <xdr:colOff>462553</xdr:colOff>
      <xdr:row>293</xdr:row>
      <xdr:rowOff>21765</xdr:rowOff>
    </xdr:to>
    <xdr:pic>
      <xdr:nvPicPr>
        <xdr:cNvPr id="2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67782" y="72506726"/>
          <a:ext cx="1252171" cy="419389"/>
        </a:xfrm>
        <a:prstGeom prst="rect">
          <a:avLst/>
        </a:prstGeom>
        <a:noFill/>
      </xdr:spPr>
    </xdr:pic>
    <xdr:clientData/>
  </xdr:twoCellAnchor>
  <xdr:twoCellAnchor>
    <xdr:from>
      <xdr:col>12</xdr:col>
      <xdr:colOff>25331</xdr:colOff>
      <xdr:row>280</xdr:row>
      <xdr:rowOff>148642</xdr:rowOff>
    </xdr:from>
    <xdr:to>
      <xdr:col>14</xdr:col>
      <xdr:colOff>175847</xdr:colOff>
      <xdr:row>287</xdr:row>
      <xdr:rowOff>87928</xdr:rowOff>
    </xdr:to>
    <xdr:grpSp>
      <xdr:nvGrpSpPr>
        <xdr:cNvPr id="30" name="Group 29"/>
        <xdr:cNvGrpSpPr/>
      </xdr:nvGrpSpPr>
      <xdr:grpSpPr>
        <a:xfrm>
          <a:off x="4330631" y="68090467"/>
          <a:ext cx="988716" cy="1539486"/>
          <a:chOff x="6528288" y="21936825"/>
          <a:chExt cx="1984238" cy="1414096"/>
        </a:xfrm>
      </xdr:grpSpPr>
      <xdr:sp macro="" textlink="">
        <xdr:nvSpPr>
          <xdr:cNvPr id="31" name="Freeform 30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32" name="Straight Arrow Connector 31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3" name="TextBox 32"/>
          <xdr:cNvSpPr txBox="1"/>
        </xdr:nvSpPr>
        <xdr:spPr>
          <a:xfrm>
            <a:off x="6569938" y="22188694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>
    <xdr:from>
      <xdr:col>22</xdr:col>
      <xdr:colOff>66676</xdr:colOff>
      <xdr:row>144</xdr:row>
      <xdr:rowOff>142875</xdr:rowOff>
    </xdr:from>
    <xdr:to>
      <xdr:col>37</xdr:col>
      <xdr:colOff>57150</xdr:colOff>
      <xdr:row>156</xdr:row>
      <xdr:rowOff>114876</xdr:rowOff>
    </xdr:to>
    <xdr:grpSp>
      <xdr:nvGrpSpPr>
        <xdr:cNvPr id="34" name="Group 33"/>
        <xdr:cNvGrpSpPr/>
      </xdr:nvGrpSpPr>
      <xdr:grpSpPr>
        <a:xfrm>
          <a:off x="8562976" y="36499800"/>
          <a:ext cx="6276974" cy="2810451"/>
          <a:chOff x="762000" y="35833050"/>
          <a:chExt cx="8211697" cy="4124901"/>
        </a:xfrm>
      </xdr:grpSpPr>
      <xdr:pic>
        <xdr:nvPicPr>
          <xdr:cNvPr id="35" name="Picture 34" descr="varraste tuuletakistustegur jääga.PNG"/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tretch>
            <a:fillRect/>
          </a:stretch>
        </xdr:blipFill>
        <xdr:spPr>
          <a:xfrm>
            <a:off x="762000" y="35833050"/>
            <a:ext cx="8211697" cy="4124901"/>
          </a:xfrm>
          <a:prstGeom prst="rect">
            <a:avLst/>
          </a:prstGeom>
        </xdr:spPr>
      </xdr:pic>
      <xdr:sp macro="" textlink="">
        <xdr:nvSpPr>
          <xdr:cNvPr id="36" name="TextBox 35"/>
          <xdr:cNvSpPr txBox="1"/>
        </xdr:nvSpPr>
        <xdr:spPr>
          <a:xfrm>
            <a:off x="6915150" y="35947350"/>
            <a:ext cx="1247775" cy="3333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t-EE" sz="1100"/>
              <a:t>DIN</a:t>
            </a:r>
            <a:r>
              <a:rPr lang="et-EE" sz="1100" baseline="0"/>
              <a:t> EN  10143</a:t>
            </a:r>
            <a:endParaRPr lang="et-EE" sz="1100"/>
          </a:p>
        </xdr:txBody>
      </xdr:sp>
    </xdr:grpSp>
    <xdr:clientData/>
  </xdr:twoCellAnchor>
  <xdr:twoCellAnchor editAs="oneCell">
    <xdr:from>
      <xdr:col>16</xdr:col>
      <xdr:colOff>85725</xdr:colOff>
      <xdr:row>321</xdr:row>
      <xdr:rowOff>133350</xdr:rowOff>
    </xdr:from>
    <xdr:to>
      <xdr:col>24</xdr:col>
      <xdr:colOff>36931</xdr:colOff>
      <xdr:row>336</xdr:row>
      <xdr:rowOff>19051</xdr:rowOff>
    </xdr:to>
    <xdr:pic>
      <xdr:nvPicPr>
        <xdr:cNvPr id="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0" y="78305025"/>
          <a:ext cx="3304006" cy="379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339</xdr:row>
      <xdr:rowOff>219076</xdr:rowOff>
    </xdr:from>
    <xdr:to>
      <xdr:col>23</xdr:col>
      <xdr:colOff>171451</xdr:colOff>
      <xdr:row>344</xdr:row>
      <xdr:rowOff>116206</xdr:rowOff>
    </xdr:to>
    <xdr:pic>
      <xdr:nvPicPr>
        <xdr:cNvPr id="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15076" y="83077051"/>
          <a:ext cx="2800350" cy="1230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345</xdr:row>
      <xdr:rowOff>104776</xdr:rowOff>
    </xdr:from>
    <xdr:to>
      <xdr:col>23</xdr:col>
      <xdr:colOff>104777</xdr:colOff>
      <xdr:row>349</xdr:row>
      <xdr:rowOff>1</xdr:rowOff>
    </xdr:to>
    <xdr:pic>
      <xdr:nvPicPr>
        <xdr:cNvPr id="3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96027" y="84553426"/>
          <a:ext cx="275272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85725</xdr:colOff>
      <xdr:row>24</xdr:row>
      <xdr:rowOff>133350</xdr:rowOff>
    </xdr:from>
    <xdr:to>
      <xdr:col>24</xdr:col>
      <xdr:colOff>36931</xdr:colOff>
      <xdr:row>39</xdr:row>
      <xdr:rowOff>19051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91225" y="5210175"/>
          <a:ext cx="3304006" cy="379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42</xdr:row>
      <xdr:rowOff>219076</xdr:rowOff>
    </xdr:from>
    <xdr:to>
      <xdr:col>23</xdr:col>
      <xdr:colOff>171451</xdr:colOff>
      <xdr:row>47</xdr:row>
      <xdr:rowOff>116206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10301" y="9982201"/>
          <a:ext cx="2800350" cy="1230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48</xdr:row>
      <xdr:rowOff>104776</xdr:rowOff>
    </xdr:from>
    <xdr:to>
      <xdr:col>23</xdr:col>
      <xdr:colOff>104777</xdr:colOff>
      <xdr:row>52</xdr:row>
      <xdr:rowOff>1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2" y="11458576"/>
          <a:ext cx="275272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85725</xdr:colOff>
      <xdr:row>63</xdr:row>
      <xdr:rowOff>133350</xdr:rowOff>
    </xdr:from>
    <xdr:to>
      <xdr:col>24</xdr:col>
      <xdr:colOff>36931</xdr:colOff>
      <xdr:row>78</xdr:row>
      <xdr:rowOff>19051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91225" y="15430500"/>
          <a:ext cx="3304006" cy="379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81</xdr:row>
      <xdr:rowOff>219076</xdr:rowOff>
    </xdr:from>
    <xdr:to>
      <xdr:col>23</xdr:col>
      <xdr:colOff>171451</xdr:colOff>
      <xdr:row>86</xdr:row>
      <xdr:rowOff>116206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10301" y="20202526"/>
          <a:ext cx="2800350" cy="1230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87</xdr:row>
      <xdr:rowOff>104776</xdr:rowOff>
    </xdr:from>
    <xdr:to>
      <xdr:col>23</xdr:col>
      <xdr:colOff>104777</xdr:colOff>
      <xdr:row>91</xdr:row>
      <xdr:rowOff>1</xdr:rowOff>
    </xdr:to>
    <xdr:pic>
      <xdr:nvPicPr>
        <xdr:cNvPr id="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2" y="21678901"/>
          <a:ext cx="275272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85725</xdr:colOff>
      <xdr:row>102</xdr:row>
      <xdr:rowOff>133350</xdr:rowOff>
    </xdr:from>
    <xdr:to>
      <xdr:col>24</xdr:col>
      <xdr:colOff>36931</xdr:colOff>
      <xdr:row>117</xdr:row>
      <xdr:rowOff>19051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91225" y="25603200"/>
          <a:ext cx="3304006" cy="379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120</xdr:row>
      <xdr:rowOff>219076</xdr:rowOff>
    </xdr:from>
    <xdr:to>
      <xdr:col>23</xdr:col>
      <xdr:colOff>171451</xdr:colOff>
      <xdr:row>125</xdr:row>
      <xdr:rowOff>116206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10301" y="30375226"/>
          <a:ext cx="2800350" cy="1230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126</xdr:row>
      <xdr:rowOff>104776</xdr:rowOff>
    </xdr:from>
    <xdr:to>
      <xdr:col>23</xdr:col>
      <xdr:colOff>104777</xdr:colOff>
      <xdr:row>130</xdr:row>
      <xdr:rowOff>1</xdr:rowOff>
    </xdr:to>
    <xdr:pic>
      <xdr:nvPicPr>
        <xdr:cNvPr id="1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2" y="31851601"/>
          <a:ext cx="275272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209550</xdr:colOff>
      <xdr:row>3</xdr:row>
      <xdr:rowOff>57150</xdr:rowOff>
    </xdr:from>
    <xdr:to>
      <xdr:col>13</xdr:col>
      <xdr:colOff>28575</xdr:colOff>
      <xdr:row>21</xdr:row>
      <xdr:rowOff>3441</xdr:rowOff>
    </xdr:to>
    <xdr:pic>
      <xdr:nvPicPr>
        <xdr:cNvPr id="11" name="Picture 10" descr="tuulesuunad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65103" r="-979"/>
        <a:stretch>
          <a:fillRect/>
        </a:stretch>
      </xdr:blipFill>
      <xdr:spPr>
        <a:xfrm>
          <a:off x="2209800" y="685800"/>
          <a:ext cx="2466975" cy="3718191"/>
        </a:xfrm>
        <a:prstGeom prst="rect">
          <a:avLst/>
        </a:prstGeom>
      </xdr:spPr>
    </xdr:pic>
    <xdr:clientData/>
  </xdr:twoCellAnchor>
  <xdr:twoCellAnchor editAs="oneCell">
    <xdr:from>
      <xdr:col>14</xdr:col>
      <xdr:colOff>40774</xdr:colOff>
      <xdr:row>146</xdr:row>
      <xdr:rowOff>86647</xdr:rowOff>
    </xdr:from>
    <xdr:to>
      <xdr:col>21</xdr:col>
      <xdr:colOff>36475</xdr:colOff>
      <xdr:row>160</xdr:row>
      <xdr:rowOff>143732</xdr:rowOff>
    </xdr:to>
    <xdr:pic>
      <xdr:nvPicPr>
        <xdr:cNvPr id="12" name="Picture 11" descr="masti_skeem_2x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184274" y="37167472"/>
          <a:ext cx="2929401" cy="3314635"/>
        </a:xfrm>
        <a:prstGeom prst="rect">
          <a:avLst/>
        </a:prstGeom>
      </xdr:spPr>
    </xdr:pic>
    <xdr:clientData/>
  </xdr:twoCellAnchor>
  <xdr:twoCellAnchor editAs="oneCell">
    <xdr:from>
      <xdr:col>21</xdr:col>
      <xdr:colOff>104775</xdr:colOff>
      <xdr:row>157</xdr:row>
      <xdr:rowOff>199295</xdr:rowOff>
    </xdr:from>
    <xdr:to>
      <xdr:col>26</xdr:col>
      <xdr:colOff>333375</xdr:colOff>
      <xdr:row>173</xdr:row>
      <xdr:rowOff>233032</xdr:rowOff>
    </xdr:to>
    <xdr:pic>
      <xdr:nvPicPr>
        <xdr:cNvPr id="13" name="Picture 12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3592" r="3153"/>
        <a:stretch>
          <a:fillRect/>
        </a:stretch>
      </xdr:blipFill>
      <xdr:spPr>
        <a:xfrm>
          <a:off x="8105775" y="39594695"/>
          <a:ext cx="2324100" cy="3691337"/>
        </a:xfrm>
        <a:prstGeom prst="rect">
          <a:avLst/>
        </a:prstGeom>
      </xdr:spPr>
    </xdr:pic>
    <xdr:clientData/>
  </xdr:twoCellAnchor>
  <xdr:twoCellAnchor editAs="oneCell">
    <xdr:from>
      <xdr:col>15</xdr:col>
      <xdr:colOff>253254</xdr:colOff>
      <xdr:row>173</xdr:row>
      <xdr:rowOff>225857</xdr:rowOff>
    </xdr:from>
    <xdr:to>
      <xdr:col>22</xdr:col>
      <xdr:colOff>248955</xdr:colOff>
      <xdr:row>188</xdr:row>
      <xdr:rowOff>32234</xdr:rowOff>
    </xdr:to>
    <xdr:pic>
      <xdr:nvPicPr>
        <xdr:cNvPr id="14" name="Picture 13" descr="masti_skeem_2x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815854" y="43536032"/>
          <a:ext cx="2929401" cy="3311577"/>
        </a:xfrm>
        <a:prstGeom prst="rect">
          <a:avLst/>
        </a:prstGeom>
      </xdr:spPr>
    </xdr:pic>
    <xdr:clientData/>
  </xdr:twoCellAnchor>
  <xdr:twoCellAnchor>
    <xdr:from>
      <xdr:col>4</xdr:col>
      <xdr:colOff>183174</xdr:colOff>
      <xdr:row>187</xdr:row>
      <xdr:rowOff>84424</xdr:rowOff>
    </xdr:from>
    <xdr:to>
      <xdr:col>6</xdr:col>
      <xdr:colOff>454270</xdr:colOff>
      <xdr:row>189</xdr:row>
      <xdr:rowOff>46613</xdr:rowOff>
    </xdr:to>
    <xdr:pic>
      <xdr:nvPicPr>
        <xdr:cNvPr id="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59499" y="46671199"/>
          <a:ext cx="1233121" cy="419389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228600</xdr:colOff>
      <xdr:row>189</xdr:row>
      <xdr:rowOff>48718</xdr:rowOff>
    </xdr:from>
    <xdr:to>
      <xdr:col>21</xdr:col>
      <xdr:colOff>85725</xdr:colOff>
      <xdr:row>204</xdr:row>
      <xdr:rowOff>191266</xdr:rowOff>
    </xdr:to>
    <xdr:pic>
      <xdr:nvPicPr>
        <xdr:cNvPr id="16" name="Picture 15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2499" r="1010"/>
        <a:stretch>
          <a:fillRect/>
        </a:stretch>
      </xdr:blipFill>
      <xdr:spPr>
        <a:xfrm>
          <a:off x="5715000" y="46835518"/>
          <a:ext cx="2371725" cy="3571548"/>
        </a:xfrm>
        <a:prstGeom prst="rect">
          <a:avLst/>
        </a:prstGeom>
      </xdr:spPr>
    </xdr:pic>
    <xdr:clientData/>
  </xdr:twoCellAnchor>
  <xdr:twoCellAnchor>
    <xdr:from>
      <xdr:col>4</xdr:col>
      <xdr:colOff>191457</xdr:colOff>
      <xdr:row>218</xdr:row>
      <xdr:rowOff>59576</xdr:rowOff>
    </xdr:from>
    <xdr:to>
      <xdr:col>6</xdr:col>
      <xdr:colOff>462553</xdr:colOff>
      <xdr:row>220</xdr:row>
      <xdr:rowOff>21765</xdr:rowOff>
    </xdr:to>
    <xdr:pic>
      <xdr:nvPicPr>
        <xdr:cNvPr id="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67782" y="53771051"/>
          <a:ext cx="1223596" cy="419389"/>
        </a:xfrm>
        <a:prstGeom prst="rect">
          <a:avLst/>
        </a:prstGeom>
        <a:noFill/>
      </xdr:spPr>
    </xdr:pic>
    <xdr:clientData/>
  </xdr:twoCellAnchor>
  <xdr:twoCellAnchor>
    <xdr:from>
      <xdr:col>13</xdr:col>
      <xdr:colOff>77749</xdr:colOff>
      <xdr:row>210</xdr:row>
      <xdr:rowOff>185370</xdr:rowOff>
    </xdr:from>
    <xdr:to>
      <xdr:col>16</xdr:col>
      <xdr:colOff>177312</xdr:colOff>
      <xdr:row>216</xdr:row>
      <xdr:rowOff>208084</xdr:rowOff>
    </xdr:to>
    <xdr:grpSp>
      <xdr:nvGrpSpPr>
        <xdr:cNvPr id="18" name="Group 17"/>
        <xdr:cNvGrpSpPr/>
      </xdr:nvGrpSpPr>
      <xdr:grpSpPr>
        <a:xfrm>
          <a:off x="4764049" y="51791820"/>
          <a:ext cx="1356863" cy="1413364"/>
          <a:chOff x="6384074" y="21936808"/>
          <a:chExt cx="3003911" cy="1414096"/>
        </a:xfrm>
      </xdr:grpSpPr>
      <xdr:sp macro="" textlink="">
        <xdr:nvSpPr>
          <xdr:cNvPr id="19" name="Freeform 18"/>
          <xdr:cNvSpPr/>
        </xdr:nvSpPr>
        <xdr:spPr>
          <a:xfrm>
            <a:off x="7319596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sp macro="" textlink="">
        <xdr:nvSpPr>
          <xdr:cNvPr id="20" name="Freeform 19"/>
          <xdr:cNvSpPr/>
        </xdr:nvSpPr>
        <xdr:spPr>
          <a:xfrm rot="10800000">
            <a:off x="8806961" y="21936808"/>
            <a:ext cx="581024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858179"/>
                </a:lnTo>
                <a:lnTo>
                  <a:pt x="273579" y="858179"/>
                </a:lnTo>
                <a:lnTo>
                  <a:pt x="273579" y="133609"/>
                </a:lnTo>
                <a:lnTo>
                  <a:pt x="0" y="133609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21" name="Straight Arrow Connector 20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2" name="TextBox 21"/>
          <xdr:cNvSpPr txBox="1"/>
        </xdr:nvSpPr>
        <xdr:spPr>
          <a:xfrm>
            <a:off x="6384074" y="22288500"/>
            <a:ext cx="1032663" cy="24178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>
    <xdr:from>
      <xdr:col>4</xdr:col>
      <xdr:colOff>191457</xdr:colOff>
      <xdr:row>251</xdr:row>
      <xdr:rowOff>76141</xdr:rowOff>
    </xdr:from>
    <xdr:to>
      <xdr:col>6</xdr:col>
      <xdr:colOff>462553</xdr:colOff>
      <xdr:row>253</xdr:row>
      <xdr:rowOff>38330</xdr:rowOff>
    </xdr:to>
    <xdr:pic>
      <xdr:nvPicPr>
        <xdr:cNvPr id="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67782" y="61388566"/>
          <a:ext cx="1223596" cy="419389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38100</xdr:colOff>
      <xdr:row>261</xdr:row>
      <xdr:rowOff>179509</xdr:rowOff>
    </xdr:from>
    <xdr:to>
      <xdr:col>25</xdr:col>
      <xdr:colOff>57150</xdr:colOff>
      <xdr:row>277</xdr:row>
      <xdr:rowOff>139976</xdr:rowOff>
    </xdr:to>
    <xdr:pic>
      <xdr:nvPicPr>
        <xdr:cNvPr id="24" name="Picture 23" descr="tuulesuunad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63353" r="4266"/>
        <a:stretch>
          <a:fillRect/>
        </a:stretch>
      </xdr:blipFill>
      <xdr:spPr>
        <a:xfrm>
          <a:off x="7200900" y="63577909"/>
          <a:ext cx="2533650" cy="3770467"/>
        </a:xfrm>
        <a:prstGeom prst="rect">
          <a:avLst/>
        </a:prstGeom>
      </xdr:spPr>
    </xdr:pic>
    <xdr:clientData/>
  </xdr:twoCellAnchor>
  <xdr:twoCellAnchor>
    <xdr:from>
      <xdr:col>11</xdr:col>
      <xdr:colOff>413659</xdr:colOff>
      <xdr:row>240</xdr:row>
      <xdr:rowOff>148636</xdr:rowOff>
    </xdr:from>
    <xdr:to>
      <xdr:col>16</xdr:col>
      <xdr:colOff>102579</xdr:colOff>
      <xdr:row>247</xdr:row>
      <xdr:rowOff>87922</xdr:rowOff>
    </xdr:to>
    <xdr:grpSp>
      <xdr:nvGrpSpPr>
        <xdr:cNvPr id="25" name="Group 24"/>
        <xdr:cNvGrpSpPr/>
      </xdr:nvGrpSpPr>
      <xdr:grpSpPr>
        <a:xfrm>
          <a:off x="4261759" y="58651186"/>
          <a:ext cx="1784420" cy="1539486"/>
          <a:chOff x="6440277" y="21936818"/>
          <a:chExt cx="2072249" cy="1414096"/>
        </a:xfrm>
      </xdr:grpSpPr>
      <xdr:sp macro="" textlink="">
        <xdr:nvSpPr>
          <xdr:cNvPr id="26" name="Freeform 25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27" name="Straight Arrow Connector 26"/>
          <xdr:cNvCxnSpPr/>
        </xdr:nvCxnSpPr>
        <xdr:spPr>
          <a:xfrm>
            <a:off x="6440277" y="22588904"/>
            <a:ext cx="842598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8" name="TextBox 27"/>
          <xdr:cNvSpPr txBox="1"/>
        </xdr:nvSpPr>
        <xdr:spPr>
          <a:xfrm>
            <a:off x="6577270" y="22261956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>
    <xdr:from>
      <xdr:col>4</xdr:col>
      <xdr:colOff>191457</xdr:colOff>
      <xdr:row>290</xdr:row>
      <xdr:rowOff>59576</xdr:rowOff>
    </xdr:from>
    <xdr:to>
      <xdr:col>6</xdr:col>
      <xdr:colOff>462553</xdr:colOff>
      <xdr:row>292</xdr:row>
      <xdr:rowOff>21765</xdr:rowOff>
    </xdr:to>
    <xdr:pic>
      <xdr:nvPicPr>
        <xdr:cNvPr id="2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67782" y="70554101"/>
          <a:ext cx="1223596" cy="419389"/>
        </a:xfrm>
        <a:prstGeom prst="rect">
          <a:avLst/>
        </a:prstGeom>
        <a:noFill/>
      </xdr:spPr>
    </xdr:pic>
    <xdr:clientData/>
  </xdr:twoCellAnchor>
  <xdr:twoCellAnchor>
    <xdr:from>
      <xdr:col>12</xdr:col>
      <xdr:colOff>25331</xdr:colOff>
      <xdr:row>279</xdr:row>
      <xdr:rowOff>148642</xdr:rowOff>
    </xdr:from>
    <xdr:to>
      <xdr:col>14</xdr:col>
      <xdr:colOff>175847</xdr:colOff>
      <xdr:row>286</xdr:row>
      <xdr:rowOff>87928</xdr:rowOff>
    </xdr:to>
    <xdr:grpSp>
      <xdr:nvGrpSpPr>
        <xdr:cNvPr id="30" name="Group 29"/>
        <xdr:cNvGrpSpPr/>
      </xdr:nvGrpSpPr>
      <xdr:grpSpPr>
        <a:xfrm>
          <a:off x="4292531" y="67833292"/>
          <a:ext cx="988716" cy="1539486"/>
          <a:chOff x="6528288" y="21936825"/>
          <a:chExt cx="1984238" cy="1414096"/>
        </a:xfrm>
      </xdr:grpSpPr>
      <xdr:sp macro="" textlink="">
        <xdr:nvSpPr>
          <xdr:cNvPr id="31" name="Freeform 30"/>
          <xdr:cNvSpPr/>
        </xdr:nvSpPr>
        <xdr:spPr>
          <a:xfrm>
            <a:off x="7319599" y="21936818"/>
            <a:ext cx="1192927" cy="1414096"/>
          </a:xfrm>
          <a:custGeom>
            <a:avLst/>
            <a:gdLst>
              <a:gd name="connsiteX0" fmla="*/ 175846 w 1172308"/>
              <a:gd name="connsiteY0" fmla="*/ 0 h 1135674"/>
              <a:gd name="connsiteX1" fmla="*/ 1172308 w 1172308"/>
              <a:gd name="connsiteY1" fmla="*/ 0 h 1135674"/>
              <a:gd name="connsiteX2" fmla="*/ 1172308 w 1172308"/>
              <a:gd name="connsiteY2" fmla="*/ 1135674 h 1135674"/>
              <a:gd name="connsiteX3" fmla="*/ 293077 w 1172308"/>
              <a:gd name="connsiteY3" fmla="*/ 1135674 h 1135674"/>
              <a:gd name="connsiteX4" fmla="*/ 307731 w 1172308"/>
              <a:gd name="connsiteY4" fmla="*/ 981808 h 1135674"/>
              <a:gd name="connsiteX5" fmla="*/ 908538 w 1172308"/>
              <a:gd name="connsiteY5" fmla="*/ 981808 h 1135674"/>
              <a:gd name="connsiteX6" fmla="*/ 901212 w 1172308"/>
              <a:gd name="connsiteY6" fmla="*/ 212481 h 1135674"/>
              <a:gd name="connsiteX7" fmla="*/ 205154 w 1172308"/>
              <a:gd name="connsiteY7" fmla="*/ 175847 h 1135674"/>
              <a:gd name="connsiteX8" fmla="*/ 139212 w 1172308"/>
              <a:gd name="connsiteY8" fmla="*/ 36635 h 1135674"/>
              <a:gd name="connsiteX9" fmla="*/ 0 w 1172308"/>
              <a:gd name="connsiteY9" fmla="*/ 73270 h 1135674"/>
              <a:gd name="connsiteX10" fmla="*/ 175846 w 1172308"/>
              <a:gd name="connsiteY10" fmla="*/ 0 h 1135674"/>
              <a:gd name="connsiteX0" fmla="*/ 36634 w 1033096"/>
              <a:gd name="connsiteY0" fmla="*/ 0 h 1135674"/>
              <a:gd name="connsiteX1" fmla="*/ 1033096 w 1033096"/>
              <a:gd name="connsiteY1" fmla="*/ 0 h 1135674"/>
              <a:gd name="connsiteX2" fmla="*/ 1033096 w 1033096"/>
              <a:gd name="connsiteY2" fmla="*/ 1135674 h 1135674"/>
              <a:gd name="connsiteX3" fmla="*/ 153865 w 1033096"/>
              <a:gd name="connsiteY3" fmla="*/ 1135674 h 1135674"/>
              <a:gd name="connsiteX4" fmla="*/ 168519 w 1033096"/>
              <a:gd name="connsiteY4" fmla="*/ 981808 h 1135674"/>
              <a:gd name="connsiteX5" fmla="*/ 769326 w 1033096"/>
              <a:gd name="connsiteY5" fmla="*/ 981808 h 1135674"/>
              <a:gd name="connsiteX6" fmla="*/ 762000 w 1033096"/>
              <a:gd name="connsiteY6" fmla="*/ 212481 h 1135674"/>
              <a:gd name="connsiteX7" fmla="*/ 65942 w 1033096"/>
              <a:gd name="connsiteY7" fmla="*/ 175847 h 1135674"/>
              <a:gd name="connsiteX8" fmla="*/ 0 w 1033096"/>
              <a:gd name="connsiteY8" fmla="*/ 36635 h 1135674"/>
              <a:gd name="connsiteX9" fmla="*/ 36634 w 1033096"/>
              <a:gd name="connsiteY9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0 w 996462"/>
              <a:gd name="connsiteY0" fmla="*/ 0 h 1135674"/>
              <a:gd name="connsiteX1" fmla="*/ 996462 w 996462"/>
              <a:gd name="connsiteY1" fmla="*/ 0 h 1135674"/>
              <a:gd name="connsiteX2" fmla="*/ 996462 w 996462"/>
              <a:gd name="connsiteY2" fmla="*/ 1135674 h 1135674"/>
              <a:gd name="connsiteX3" fmla="*/ 117231 w 996462"/>
              <a:gd name="connsiteY3" fmla="*/ 1135674 h 1135674"/>
              <a:gd name="connsiteX4" fmla="*/ 131885 w 996462"/>
              <a:gd name="connsiteY4" fmla="*/ 981808 h 1135674"/>
              <a:gd name="connsiteX5" fmla="*/ 732692 w 996462"/>
              <a:gd name="connsiteY5" fmla="*/ 981808 h 1135674"/>
              <a:gd name="connsiteX6" fmla="*/ 725366 w 996462"/>
              <a:gd name="connsiteY6" fmla="*/ 212481 h 1135674"/>
              <a:gd name="connsiteX7" fmla="*/ 29308 w 996462"/>
              <a:gd name="connsiteY7" fmla="*/ 175847 h 1135674"/>
              <a:gd name="connsiteX8" fmla="*/ 0 w 996462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138322 w 1002899"/>
              <a:gd name="connsiteY4" fmla="*/ 981808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6437 w 1002899"/>
              <a:gd name="connsiteY0" fmla="*/ 0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6437 w 1002899"/>
              <a:gd name="connsiteY8" fmla="*/ 0 h 1135674"/>
              <a:gd name="connsiteX0" fmla="*/ 0 w 1002899"/>
              <a:gd name="connsiteY0" fmla="*/ 51389 h 1135674"/>
              <a:gd name="connsiteX1" fmla="*/ 1002899 w 1002899"/>
              <a:gd name="connsiteY1" fmla="*/ 0 h 1135674"/>
              <a:gd name="connsiteX2" fmla="*/ 1002899 w 1002899"/>
              <a:gd name="connsiteY2" fmla="*/ 1135674 h 1135674"/>
              <a:gd name="connsiteX3" fmla="*/ 123668 w 1002899"/>
              <a:gd name="connsiteY3" fmla="*/ 1135674 h 1135674"/>
              <a:gd name="connsiteX4" fmla="*/ 0 w 1002899"/>
              <a:gd name="connsiteY4" fmla="*/ 1043176 h 1135674"/>
              <a:gd name="connsiteX5" fmla="*/ 739129 w 1002899"/>
              <a:gd name="connsiteY5" fmla="*/ 981808 h 1135674"/>
              <a:gd name="connsiteX6" fmla="*/ 731803 w 1002899"/>
              <a:gd name="connsiteY6" fmla="*/ 212481 h 1135674"/>
              <a:gd name="connsiteX7" fmla="*/ 0 w 1002899"/>
              <a:gd name="connsiteY7" fmla="*/ 184997 h 1135674"/>
              <a:gd name="connsiteX8" fmla="*/ 0 w 1002899"/>
              <a:gd name="connsiteY8" fmla="*/ 51389 h 1135674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731803 w 1002899"/>
              <a:gd name="connsiteY6" fmla="*/ 161092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739129 w 1002899"/>
              <a:gd name="connsiteY5" fmla="*/ 930419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991787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123668 w 1002899"/>
              <a:gd name="connsiteY3" fmla="*/ 1084285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1002899"/>
              <a:gd name="connsiteY0" fmla="*/ 0 h 1084285"/>
              <a:gd name="connsiteX1" fmla="*/ 880925 w 1002899"/>
              <a:gd name="connsiteY1" fmla="*/ 0 h 1084285"/>
              <a:gd name="connsiteX2" fmla="*/ 1002899 w 1002899"/>
              <a:gd name="connsiteY2" fmla="*/ 1084285 h 1084285"/>
              <a:gd name="connsiteX3" fmla="*/ 0 w 1002899"/>
              <a:gd name="connsiteY3" fmla="*/ 991787 h 1084285"/>
              <a:gd name="connsiteX4" fmla="*/ 0 w 1002899"/>
              <a:gd name="connsiteY4" fmla="*/ 858178 h 1084285"/>
              <a:gd name="connsiteX5" fmla="*/ 660694 w 1002899"/>
              <a:gd name="connsiteY5" fmla="*/ 858178 h 1084285"/>
              <a:gd name="connsiteX6" fmla="*/ 660694 w 1002899"/>
              <a:gd name="connsiteY6" fmla="*/ 133608 h 1084285"/>
              <a:gd name="connsiteX7" fmla="*/ 0 w 1002899"/>
              <a:gd name="connsiteY7" fmla="*/ 133608 h 1084285"/>
              <a:gd name="connsiteX8" fmla="*/ 0 w 1002899"/>
              <a:gd name="connsiteY8" fmla="*/ 0 h 1084285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660694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660694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0 w 880925"/>
              <a:gd name="connsiteY7" fmla="*/ 133608 h 991787"/>
              <a:gd name="connsiteX8" fmla="*/ 0 w 880925"/>
              <a:gd name="connsiteY8" fmla="*/ 0 h 991787"/>
              <a:gd name="connsiteX0" fmla="*/ 0 w 880925"/>
              <a:gd name="connsiteY0" fmla="*/ 0 h 991787"/>
              <a:gd name="connsiteX1" fmla="*/ 880925 w 880925"/>
              <a:gd name="connsiteY1" fmla="*/ 0 h 991787"/>
              <a:gd name="connsiteX2" fmla="*/ 880925 w 880925"/>
              <a:gd name="connsiteY2" fmla="*/ 991787 h 991787"/>
              <a:gd name="connsiteX3" fmla="*/ 0 w 880925"/>
              <a:gd name="connsiteY3" fmla="*/ 991787 h 991787"/>
              <a:gd name="connsiteX4" fmla="*/ 0 w 880925"/>
              <a:gd name="connsiteY4" fmla="*/ 858178 h 991787"/>
              <a:gd name="connsiteX5" fmla="*/ 820738 w 880925"/>
              <a:gd name="connsiteY5" fmla="*/ 858178 h 991787"/>
              <a:gd name="connsiteX6" fmla="*/ 820738 w 880925"/>
              <a:gd name="connsiteY6" fmla="*/ 133608 h 991787"/>
              <a:gd name="connsiteX7" fmla="*/ 547159 w 880925"/>
              <a:gd name="connsiteY7" fmla="*/ 133608 h 991787"/>
              <a:gd name="connsiteX8" fmla="*/ 0 w 880925"/>
              <a:gd name="connsiteY8" fmla="*/ 0 h 991787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0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547159 w 880925"/>
              <a:gd name="connsiteY0" fmla="*/ 0 h 991788"/>
              <a:gd name="connsiteX1" fmla="*/ 880925 w 880925"/>
              <a:gd name="connsiteY1" fmla="*/ 1 h 991788"/>
              <a:gd name="connsiteX2" fmla="*/ 880925 w 880925"/>
              <a:gd name="connsiteY2" fmla="*/ 991788 h 991788"/>
              <a:gd name="connsiteX3" fmla="*/ 0 w 880925"/>
              <a:gd name="connsiteY3" fmla="*/ 991788 h 991788"/>
              <a:gd name="connsiteX4" fmla="*/ 547159 w 880925"/>
              <a:gd name="connsiteY4" fmla="*/ 858179 h 991788"/>
              <a:gd name="connsiteX5" fmla="*/ 820738 w 880925"/>
              <a:gd name="connsiteY5" fmla="*/ 858179 h 991788"/>
              <a:gd name="connsiteX6" fmla="*/ 820738 w 880925"/>
              <a:gd name="connsiteY6" fmla="*/ 133609 h 991788"/>
              <a:gd name="connsiteX7" fmla="*/ 547159 w 880925"/>
              <a:gd name="connsiteY7" fmla="*/ 133609 h 991788"/>
              <a:gd name="connsiteX8" fmla="*/ 547159 w 880925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73579 w 333766"/>
              <a:gd name="connsiteY6" fmla="*/ 133609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73579 w 333766"/>
              <a:gd name="connsiteY5" fmla="*/ 858179 h 991788"/>
              <a:gd name="connsiteX6" fmla="*/ 2447 w 333766"/>
              <a:gd name="connsiteY6" fmla="*/ 145778 h 991788"/>
              <a:gd name="connsiteX7" fmla="*/ 0 w 333766"/>
              <a:gd name="connsiteY7" fmla="*/ 133609 h 991788"/>
              <a:gd name="connsiteX8" fmla="*/ 0 w 333766"/>
              <a:gd name="connsiteY8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858179 h 991788"/>
              <a:gd name="connsiteX5" fmla="*/ 2447 w 333766"/>
              <a:gd name="connsiteY5" fmla="*/ 145778 h 991788"/>
              <a:gd name="connsiteX6" fmla="*/ 0 w 333766"/>
              <a:gd name="connsiteY6" fmla="*/ 133609 h 991788"/>
              <a:gd name="connsiteX7" fmla="*/ 0 w 333766"/>
              <a:gd name="connsiteY7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133609 h 991788"/>
              <a:gd name="connsiteX6" fmla="*/ 0 w 333766"/>
              <a:gd name="connsiteY6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2447 w 333766"/>
              <a:gd name="connsiteY4" fmla="*/ 145778 h 991788"/>
              <a:gd name="connsiteX5" fmla="*/ 0 w 333766"/>
              <a:gd name="connsiteY5" fmla="*/ 0 h 991788"/>
              <a:gd name="connsiteX0" fmla="*/ 55628 w 389394"/>
              <a:gd name="connsiteY0" fmla="*/ 0 h 991788"/>
              <a:gd name="connsiteX1" fmla="*/ 389394 w 389394"/>
              <a:gd name="connsiteY1" fmla="*/ 1 h 991788"/>
              <a:gd name="connsiteX2" fmla="*/ 389394 w 389394"/>
              <a:gd name="connsiteY2" fmla="*/ 991788 h 991788"/>
              <a:gd name="connsiteX3" fmla="*/ 55628 w 389394"/>
              <a:gd name="connsiteY3" fmla="*/ 991788 h 991788"/>
              <a:gd name="connsiteX4" fmla="*/ 55628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165298 h 1157086"/>
              <a:gd name="connsiteX1" fmla="*/ 333766 w 389394"/>
              <a:gd name="connsiteY1" fmla="*/ 165299 h 1157086"/>
              <a:gd name="connsiteX2" fmla="*/ 333766 w 389394"/>
              <a:gd name="connsiteY2" fmla="*/ 1157086 h 1157086"/>
              <a:gd name="connsiteX3" fmla="*/ 0 w 389394"/>
              <a:gd name="connsiteY3" fmla="*/ 1157086 h 1157086"/>
              <a:gd name="connsiteX4" fmla="*/ 0 w 389394"/>
              <a:gd name="connsiteY4" fmla="*/ 165298 h 1157086"/>
              <a:gd name="connsiteX0" fmla="*/ 0 w 389394"/>
              <a:gd name="connsiteY0" fmla="*/ 0 h 991788"/>
              <a:gd name="connsiteX1" fmla="*/ 333766 w 389394"/>
              <a:gd name="connsiteY1" fmla="*/ 1 h 991788"/>
              <a:gd name="connsiteX2" fmla="*/ 333766 w 389394"/>
              <a:gd name="connsiteY2" fmla="*/ 991788 h 991788"/>
              <a:gd name="connsiteX3" fmla="*/ 0 w 389394"/>
              <a:gd name="connsiteY3" fmla="*/ 991788 h 991788"/>
              <a:gd name="connsiteX4" fmla="*/ 0 w 389394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  <a:gd name="connsiteX0" fmla="*/ 0 w 333766"/>
              <a:gd name="connsiteY0" fmla="*/ 0 h 991788"/>
              <a:gd name="connsiteX1" fmla="*/ 333766 w 333766"/>
              <a:gd name="connsiteY1" fmla="*/ 1 h 991788"/>
              <a:gd name="connsiteX2" fmla="*/ 333766 w 333766"/>
              <a:gd name="connsiteY2" fmla="*/ 991788 h 991788"/>
              <a:gd name="connsiteX3" fmla="*/ 0 w 333766"/>
              <a:gd name="connsiteY3" fmla="*/ 991788 h 991788"/>
              <a:gd name="connsiteX4" fmla="*/ 0 w 333766"/>
              <a:gd name="connsiteY4" fmla="*/ 0 h 9917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3766" h="991788">
                <a:moveTo>
                  <a:pt x="0" y="0"/>
                </a:moveTo>
                <a:lnTo>
                  <a:pt x="333766" y="1"/>
                </a:lnTo>
                <a:lnTo>
                  <a:pt x="333766" y="991788"/>
                </a:lnTo>
                <a:lnTo>
                  <a:pt x="0" y="991788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t-EE" sz="1100"/>
          </a:p>
        </xdr:txBody>
      </xdr:sp>
      <xdr:cxnSp macro="">
        <xdr:nvCxnSpPr>
          <xdr:cNvPr id="32" name="Straight Arrow Connector 31"/>
          <xdr:cNvCxnSpPr/>
        </xdr:nvCxnSpPr>
        <xdr:spPr>
          <a:xfrm>
            <a:off x="6528288" y="22588904"/>
            <a:ext cx="842597" cy="0"/>
          </a:xfrm>
          <a:prstGeom prst="straightConnector1">
            <a:avLst/>
          </a:prstGeom>
          <a:ln>
            <a:tailEnd type="arrow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3" name="TextBox 32"/>
          <xdr:cNvSpPr txBox="1"/>
        </xdr:nvSpPr>
        <xdr:spPr>
          <a:xfrm>
            <a:off x="6569938" y="22188694"/>
            <a:ext cx="478701" cy="345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none" rtlCol="0" anchor="ctr">
            <a:spAutoFit/>
          </a:bodyPr>
          <a:lstStyle/>
          <a:p>
            <a:r>
              <a:rPr lang="et-EE" sz="1100"/>
              <a:t>Tuul</a:t>
            </a:r>
          </a:p>
        </xdr:txBody>
      </xdr:sp>
    </xdr:grpSp>
    <xdr:clientData/>
  </xdr:twoCellAnchor>
  <xdr:twoCellAnchor>
    <xdr:from>
      <xdr:col>22</xdr:col>
      <xdr:colOff>66676</xdr:colOff>
      <xdr:row>143</xdr:row>
      <xdr:rowOff>142875</xdr:rowOff>
    </xdr:from>
    <xdr:to>
      <xdr:col>37</xdr:col>
      <xdr:colOff>57150</xdr:colOff>
      <xdr:row>155</xdr:row>
      <xdr:rowOff>114876</xdr:rowOff>
    </xdr:to>
    <xdr:grpSp>
      <xdr:nvGrpSpPr>
        <xdr:cNvPr id="34" name="Group 33"/>
        <xdr:cNvGrpSpPr/>
      </xdr:nvGrpSpPr>
      <xdr:grpSpPr>
        <a:xfrm>
          <a:off x="8524876" y="36242625"/>
          <a:ext cx="6276974" cy="2810451"/>
          <a:chOff x="762000" y="35833050"/>
          <a:chExt cx="8211697" cy="4124901"/>
        </a:xfrm>
      </xdr:grpSpPr>
      <xdr:pic>
        <xdr:nvPicPr>
          <xdr:cNvPr id="35" name="Picture 34" descr="varraste tuuletakistustegur jääga.PNG"/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tretch>
            <a:fillRect/>
          </a:stretch>
        </xdr:blipFill>
        <xdr:spPr>
          <a:xfrm>
            <a:off x="762000" y="35833050"/>
            <a:ext cx="8211697" cy="4124901"/>
          </a:xfrm>
          <a:prstGeom prst="rect">
            <a:avLst/>
          </a:prstGeom>
        </xdr:spPr>
      </xdr:pic>
      <xdr:sp macro="" textlink="">
        <xdr:nvSpPr>
          <xdr:cNvPr id="36" name="TextBox 35"/>
          <xdr:cNvSpPr txBox="1"/>
        </xdr:nvSpPr>
        <xdr:spPr>
          <a:xfrm>
            <a:off x="6915150" y="35947350"/>
            <a:ext cx="1247775" cy="3333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t-EE" sz="1100"/>
              <a:t>DIN</a:t>
            </a:r>
            <a:r>
              <a:rPr lang="et-EE" sz="1100" baseline="0"/>
              <a:t> EN  10143</a:t>
            </a:r>
            <a:endParaRPr lang="et-EE" sz="1100"/>
          </a:p>
        </xdr:txBody>
      </xdr:sp>
    </xdr:grpSp>
    <xdr:clientData/>
  </xdr:twoCellAnchor>
  <xdr:twoCellAnchor editAs="oneCell">
    <xdr:from>
      <xdr:col>16</xdr:col>
      <xdr:colOff>85725</xdr:colOff>
      <xdr:row>321</xdr:row>
      <xdr:rowOff>133350</xdr:rowOff>
    </xdr:from>
    <xdr:to>
      <xdr:col>24</xdr:col>
      <xdr:colOff>36931</xdr:colOff>
      <xdr:row>336</xdr:row>
      <xdr:rowOff>19051</xdr:rowOff>
    </xdr:to>
    <xdr:pic>
      <xdr:nvPicPr>
        <xdr:cNvPr id="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67425" y="77724000"/>
          <a:ext cx="3304006" cy="37909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304801</xdr:colOff>
      <xdr:row>339</xdr:row>
      <xdr:rowOff>219076</xdr:rowOff>
    </xdr:from>
    <xdr:to>
      <xdr:col>23</xdr:col>
      <xdr:colOff>171451</xdr:colOff>
      <xdr:row>344</xdr:row>
      <xdr:rowOff>116206</xdr:rowOff>
    </xdr:to>
    <xdr:pic>
      <xdr:nvPicPr>
        <xdr:cNvPr id="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6501" y="82496026"/>
          <a:ext cx="2800350" cy="1230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285752</xdr:colOff>
      <xdr:row>345</xdr:row>
      <xdr:rowOff>104776</xdr:rowOff>
    </xdr:from>
    <xdr:to>
      <xdr:col>23</xdr:col>
      <xdr:colOff>104777</xdr:colOff>
      <xdr:row>349</xdr:row>
      <xdr:rowOff>1</xdr:rowOff>
    </xdr:to>
    <xdr:pic>
      <xdr:nvPicPr>
        <xdr:cNvPr id="3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67452" y="83972401"/>
          <a:ext cx="275272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Energia%20ja%20Planeeringud/2010_0167_Harku_Lihula_Sindi_Trassivalik/1_Sisend/9_Mastide_projekteerimine/XLSX/2010_0167_Mastid_arvut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10_0167_Mastid_arvutu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XLC\XLC.xla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ETOONMAST-TUUL"/>
      <sheetName val="SÕRESTIK-TUUL"/>
      <sheetName val="VARRAS1"/>
      <sheetName val="Üldinfo"/>
      <sheetName val="Kontroll"/>
      <sheetName val="Ristlõiked"/>
      <sheetName val="Poltliide"/>
      <sheetName val="TUULEKOORMUS 1"/>
      <sheetName val="TUULEKOORMUS 2"/>
      <sheetName val="TUULEKOORMUS 3"/>
      <sheetName val="TUUL JÄITUND MASTILE 1"/>
      <sheetName val="TUUL JÄITUND MASTILE 2"/>
      <sheetName val="TUUL JÄITUND MASTILE 3"/>
      <sheetName val="KOORMUSED"/>
      <sheetName val="KOMBINATSIOONID_1"/>
      <sheetName val="KOMBINATSIOONID_2"/>
      <sheetName val="KOMB_7_SISEJ6UD"/>
      <sheetName val="MUDELI_KONTROLL"/>
      <sheetName val="RESULTS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45×4</v>
          </cell>
          <cell r="B5">
            <v>2.74</v>
          </cell>
          <cell r="C5">
            <v>3.49</v>
          </cell>
          <cell r="D5">
            <v>7</v>
          </cell>
          <cell r="E5">
            <v>1.23</v>
          </cell>
          <cell r="F5">
            <v>1.75</v>
          </cell>
          <cell r="G5">
            <v>1.57</v>
          </cell>
          <cell r="H5">
            <v>6.43</v>
          </cell>
          <cell r="I5">
            <v>1.97</v>
          </cell>
          <cell r="J5">
            <v>1.36</v>
          </cell>
          <cell r="K5">
            <v>10.199999999999999</v>
          </cell>
          <cell r="L5">
            <v>1.71</v>
          </cell>
          <cell r="M5">
            <v>2.68</v>
          </cell>
          <cell r="N5">
            <v>1.53</v>
          </cell>
          <cell r="O5">
            <v>0.88</v>
          </cell>
          <cell r="P5">
            <v>45</v>
          </cell>
          <cell r="Q5">
            <v>4</v>
          </cell>
        </row>
        <row r="6">
          <cell r="A6" t="str">
            <v>45×5</v>
          </cell>
          <cell r="B6">
            <v>3.38</v>
          </cell>
          <cell r="C6">
            <v>4.3</v>
          </cell>
          <cell r="D6">
            <v>7</v>
          </cell>
          <cell r="E6">
            <v>1.28</v>
          </cell>
          <cell r="F6">
            <v>1.81</v>
          </cell>
          <cell r="G6">
            <v>1.58</v>
          </cell>
          <cell r="H6">
            <v>7.83</v>
          </cell>
          <cell r="I6">
            <v>2.4300000000000002</v>
          </cell>
          <cell r="J6">
            <v>1.35</v>
          </cell>
          <cell r="K6">
            <v>12.4</v>
          </cell>
          <cell r="L6">
            <v>1.7</v>
          </cell>
          <cell r="M6">
            <v>3.25</v>
          </cell>
          <cell r="N6">
            <v>1.8</v>
          </cell>
          <cell r="O6">
            <v>0.87</v>
          </cell>
          <cell r="P6">
            <v>45</v>
          </cell>
          <cell r="Q6">
            <v>5</v>
          </cell>
        </row>
        <row r="7">
          <cell r="A7" t="str">
            <v>50×5</v>
          </cell>
          <cell r="B7">
            <v>3.77</v>
          </cell>
          <cell r="C7">
            <v>4.8</v>
          </cell>
          <cell r="D7">
            <v>7</v>
          </cell>
          <cell r="E7">
            <v>1.4</v>
          </cell>
          <cell r="F7">
            <v>1.98</v>
          </cell>
          <cell r="G7">
            <v>1.76</v>
          </cell>
          <cell r="H7">
            <v>11</v>
          </cell>
          <cell r="I7">
            <v>3.05</v>
          </cell>
          <cell r="J7">
            <v>1.51</v>
          </cell>
          <cell r="K7">
            <v>17.399999999999999</v>
          </cell>
          <cell r="L7">
            <v>1.9</v>
          </cell>
          <cell r="M7">
            <v>4.59</v>
          </cell>
          <cell r="N7">
            <v>2.3199999999999998</v>
          </cell>
          <cell r="O7">
            <v>0.98</v>
          </cell>
          <cell r="P7">
            <v>50</v>
          </cell>
          <cell r="Q7">
            <v>5</v>
          </cell>
        </row>
        <row r="8">
          <cell r="A8" t="str">
            <v>50×6</v>
          </cell>
          <cell r="B8">
            <v>4.47</v>
          </cell>
          <cell r="C8">
            <v>5.69</v>
          </cell>
          <cell r="D8">
            <v>7</v>
          </cell>
          <cell r="E8">
            <v>1.45</v>
          </cell>
          <cell r="F8">
            <v>2.04</v>
          </cell>
          <cell r="G8">
            <v>1.77</v>
          </cell>
          <cell r="H8">
            <v>12.8</v>
          </cell>
          <cell r="I8">
            <v>3.61</v>
          </cell>
          <cell r="J8">
            <v>1.5</v>
          </cell>
          <cell r="K8">
            <v>20.399999999999999</v>
          </cell>
          <cell r="L8">
            <v>1.89</v>
          </cell>
          <cell r="M8">
            <v>5.24</v>
          </cell>
          <cell r="N8">
            <v>2.57</v>
          </cell>
          <cell r="O8">
            <v>0.96</v>
          </cell>
          <cell r="P8">
            <v>50</v>
          </cell>
          <cell r="Q8">
            <v>6</v>
          </cell>
        </row>
        <row r="9">
          <cell r="A9" t="str">
            <v>50×7</v>
          </cell>
          <cell r="B9">
            <v>5.15</v>
          </cell>
          <cell r="C9">
            <v>6.56</v>
          </cell>
          <cell r="D9">
            <v>7</v>
          </cell>
          <cell r="E9">
            <v>1.49</v>
          </cell>
          <cell r="F9">
            <v>2.11</v>
          </cell>
          <cell r="G9">
            <v>1.78</v>
          </cell>
          <cell r="H9">
            <v>14.6</v>
          </cell>
          <cell r="I9">
            <v>4.1500000000000004</v>
          </cell>
          <cell r="J9">
            <v>1.49</v>
          </cell>
          <cell r="K9">
            <v>23.1</v>
          </cell>
          <cell r="L9">
            <v>1.88</v>
          </cell>
          <cell r="M9">
            <v>6.02</v>
          </cell>
          <cell r="N9">
            <v>2.85</v>
          </cell>
          <cell r="O9">
            <v>0.96</v>
          </cell>
          <cell r="P9">
            <v>50</v>
          </cell>
          <cell r="Q9">
            <v>7</v>
          </cell>
        </row>
        <row r="10">
          <cell r="A10" t="str">
            <v>60×5</v>
          </cell>
          <cell r="B10">
            <v>4.57</v>
          </cell>
          <cell r="C10">
            <v>5.82</v>
          </cell>
          <cell r="D10">
            <v>8</v>
          </cell>
          <cell r="E10">
            <v>1.64</v>
          </cell>
          <cell r="F10">
            <v>2.3199999999999998</v>
          </cell>
          <cell r="G10">
            <v>2.11</v>
          </cell>
          <cell r="H10">
            <v>19.399999999999999</v>
          </cell>
          <cell r="I10">
            <v>4.45</v>
          </cell>
          <cell r="J10">
            <v>1.82</v>
          </cell>
          <cell r="K10">
            <v>30.7</v>
          </cell>
          <cell r="L10">
            <v>2.2999999999999998</v>
          </cell>
          <cell r="M10">
            <v>8.0299999999999994</v>
          </cell>
          <cell r="N10">
            <v>3.46</v>
          </cell>
          <cell r="O10">
            <v>1.17</v>
          </cell>
          <cell r="P10">
            <v>60</v>
          </cell>
          <cell r="Q10">
            <v>5</v>
          </cell>
        </row>
        <row r="11">
          <cell r="A11" t="str">
            <v>60×6</v>
          </cell>
          <cell r="B11">
            <v>5.42</v>
          </cell>
          <cell r="C11">
            <v>6.91</v>
          </cell>
          <cell r="D11">
            <v>8</v>
          </cell>
          <cell r="E11">
            <v>1.69</v>
          </cell>
          <cell r="F11">
            <v>2.39</v>
          </cell>
          <cell r="G11">
            <v>2.11</v>
          </cell>
          <cell r="H11">
            <v>22.8</v>
          </cell>
          <cell r="I11">
            <v>5.29</v>
          </cell>
          <cell r="J11">
            <v>1.82</v>
          </cell>
          <cell r="K11">
            <v>36.1</v>
          </cell>
          <cell r="L11">
            <v>2.29</v>
          </cell>
          <cell r="M11">
            <v>9.42</v>
          </cell>
          <cell r="N11">
            <v>3.95</v>
          </cell>
          <cell r="O11">
            <v>1.17</v>
          </cell>
          <cell r="P11">
            <v>60</v>
          </cell>
          <cell r="Q11">
            <v>6</v>
          </cell>
        </row>
        <row r="12">
          <cell r="A12" t="str">
            <v>60×8</v>
          </cell>
          <cell r="B12">
            <v>7.09</v>
          </cell>
          <cell r="C12">
            <v>9.0299999999999994</v>
          </cell>
          <cell r="D12">
            <v>8</v>
          </cell>
          <cell r="E12">
            <v>1.77</v>
          </cell>
          <cell r="F12">
            <v>2.5</v>
          </cell>
          <cell r="G12">
            <v>2.14</v>
          </cell>
          <cell r="H12">
            <v>29.1</v>
          </cell>
          <cell r="I12">
            <v>6.88</v>
          </cell>
          <cell r="J12">
            <v>1.8</v>
          </cell>
          <cell r="K12">
            <v>46.1</v>
          </cell>
          <cell r="L12">
            <v>2.2599999999999998</v>
          </cell>
          <cell r="M12">
            <v>12.1</v>
          </cell>
          <cell r="N12">
            <v>4.84</v>
          </cell>
          <cell r="O12">
            <v>1.1599999999999999</v>
          </cell>
          <cell r="P12">
            <v>60</v>
          </cell>
          <cell r="Q12">
            <v>8</v>
          </cell>
        </row>
        <row r="13">
          <cell r="A13" t="str">
            <v>65×7</v>
          </cell>
          <cell r="B13">
            <v>6.83</v>
          </cell>
          <cell r="C13">
            <v>8.6999999999999993</v>
          </cell>
          <cell r="D13">
            <v>9</v>
          </cell>
          <cell r="E13">
            <v>1.85</v>
          </cell>
          <cell r="F13">
            <v>2.62</v>
          </cell>
          <cell r="G13">
            <v>2.29</v>
          </cell>
          <cell r="H13">
            <v>33.4</v>
          </cell>
          <cell r="I13">
            <v>7.18</v>
          </cell>
          <cell r="J13">
            <v>1.96</v>
          </cell>
          <cell r="K13">
            <v>53</v>
          </cell>
          <cell r="L13">
            <v>2.4700000000000002</v>
          </cell>
          <cell r="M13">
            <v>13.8</v>
          </cell>
          <cell r="N13">
            <v>5.27</v>
          </cell>
          <cell r="O13">
            <v>1.26</v>
          </cell>
          <cell r="P13">
            <v>65</v>
          </cell>
          <cell r="Q13">
            <v>7</v>
          </cell>
        </row>
        <row r="14">
          <cell r="A14" t="str">
            <v>70×7</v>
          </cell>
          <cell r="B14">
            <v>7.38</v>
          </cell>
          <cell r="C14">
            <v>9.4</v>
          </cell>
          <cell r="D14">
            <v>9</v>
          </cell>
          <cell r="E14">
            <v>1.97</v>
          </cell>
          <cell r="F14">
            <v>2.79</v>
          </cell>
          <cell r="G14">
            <v>2.4700000000000002</v>
          </cell>
          <cell r="H14">
            <v>42.4</v>
          </cell>
          <cell r="I14">
            <v>8.43</v>
          </cell>
          <cell r="J14">
            <v>2.12</v>
          </cell>
          <cell r="K14">
            <v>67.099999999999994</v>
          </cell>
          <cell r="L14">
            <v>2.67</v>
          </cell>
          <cell r="M14">
            <v>17.600000000000001</v>
          </cell>
          <cell r="N14">
            <v>6.31</v>
          </cell>
          <cell r="O14">
            <v>1.37</v>
          </cell>
          <cell r="P14">
            <v>70</v>
          </cell>
          <cell r="Q14">
            <v>7</v>
          </cell>
        </row>
        <row r="15">
          <cell r="A15" t="str">
            <v>70×8</v>
          </cell>
          <cell r="B15">
            <v>9.34</v>
          </cell>
          <cell r="C15">
            <v>11.9</v>
          </cell>
          <cell r="D15">
            <v>9</v>
          </cell>
          <cell r="E15">
            <v>2.0499999999999998</v>
          </cell>
          <cell r="F15">
            <v>2.9</v>
          </cell>
          <cell r="G15">
            <v>2.5</v>
          </cell>
          <cell r="H15">
            <v>52.6</v>
          </cell>
          <cell r="I15">
            <v>10.6</v>
          </cell>
          <cell r="J15">
            <v>2.1</v>
          </cell>
          <cell r="K15">
            <v>83.1</v>
          </cell>
          <cell r="L15">
            <v>2.64</v>
          </cell>
          <cell r="M15">
            <v>22</v>
          </cell>
          <cell r="N15">
            <v>7.59</v>
          </cell>
          <cell r="O15">
            <v>1.36</v>
          </cell>
          <cell r="P15">
            <v>70</v>
          </cell>
          <cell r="Q15">
            <v>8</v>
          </cell>
        </row>
        <row r="16">
          <cell r="A16" t="str">
            <v>75×7</v>
          </cell>
          <cell r="B16">
            <v>7.94</v>
          </cell>
          <cell r="C16">
            <v>10.1</v>
          </cell>
          <cell r="D16">
            <v>10</v>
          </cell>
          <cell r="E16">
            <v>2.09</v>
          </cell>
          <cell r="F16">
            <v>2.95</v>
          </cell>
          <cell r="G16">
            <v>2.63</v>
          </cell>
          <cell r="H16">
            <v>52.4</v>
          </cell>
          <cell r="I16">
            <v>9.67</v>
          </cell>
          <cell r="J16">
            <v>2.2799999999999998</v>
          </cell>
          <cell r="K16">
            <v>83.6</v>
          </cell>
          <cell r="L16">
            <v>2.88</v>
          </cell>
          <cell r="M16">
            <v>21.1</v>
          </cell>
          <cell r="N16">
            <v>7.15</v>
          </cell>
          <cell r="O16">
            <v>1.45</v>
          </cell>
          <cell r="P16">
            <v>75</v>
          </cell>
          <cell r="Q16">
            <v>7</v>
          </cell>
        </row>
        <row r="17">
          <cell r="A17" t="str">
            <v>75×8</v>
          </cell>
          <cell r="B17">
            <v>9.0299999999999994</v>
          </cell>
          <cell r="C17">
            <v>11.5</v>
          </cell>
          <cell r="D17">
            <v>10</v>
          </cell>
          <cell r="E17">
            <v>2.13</v>
          </cell>
          <cell r="F17">
            <v>3.01</v>
          </cell>
          <cell r="G17">
            <v>2.65</v>
          </cell>
          <cell r="H17">
            <v>58.9</v>
          </cell>
          <cell r="I17">
            <v>11</v>
          </cell>
          <cell r="J17">
            <v>2.2599999999999998</v>
          </cell>
          <cell r="K17">
            <v>93.3</v>
          </cell>
          <cell r="L17">
            <v>2.85</v>
          </cell>
          <cell r="M17">
            <v>24.4</v>
          </cell>
          <cell r="N17">
            <v>8.11</v>
          </cell>
          <cell r="O17">
            <v>1.46</v>
          </cell>
          <cell r="P17">
            <v>75</v>
          </cell>
          <cell r="Q17">
            <v>8</v>
          </cell>
        </row>
        <row r="18">
          <cell r="A18" t="str">
            <v>80×6</v>
          </cell>
          <cell r="B18">
            <v>7.34</v>
          </cell>
          <cell r="C18">
            <v>9.35</v>
          </cell>
          <cell r="D18">
            <v>10</v>
          </cell>
          <cell r="E18">
            <v>2.17</v>
          </cell>
          <cell r="F18">
            <v>3.07</v>
          </cell>
          <cell r="G18">
            <v>2.8</v>
          </cell>
          <cell r="H18">
            <v>55.8</v>
          </cell>
          <cell r="I18">
            <v>9.57</v>
          </cell>
          <cell r="J18">
            <v>2.44</v>
          </cell>
          <cell r="K18">
            <v>88.5</v>
          </cell>
          <cell r="L18">
            <v>3.08</v>
          </cell>
          <cell r="M18">
            <v>23.1</v>
          </cell>
          <cell r="N18">
            <v>7.54</v>
          </cell>
          <cell r="O18">
            <v>1.57</v>
          </cell>
          <cell r="P18">
            <v>80</v>
          </cell>
          <cell r="Q18">
            <v>6</v>
          </cell>
        </row>
        <row r="19">
          <cell r="A19" t="str">
            <v>80×8</v>
          </cell>
          <cell r="B19">
            <v>9.66</v>
          </cell>
          <cell r="C19">
            <v>12.3</v>
          </cell>
          <cell r="D19">
            <v>10</v>
          </cell>
          <cell r="E19">
            <v>2.2599999999999998</v>
          </cell>
          <cell r="F19">
            <v>3.2</v>
          </cell>
          <cell r="G19">
            <v>2.82</v>
          </cell>
          <cell r="H19">
            <v>72.3</v>
          </cell>
          <cell r="I19">
            <v>12.6</v>
          </cell>
          <cell r="J19">
            <v>2.42</v>
          </cell>
          <cell r="K19">
            <v>115</v>
          </cell>
          <cell r="L19">
            <v>3.06</v>
          </cell>
          <cell r="M19">
            <v>29.6</v>
          </cell>
          <cell r="N19">
            <v>9.25</v>
          </cell>
          <cell r="O19">
            <v>1.55</v>
          </cell>
          <cell r="P19">
            <v>80</v>
          </cell>
          <cell r="Q19">
            <v>8</v>
          </cell>
        </row>
        <row r="20">
          <cell r="A20" t="str">
            <v>80×10</v>
          </cell>
          <cell r="B20">
            <v>11.9</v>
          </cell>
          <cell r="C20">
            <v>15.1</v>
          </cell>
          <cell r="D20">
            <v>10</v>
          </cell>
          <cell r="E20">
            <v>2.34</v>
          </cell>
          <cell r="F20">
            <v>3.31</v>
          </cell>
          <cell r="G20">
            <v>2.85</v>
          </cell>
          <cell r="H20">
            <v>87.5</v>
          </cell>
          <cell r="I20">
            <v>15.5</v>
          </cell>
          <cell r="J20">
            <v>2.41</v>
          </cell>
          <cell r="K20">
            <v>139</v>
          </cell>
          <cell r="L20">
            <v>3.03</v>
          </cell>
          <cell r="M20">
            <v>35.9</v>
          </cell>
          <cell r="N20">
            <v>10.9</v>
          </cell>
          <cell r="O20">
            <v>1.54</v>
          </cell>
          <cell r="P20">
            <v>80</v>
          </cell>
          <cell r="Q20">
            <v>10</v>
          </cell>
        </row>
        <row r="21">
          <cell r="A21" t="str">
            <v>90×7</v>
          </cell>
          <cell r="B21">
            <v>9.61</v>
          </cell>
          <cell r="C21">
            <v>12.2</v>
          </cell>
          <cell r="D21">
            <v>11</v>
          </cell>
          <cell r="E21">
            <v>2.4500000000000002</v>
          </cell>
          <cell r="F21">
            <v>3.47</v>
          </cell>
          <cell r="G21">
            <v>3.16</v>
          </cell>
          <cell r="H21">
            <v>92.6</v>
          </cell>
          <cell r="I21">
            <v>14.1</v>
          </cell>
          <cell r="J21">
            <v>2.75</v>
          </cell>
          <cell r="K21">
            <v>147</v>
          </cell>
          <cell r="L21">
            <v>3.46</v>
          </cell>
          <cell r="M21">
            <v>38.299999999999997</v>
          </cell>
          <cell r="N21">
            <v>11</v>
          </cell>
          <cell r="O21">
            <v>1.77</v>
          </cell>
          <cell r="P21">
            <v>90</v>
          </cell>
          <cell r="Q21">
            <v>7</v>
          </cell>
        </row>
        <row r="22">
          <cell r="A22" t="str">
            <v>90×9</v>
          </cell>
          <cell r="B22">
            <v>12.2</v>
          </cell>
          <cell r="C22">
            <v>15.5</v>
          </cell>
          <cell r="D22">
            <v>11</v>
          </cell>
          <cell r="E22">
            <v>2.54</v>
          </cell>
          <cell r="F22">
            <v>3.59</v>
          </cell>
          <cell r="G22">
            <v>3.18</v>
          </cell>
          <cell r="H22">
            <v>116</v>
          </cell>
          <cell r="I22">
            <v>18</v>
          </cell>
          <cell r="J22">
            <v>2.74</v>
          </cell>
          <cell r="K22">
            <v>184</v>
          </cell>
          <cell r="L22">
            <v>3.45</v>
          </cell>
          <cell r="M22">
            <v>47.8</v>
          </cell>
          <cell r="N22">
            <v>13.3</v>
          </cell>
          <cell r="O22">
            <v>1.76</v>
          </cell>
          <cell r="P22">
            <v>90</v>
          </cell>
          <cell r="Q22">
            <v>9</v>
          </cell>
        </row>
        <row r="23">
          <cell r="A23" t="str">
            <v>100×8</v>
          </cell>
          <cell r="B23">
            <v>12.2</v>
          </cell>
          <cell r="C23">
            <v>15.5</v>
          </cell>
          <cell r="D23">
            <v>12</v>
          </cell>
          <cell r="E23">
            <v>2.74</v>
          </cell>
          <cell r="F23">
            <v>3.87</v>
          </cell>
          <cell r="G23">
            <v>3.52</v>
          </cell>
          <cell r="H23">
            <v>145</v>
          </cell>
          <cell r="I23">
            <v>19.899999999999999</v>
          </cell>
          <cell r="J23">
            <v>3.06</v>
          </cell>
          <cell r="K23">
            <v>230</v>
          </cell>
          <cell r="L23">
            <v>3.85</v>
          </cell>
          <cell r="M23">
            <v>59.9</v>
          </cell>
          <cell r="N23">
            <v>15.5</v>
          </cell>
          <cell r="O23">
            <v>1.96</v>
          </cell>
          <cell r="P23">
            <v>100</v>
          </cell>
          <cell r="Q23">
            <v>8</v>
          </cell>
        </row>
        <row r="24">
          <cell r="A24" t="str">
            <v>100×10</v>
          </cell>
          <cell r="B24">
            <v>15.1</v>
          </cell>
          <cell r="C24">
            <v>19.2</v>
          </cell>
          <cell r="D24">
            <v>12</v>
          </cell>
          <cell r="E24">
            <v>2.82</v>
          </cell>
          <cell r="F24">
            <v>3.99</v>
          </cell>
          <cell r="G24">
            <v>3.54</v>
          </cell>
          <cell r="H24">
            <v>177</v>
          </cell>
          <cell r="I24">
            <v>24.7</v>
          </cell>
          <cell r="J24">
            <v>3.04</v>
          </cell>
          <cell r="K24">
            <v>280</v>
          </cell>
          <cell r="L24">
            <v>3.82</v>
          </cell>
          <cell r="M24">
            <v>73.3</v>
          </cell>
          <cell r="N24">
            <v>18.399999999999999</v>
          </cell>
          <cell r="O24">
            <v>1.95</v>
          </cell>
          <cell r="P24">
            <v>100</v>
          </cell>
          <cell r="Q24">
            <v>10</v>
          </cell>
        </row>
        <row r="25">
          <cell r="A25" t="str">
            <v>100×12</v>
          </cell>
          <cell r="B25">
            <v>17.8</v>
          </cell>
          <cell r="C25">
            <v>22.7</v>
          </cell>
          <cell r="D25">
            <v>12</v>
          </cell>
          <cell r="E25">
            <v>2.9</v>
          </cell>
          <cell r="F25">
            <v>4.0999999999999996</v>
          </cell>
          <cell r="G25">
            <v>3.57</v>
          </cell>
          <cell r="H25">
            <v>207</v>
          </cell>
          <cell r="I25">
            <v>29.2</v>
          </cell>
          <cell r="J25">
            <v>3.02</v>
          </cell>
          <cell r="K25">
            <v>328</v>
          </cell>
          <cell r="L25">
            <v>3.8</v>
          </cell>
          <cell r="M25">
            <v>86.2</v>
          </cell>
          <cell r="N25">
            <v>21</v>
          </cell>
          <cell r="O25">
            <v>1.95</v>
          </cell>
          <cell r="P25">
            <v>100</v>
          </cell>
          <cell r="Q25">
            <v>12</v>
          </cell>
        </row>
        <row r="26">
          <cell r="A26" t="str">
            <v>110×10</v>
          </cell>
          <cell r="B26">
            <v>16.600000000000001</v>
          </cell>
          <cell r="C26">
            <v>21.2</v>
          </cell>
          <cell r="D26">
            <v>12</v>
          </cell>
          <cell r="E26">
            <v>3.07</v>
          </cell>
          <cell r="F26">
            <v>4.34</v>
          </cell>
          <cell r="G26">
            <v>3.89</v>
          </cell>
          <cell r="H26">
            <v>239</v>
          </cell>
          <cell r="I26">
            <v>30.1</v>
          </cell>
          <cell r="J26">
            <v>3.36</v>
          </cell>
          <cell r="K26">
            <v>379</v>
          </cell>
          <cell r="L26">
            <v>4.2300000000000004</v>
          </cell>
          <cell r="M26">
            <v>98.6</v>
          </cell>
          <cell r="N26">
            <v>22.7</v>
          </cell>
          <cell r="O26">
            <v>2.16</v>
          </cell>
          <cell r="P26">
            <v>110</v>
          </cell>
          <cell r="Q26">
            <v>10</v>
          </cell>
        </row>
        <row r="27">
          <cell r="A27" t="str">
            <v>120×10</v>
          </cell>
          <cell r="B27">
            <v>18.2</v>
          </cell>
          <cell r="C27">
            <v>23.2</v>
          </cell>
          <cell r="D27">
            <v>13</v>
          </cell>
          <cell r="E27">
            <v>3.31</v>
          </cell>
          <cell r="F27">
            <v>4.6900000000000004</v>
          </cell>
          <cell r="G27">
            <v>4.22</v>
          </cell>
          <cell r="H27">
            <v>313</v>
          </cell>
          <cell r="I27">
            <v>36</v>
          </cell>
          <cell r="J27">
            <v>3.67</v>
          </cell>
          <cell r="K27">
            <v>497</v>
          </cell>
          <cell r="L27">
            <v>4.63</v>
          </cell>
          <cell r="M27">
            <v>129</v>
          </cell>
          <cell r="N27">
            <v>27.5</v>
          </cell>
          <cell r="O27">
            <v>2.36</v>
          </cell>
          <cell r="P27">
            <v>120</v>
          </cell>
          <cell r="Q27">
            <v>10</v>
          </cell>
        </row>
        <row r="28">
          <cell r="A28" t="str">
            <v>120×12</v>
          </cell>
          <cell r="B28">
            <v>21.6</v>
          </cell>
          <cell r="C28">
            <v>27.5</v>
          </cell>
          <cell r="D28">
            <v>13</v>
          </cell>
          <cell r="E28">
            <v>3.4</v>
          </cell>
          <cell r="F28">
            <v>4.8</v>
          </cell>
          <cell r="G28">
            <v>4.25</v>
          </cell>
          <cell r="H28">
            <v>368</v>
          </cell>
          <cell r="I28">
            <v>42.7</v>
          </cell>
          <cell r="J28">
            <v>3.65</v>
          </cell>
          <cell r="K28">
            <v>584</v>
          </cell>
          <cell r="L28">
            <v>4.5999999999999996</v>
          </cell>
          <cell r="M28">
            <v>152</v>
          </cell>
          <cell r="N28">
            <v>31.6</v>
          </cell>
          <cell r="O28">
            <v>2.35</v>
          </cell>
          <cell r="P28">
            <v>120</v>
          </cell>
          <cell r="Q28">
            <v>12</v>
          </cell>
        </row>
        <row r="29">
          <cell r="A29" t="str">
            <v>130×12</v>
          </cell>
          <cell r="B29">
            <v>23.6</v>
          </cell>
          <cell r="C29">
            <v>30</v>
          </cell>
          <cell r="D29">
            <v>14</v>
          </cell>
          <cell r="E29">
            <v>3.64</v>
          </cell>
          <cell r="F29">
            <v>5.15</v>
          </cell>
          <cell r="G29">
            <v>4.5999999999999996</v>
          </cell>
          <cell r="H29">
            <v>472</v>
          </cell>
          <cell r="I29">
            <v>50.4</v>
          </cell>
          <cell r="J29">
            <v>3.97</v>
          </cell>
          <cell r="K29">
            <v>750</v>
          </cell>
          <cell r="L29">
            <v>5</v>
          </cell>
          <cell r="M29">
            <v>194</v>
          </cell>
          <cell r="N29">
            <v>37.700000000000003</v>
          </cell>
          <cell r="O29">
            <v>2.54</v>
          </cell>
          <cell r="P29">
            <v>130</v>
          </cell>
          <cell r="Q29">
            <v>12</v>
          </cell>
        </row>
        <row r="30">
          <cell r="A30" t="str">
            <v>140×13</v>
          </cell>
          <cell r="B30">
            <v>27.6</v>
          </cell>
          <cell r="C30">
            <v>35</v>
          </cell>
          <cell r="D30">
            <v>15</v>
          </cell>
          <cell r="E30">
            <v>3.92</v>
          </cell>
          <cell r="F30">
            <v>5.54</v>
          </cell>
          <cell r="G30">
            <v>4.96</v>
          </cell>
          <cell r="H30">
            <v>638</v>
          </cell>
          <cell r="I30">
            <v>63.3</v>
          </cell>
          <cell r="J30">
            <v>4.2699999999999996</v>
          </cell>
          <cell r="K30">
            <v>1010</v>
          </cell>
          <cell r="L30">
            <v>5.38</v>
          </cell>
          <cell r="M30">
            <v>262</v>
          </cell>
          <cell r="N30">
            <v>47.3</v>
          </cell>
          <cell r="O30">
            <v>2.74</v>
          </cell>
          <cell r="P30">
            <v>140</v>
          </cell>
          <cell r="Q30">
            <v>13</v>
          </cell>
        </row>
        <row r="31">
          <cell r="A31" t="str">
            <v>150×12</v>
          </cell>
          <cell r="B31">
            <v>27.3</v>
          </cell>
          <cell r="C31">
            <v>34.799999999999997</v>
          </cell>
          <cell r="D31">
            <v>16</v>
          </cell>
          <cell r="E31">
            <v>4.12</v>
          </cell>
          <cell r="F31">
            <v>5.83</v>
          </cell>
          <cell r="G31">
            <v>5.29</v>
          </cell>
          <cell r="H31">
            <v>737</v>
          </cell>
          <cell r="I31">
            <v>67.7</v>
          </cell>
          <cell r="J31">
            <v>4.5999999999999996</v>
          </cell>
          <cell r="K31">
            <v>1170</v>
          </cell>
          <cell r="L31">
            <v>5.8</v>
          </cell>
          <cell r="M31">
            <v>303</v>
          </cell>
          <cell r="N31">
            <v>52</v>
          </cell>
          <cell r="O31">
            <v>2.95</v>
          </cell>
          <cell r="P31">
            <v>150</v>
          </cell>
          <cell r="Q31">
            <v>12</v>
          </cell>
        </row>
        <row r="32">
          <cell r="A32" t="str">
            <v>150×15</v>
          </cell>
          <cell r="B32">
            <v>33.799999999999997</v>
          </cell>
          <cell r="C32">
            <v>43</v>
          </cell>
          <cell r="D32">
            <v>16</v>
          </cell>
          <cell r="E32">
            <v>4.25</v>
          </cell>
          <cell r="F32">
            <v>6.01</v>
          </cell>
          <cell r="G32">
            <v>5.33</v>
          </cell>
          <cell r="H32">
            <v>898</v>
          </cell>
          <cell r="I32">
            <v>83.5</v>
          </cell>
          <cell r="J32">
            <v>4.57</v>
          </cell>
          <cell r="K32">
            <v>1430</v>
          </cell>
          <cell r="L32">
            <v>5.76</v>
          </cell>
          <cell r="M32">
            <v>370</v>
          </cell>
          <cell r="N32">
            <v>61.6</v>
          </cell>
          <cell r="O32">
            <v>2.93</v>
          </cell>
          <cell r="P32">
            <v>150</v>
          </cell>
          <cell r="Q32">
            <v>15</v>
          </cell>
        </row>
        <row r="33">
          <cell r="A33" t="str">
            <v>160×15</v>
          </cell>
          <cell r="B33">
            <v>36.200000000000003</v>
          </cell>
          <cell r="C33">
            <v>46.1</v>
          </cell>
          <cell r="D33">
            <v>17</v>
          </cell>
          <cell r="E33">
            <v>4.49</v>
          </cell>
          <cell r="F33">
            <v>6.35</v>
          </cell>
          <cell r="G33">
            <v>5.67</v>
          </cell>
          <cell r="H33">
            <v>1100</v>
          </cell>
          <cell r="I33">
            <v>95.6</v>
          </cell>
          <cell r="J33">
            <v>4.88</v>
          </cell>
          <cell r="K33">
            <v>1750</v>
          </cell>
          <cell r="L33">
            <v>6.15</v>
          </cell>
          <cell r="M33">
            <v>453</v>
          </cell>
          <cell r="N33">
            <v>71.3</v>
          </cell>
          <cell r="O33">
            <v>3.14</v>
          </cell>
          <cell r="P33">
            <v>160</v>
          </cell>
          <cell r="Q33">
            <v>15</v>
          </cell>
        </row>
        <row r="34">
          <cell r="A34" t="str">
            <v>180×16</v>
          </cell>
          <cell r="B34">
            <v>43.5</v>
          </cell>
          <cell r="C34">
            <v>55.4</v>
          </cell>
          <cell r="D34">
            <v>18</v>
          </cell>
          <cell r="E34">
            <v>5.0199999999999996</v>
          </cell>
          <cell r="F34">
            <v>7.11</v>
          </cell>
          <cell r="G34">
            <v>6.39</v>
          </cell>
          <cell r="H34">
            <v>1680</v>
          </cell>
          <cell r="I34">
            <v>130</v>
          </cell>
          <cell r="J34">
            <v>5.51</v>
          </cell>
          <cell r="K34">
            <v>2690</v>
          </cell>
          <cell r="L34">
            <v>6.96</v>
          </cell>
          <cell r="M34">
            <v>679</v>
          </cell>
          <cell r="N34">
            <v>95.5</v>
          </cell>
          <cell r="O34">
            <v>3.5</v>
          </cell>
          <cell r="P34">
            <v>180</v>
          </cell>
          <cell r="Q34">
            <v>16</v>
          </cell>
        </row>
        <row r="35">
          <cell r="A35" t="str">
            <v>180×18</v>
          </cell>
          <cell r="B35">
            <v>48.6</v>
          </cell>
          <cell r="C35">
            <v>61.9</v>
          </cell>
          <cell r="D35">
            <v>18</v>
          </cell>
          <cell r="E35">
            <v>5.0999999999999996</v>
          </cell>
          <cell r="F35">
            <v>7.22</v>
          </cell>
          <cell r="G35">
            <v>6.41</v>
          </cell>
          <cell r="H35">
            <v>1870</v>
          </cell>
          <cell r="I35">
            <v>145</v>
          </cell>
          <cell r="J35">
            <v>5.49</v>
          </cell>
          <cell r="K35">
            <v>2970</v>
          </cell>
          <cell r="L35">
            <v>6.93</v>
          </cell>
          <cell r="M35">
            <v>757</v>
          </cell>
          <cell r="N35">
            <v>105</v>
          </cell>
          <cell r="O35">
            <v>3.49</v>
          </cell>
          <cell r="P35">
            <v>180</v>
          </cell>
          <cell r="Q35">
            <v>18</v>
          </cell>
        </row>
        <row r="36">
          <cell r="A36" t="str">
            <v>200×16</v>
          </cell>
          <cell r="B36">
            <v>48.5</v>
          </cell>
          <cell r="C36">
            <v>61.8</v>
          </cell>
          <cell r="D36">
            <v>18</v>
          </cell>
          <cell r="E36">
            <v>5.52</v>
          </cell>
          <cell r="F36">
            <v>7.8</v>
          </cell>
          <cell r="G36">
            <v>7.09</v>
          </cell>
          <cell r="H36">
            <v>1340</v>
          </cell>
          <cell r="I36">
            <v>162</v>
          </cell>
          <cell r="J36">
            <v>6.15</v>
          </cell>
          <cell r="K36">
            <v>3740</v>
          </cell>
          <cell r="L36">
            <v>7.78</v>
          </cell>
          <cell r="M36">
            <v>943</v>
          </cell>
          <cell r="N36">
            <v>121</v>
          </cell>
          <cell r="O36">
            <v>3.91</v>
          </cell>
          <cell r="P36">
            <v>200</v>
          </cell>
          <cell r="Q36">
            <v>16</v>
          </cell>
        </row>
        <row r="37">
          <cell r="A37" t="str">
            <v>200×20</v>
          </cell>
          <cell r="B37">
            <v>59.9</v>
          </cell>
          <cell r="C37">
            <v>76.3</v>
          </cell>
          <cell r="D37">
            <v>18</v>
          </cell>
          <cell r="E37">
            <v>5.68</v>
          </cell>
          <cell r="F37">
            <v>8.0399999999999991</v>
          </cell>
          <cell r="G37">
            <v>7.15</v>
          </cell>
          <cell r="H37">
            <v>2850</v>
          </cell>
          <cell r="I37">
            <v>199</v>
          </cell>
          <cell r="J37">
            <v>6.11</v>
          </cell>
          <cell r="K37">
            <v>4540</v>
          </cell>
          <cell r="L37">
            <v>7.72</v>
          </cell>
          <cell r="M37">
            <v>1160</v>
          </cell>
          <cell r="N37">
            <v>144</v>
          </cell>
          <cell r="O37">
            <v>3.89</v>
          </cell>
          <cell r="P37">
            <v>200</v>
          </cell>
          <cell r="Q37">
            <v>20</v>
          </cell>
        </row>
        <row r="38">
          <cell r="A38" t="str">
            <v>200×24</v>
          </cell>
          <cell r="B38">
            <v>71.099999999999994</v>
          </cell>
          <cell r="C38">
            <v>90.6</v>
          </cell>
          <cell r="D38">
            <v>18</v>
          </cell>
          <cell r="E38">
            <v>5.84</v>
          </cell>
          <cell r="F38">
            <v>8.26</v>
          </cell>
          <cell r="G38">
            <v>7.21</v>
          </cell>
          <cell r="H38">
            <v>3330</v>
          </cell>
          <cell r="I38">
            <v>235</v>
          </cell>
          <cell r="J38">
            <v>6.06</v>
          </cell>
          <cell r="K38">
            <v>5280</v>
          </cell>
          <cell r="L38">
            <v>7.64</v>
          </cell>
          <cell r="M38">
            <v>1380</v>
          </cell>
          <cell r="N38">
            <v>167</v>
          </cell>
          <cell r="O38">
            <v>3.9</v>
          </cell>
          <cell r="P38">
            <v>200</v>
          </cell>
          <cell r="Q38">
            <v>24</v>
          </cell>
        </row>
        <row r="45">
          <cell r="A45" t="str">
            <v>S235</v>
          </cell>
          <cell r="B45">
            <v>235</v>
          </cell>
          <cell r="C45">
            <v>225</v>
          </cell>
          <cell r="D45">
            <v>215</v>
          </cell>
          <cell r="E45">
            <v>215</v>
          </cell>
        </row>
        <row r="46">
          <cell r="A46" t="str">
            <v>S275</v>
          </cell>
          <cell r="B46">
            <v>275</v>
          </cell>
          <cell r="C46">
            <v>265</v>
          </cell>
          <cell r="D46">
            <v>255</v>
          </cell>
          <cell r="E46">
            <v>245</v>
          </cell>
        </row>
        <row r="47">
          <cell r="A47" t="str">
            <v>S355</v>
          </cell>
          <cell r="B47">
            <v>355</v>
          </cell>
          <cell r="C47">
            <v>345</v>
          </cell>
          <cell r="D47">
            <v>335</v>
          </cell>
          <cell r="E47">
            <v>325</v>
          </cell>
        </row>
        <row r="48">
          <cell r="A48" t="str">
            <v>S450</v>
          </cell>
          <cell r="B48">
            <v>450</v>
          </cell>
          <cell r="C48">
            <v>430</v>
          </cell>
          <cell r="D48">
            <v>410</v>
          </cell>
          <cell r="E48">
            <v>390</v>
          </cell>
        </row>
        <row r="53">
          <cell r="A53" t="str">
            <v>S235</v>
          </cell>
          <cell r="B53">
            <v>360</v>
          </cell>
          <cell r="C53">
            <v>360</v>
          </cell>
          <cell r="D53">
            <v>350</v>
          </cell>
          <cell r="E53">
            <v>340</v>
          </cell>
        </row>
        <row r="54">
          <cell r="A54" t="str">
            <v>S275</v>
          </cell>
          <cell r="B54">
            <v>430</v>
          </cell>
          <cell r="C54">
            <v>410</v>
          </cell>
          <cell r="D54">
            <v>400</v>
          </cell>
          <cell r="E54">
            <v>380</v>
          </cell>
        </row>
        <row r="55">
          <cell r="A55" t="str">
            <v>S355</v>
          </cell>
          <cell r="B55">
            <v>510</v>
          </cell>
          <cell r="C55">
            <v>470</v>
          </cell>
          <cell r="D55">
            <v>450</v>
          </cell>
          <cell r="E55">
            <v>450</v>
          </cell>
        </row>
        <row r="56">
          <cell r="A56" t="str">
            <v>S450</v>
          </cell>
          <cell r="B56" t="str">
            <v>-</v>
          </cell>
          <cell r="C56">
            <v>550</v>
          </cell>
          <cell r="D56">
            <v>530</v>
          </cell>
          <cell r="E56" t="str">
            <v>-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BETOONMAST-TUUL"/>
      <sheetName val="SÕRESTIK-TUUL"/>
      <sheetName val="VARRAS1"/>
      <sheetName val="Üldinfo"/>
      <sheetName val="Kontroll"/>
      <sheetName val="Ristlõiked"/>
      <sheetName val="Poltliide"/>
      <sheetName val="TUULEKOORMUS 1"/>
      <sheetName val="TUULEKOORMUS 2"/>
      <sheetName val="TUULEKOORMUS 3"/>
      <sheetName val="TUUL JÄITUND MASTILE 1"/>
      <sheetName val="TUUL JÄITUND MASTILE 2"/>
      <sheetName val="TUUL JÄITUND MASTILE 3"/>
      <sheetName val="KOMBINATSIOON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A5" t="str">
            <v>45×4</v>
          </cell>
          <cell r="B5">
            <v>2.74</v>
          </cell>
          <cell r="C5">
            <v>3.49</v>
          </cell>
          <cell r="D5">
            <v>7</v>
          </cell>
          <cell r="E5">
            <v>1.23</v>
          </cell>
          <cell r="F5">
            <v>1.75</v>
          </cell>
          <cell r="G5">
            <v>1.57</v>
          </cell>
          <cell r="H5">
            <v>6.43</v>
          </cell>
          <cell r="I5">
            <v>1.97</v>
          </cell>
          <cell r="J5">
            <v>1.36</v>
          </cell>
          <cell r="K5">
            <v>10.199999999999999</v>
          </cell>
          <cell r="L5">
            <v>1.71</v>
          </cell>
          <cell r="M5">
            <v>2.68</v>
          </cell>
          <cell r="N5">
            <v>1.53</v>
          </cell>
          <cell r="O5">
            <v>0.88</v>
          </cell>
          <cell r="P5">
            <v>45</v>
          </cell>
          <cell r="Q5">
            <v>4</v>
          </cell>
        </row>
        <row r="6">
          <cell r="A6" t="str">
            <v>45×5</v>
          </cell>
          <cell r="B6">
            <v>3.38</v>
          </cell>
          <cell r="C6">
            <v>4.3</v>
          </cell>
          <cell r="D6">
            <v>7</v>
          </cell>
          <cell r="E6">
            <v>1.28</v>
          </cell>
          <cell r="F6">
            <v>1.81</v>
          </cell>
          <cell r="G6">
            <v>1.58</v>
          </cell>
          <cell r="H6">
            <v>7.83</v>
          </cell>
          <cell r="I6">
            <v>2.4300000000000002</v>
          </cell>
          <cell r="J6">
            <v>1.35</v>
          </cell>
          <cell r="K6">
            <v>12.4</v>
          </cell>
          <cell r="L6">
            <v>1.7</v>
          </cell>
          <cell r="M6">
            <v>3.25</v>
          </cell>
          <cell r="N6">
            <v>1.8</v>
          </cell>
          <cell r="O6">
            <v>0.87</v>
          </cell>
          <cell r="P6">
            <v>45</v>
          </cell>
          <cell r="Q6">
            <v>5</v>
          </cell>
        </row>
        <row r="7">
          <cell r="A7" t="str">
            <v>50×5</v>
          </cell>
          <cell r="B7">
            <v>3.77</v>
          </cell>
          <cell r="C7">
            <v>4.8</v>
          </cell>
          <cell r="D7">
            <v>7</v>
          </cell>
          <cell r="E7">
            <v>1.4</v>
          </cell>
          <cell r="F7">
            <v>1.98</v>
          </cell>
          <cell r="G7">
            <v>1.76</v>
          </cell>
          <cell r="H7">
            <v>11</v>
          </cell>
          <cell r="I7">
            <v>3.05</v>
          </cell>
          <cell r="J7">
            <v>1.51</v>
          </cell>
          <cell r="K7">
            <v>17.399999999999999</v>
          </cell>
          <cell r="L7">
            <v>1.9</v>
          </cell>
          <cell r="M7">
            <v>4.59</v>
          </cell>
          <cell r="N7">
            <v>2.3199999999999998</v>
          </cell>
          <cell r="O7">
            <v>0.98</v>
          </cell>
          <cell r="P7">
            <v>50</v>
          </cell>
          <cell r="Q7">
            <v>5</v>
          </cell>
        </row>
        <row r="8">
          <cell r="A8" t="str">
            <v>50×6</v>
          </cell>
          <cell r="B8">
            <v>4.47</v>
          </cell>
          <cell r="C8">
            <v>5.69</v>
          </cell>
          <cell r="D8">
            <v>7</v>
          </cell>
          <cell r="E8">
            <v>1.45</v>
          </cell>
          <cell r="F8">
            <v>2.04</v>
          </cell>
          <cell r="G8">
            <v>1.77</v>
          </cell>
          <cell r="H8">
            <v>12.8</v>
          </cell>
          <cell r="I8">
            <v>3.61</v>
          </cell>
          <cell r="J8">
            <v>1.5</v>
          </cell>
          <cell r="K8">
            <v>20.399999999999999</v>
          </cell>
          <cell r="L8">
            <v>1.89</v>
          </cell>
          <cell r="M8">
            <v>5.24</v>
          </cell>
          <cell r="N8">
            <v>2.57</v>
          </cell>
          <cell r="O8">
            <v>0.96</v>
          </cell>
          <cell r="P8">
            <v>50</v>
          </cell>
          <cell r="Q8">
            <v>6</v>
          </cell>
        </row>
        <row r="9">
          <cell r="A9" t="str">
            <v>50×7</v>
          </cell>
          <cell r="B9">
            <v>5.15</v>
          </cell>
          <cell r="C9">
            <v>6.56</v>
          </cell>
          <cell r="D9">
            <v>7</v>
          </cell>
          <cell r="E9">
            <v>1.49</v>
          </cell>
          <cell r="F9">
            <v>2.11</v>
          </cell>
          <cell r="G9">
            <v>1.78</v>
          </cell>
          <cell r="H9">
            <v>14.6</v>
          </cell>
          <cell r="I9">
            <v>4.1500000000000004</v>
          </cell>
          <cell r="J9">
            <v>1.49</v>
          </cell>
          <cell r="K9">
            <v>23.1</v>
          </cell>
          <cell r="L9">
            <v>1.88</v>
          </cell>
          <cell r="M9">
            <v>6.02</v>
          </cell>
          <cell r="N9">
            <v>2.85</v>
          </cell>
          <cell r="O9">
            <v>0.96</v>
          </cell>
          <cell r="P9">
            <v>50</v>
          </cell>
          <cell r="Q9">
            <v>7</v>
          </cell>
        </row>
        <row r="10">
          <cell r="A10" t="str">
            <v>60×5</v>
          </cell>
          <cell r="B10">
            <v>4.57</v>
          </cell>
          <cell r="C10">
            <v>5.82</v>
          </cell>
          <cell r="D10">
            <v>8</v>
          </cell>
          <cell r="E10">
            <v>1.64</v>
          </cell>
          <cell r="F10">
            <v>2.3199999999999998</v>
          </cell>
          <cell r="G10">
            <v>2.11</v>
          </cell>
          <cell r="H10">
            <v>19.399999999999999</v>
          </cell>
          <cell r="I10">
            <v>4.45</v>
          </cell>
          <cell r="J10">
            <v>1.82</v>
          </cell>
          <cell r="K10">
            <v>30.7</v>
          </cell>
          <cell r="L10">
            <v>2.2999999999999998</v>
          </cell>
          <cell r="M10">
            <v>8.0299999999999994</v>
          </cell>
          <cell r="N10">
            <v>3.46</v>
          </cell>
          <cell r="O10">
            <v>1.17</v>
          </cell>
          <cell r="P10">
            <v>60</v>
          </cell>
          <cell r="Q10">
            <v>5</v>
          </cell>
        </row>
        <row r="11">
          <cell r="A11" t="str">
            <v>60×6</v>
          </cell>
          <cell r="B11">
            <v>5.42</v>
          </cell>
          <cell r="C11">
            <v>6.91</v>
          </cell>
          <cell r="D11">
            <v>8</v>
          </cell>
          <cell r="E11">
            <v>1.69</v>
          </cell>
          <cell r="F11">
            <v>2.39</v>
          </cell>
          <cell r="G11">
            <v>2.11</v>
          </cell>
          <cell r="H11">
            <v>22.8</v>
          </cell>
          <cell r="I11">
            <v>5.29</v>
          </cell>
          <cell r="J11">
            <v>1.82</v>
          </cell>
          <cell r="K11">
            <v>36.1</v>
          </cell>
          <cell r="L11">
            <v>2.29</v>
          </cell>
          <cell r="M11">
            <v>9.42</v>
          </cell>
          <cell r="N11">
            <v>3.95</v>
          </cell>
          <cell r="O11">
            <v>1.17</v>
          </cell>
          <cell r="P11">
            <v>60</v>
          </cell>
          <cell r="Q11">
            <v>6</v>
          </cell>
        </row>
        <row r="12">
          <cell r="A12" t="str">
            <v>60×8</v>
          </cell>
          <cell r="B12">
            <v>7.09</v>
          </cell>
          <cell r="C12">
            <v>9.0299999999999994</v>
          </cell>
          <cell r="D12">
            <v>8</v>
          </cell>
          <cell r="E12">
            <v>1.77</v>
          </cell>
          <cell r="F12">
            <v>2.5</v>
          </cell>
          <cell r="G12">
            <v>2.14</v>
          </cell>
          <cell r="H12">
            <v>29.1</v>
          </cell>
          <cell r="I12">
            <v>6.88</v>
          </cell>
          <cell r="J12">
            <v>1.8</v>
          </cell>
          <cell r="K12">
            <v>46.1</v>
          </cell>
          <cell r="L12">
            <v>2.2599999999999998</v>
          </cell>
          <cell r="M12">
            <v>12.1</v>
          </cell>
          <cell r="N12">
            <v>4.84</v>
          </cell>
          <cell r="O12">
            <v>1.1599999999999999</v>
          </cell>
          <cell r="P12">
            <v>60</v>
          </cell>
          <cell r="Q12">
            <v>8</v>
          </cell>
        </row>
        <row r="13">
          <cell r="A13" t="str">
            <v>65×7</v>
          </cell>
          <cell r="B13">
            <v>6.83</v>
          </cell>
          <cell r="C13">
            <v>8.6999999999999993</v>
          </cell>
          <cell r="D13">
            <v>9</v>
          </cell>
          <cell r="E13">
            <v>1.85</v>
          </cell>
          <cell r="F13">
            <v>2.62</v>
          </cell>
          <cell r="G13">
            <v>2.29</v>
          </cell>
          <cell r="H13">
            <v>33.4</v>
          </cell>
          <cell r="I13">
            <v>7.18</v>
          </cell>
          <cell r="J13">
            <v>1.96</v>
          </cell>
          <cell r="K13">
            <v>53</v>
          </cell>
          <cell r="L13">
            <v>2.4700000000000002</v>
          </cell>
          <cell r="M13">
            <v>13.8</v>
          </cell>
          <cell r="N13">
            <v>5.27</v>
          </cell>
          <cell r="O13">
            <v>1.26</v>
          </cell>
          <cell r="P13">
            <v>65</v>
          </cell>
          <cell r="Q13">
            <v>7</v>
          </cell>
        </row>
        <row r="14">
          <cell r="A14" t="str">
            <v>70×7</v>
          </cell>
          <cell r="B14">
            <v>7.38</v>
          </cell>
          <cell r="C14">
            <v>9.4</v>
          </cell>
          <cell r="D14">
            <v>9</v>
          </cell>
          <cell r="E14">
            <v>1.97</v>
          </cell>
          <cell r="F14">
            <v>2.79</v>
          </cell>
          <cell r="G14">
            <v>2.4700000000000002</v>
          </cell>
          <cell r="H14">
            <v>42.4</v>
          </cell>
          <cell r="I14">
            <v>8.43</v>
          </cell>
          <cell r="J14">
            <v>2.12</v>
          </cell>
          <cell r="K14">
            <v>67.099999999999994</v>
          </cell>
          <cell r="L14">
            <v>2.67</v>
          </cell>
          <cell r="M14">
            <v>17.600000000000001</v>
          </cell>
          <cell r="N14">
            <v>6.31</v>
          </cell>
          <cell r="O14">
            <v>1.37</v>
          </cell>
          <cell r="P14">
            <v>70</v>
          </cell>
          <cell r="Q14">
            <v>7</v>
          </cell>
        </row>
        <row r="15">
          <cell r="A15" t="str">
            <v>70×8</v>
          </cell>
          <cell r="B15">
            <v>9.34</v>
          </cell>
          <cell r="C15">
            <v>11.9</v>
          </cell>
          <cell r="D15">
            <v>9</v>
          </cell>
          <cell r="E15">
            <v>2.0499999999999998</v>
          </cell>
          <cell r="F15">
            <v>2.9</v>
          </cell>
          <cell r="G15">
            <v>2.5</v>
          </cell>
          <cell r="H15">
            <v>52.6</v>
          </cell>
          <cell r="I15">
            <v>10.6</v>
          </cell>
          <cell r="J15">
            <v>2.1</v>
          </cell>
          <cell r="K15">
            <v>83.1</v>
          </cell>
          <cell r="L15">
            <v>2.64</v>
          </cell>
          <cell r="M15">
            <v>22</v>
          </cell>
          <cell r="N15">
            <v>7.59</v>
          </cell>
          <cell r="O15">
            <v>1.36</v>
          </cell>
          <cell r="P15">
            <v>70</v>
          </cell>
          <cell r="Q15">
            <v>8</v>
          </cell>
        </row>
        <row r="16">
          <cell r="A16" t="str">
            <v>75×7</v>
          </cell>
          <cell r="B16">
            <v>7.94</v>
          </cell>
          <cell r="C16">
            <v>10.1</v>
          </cell>
          <cell r="D16">
            <v>10</v>
          </cell>
          <cell r="E16">
            <v>2.09</v>
          </cell>
          <cell r="F16">
            <v>2.95</v>
          </cell>
          <cell r="G16">
            <v>2.63</v>
          </cell>
          <cell r="H16">
            <v>52.4</v>
          </cell>
          <cell r="I16">
            <v>9.67</v>
          </cell>
          <cell r="J16">
            <v>2.2799999999999998</v>
          </cell>
          <cell r="K16">
            <v>83.6</v>
          </cell>
          <cell r="L16">
            <v>2.88</v>
          </cell>
          <cell r="M16">
            <v>21.1</v>
          </cell>
          <cell r="N16">
            <v>7.15</v>
          </cell>
          <cell r="O16">
            <v>1.45</v>
          </cell>
          <cell r="P16">
            <v>75</v>
          </cell>
          <cell r="Q16">
            <v>7</v>
          </cell>
        </row>
        <row r="17">
          <cell r="A17" t="str">
            <v>75×8</v>
          </cell>
          <cell r="B17">
            <v>9.0299999999999994</v>
          </cell>
          <cell r="C17">
            <v>11.5</v>
          </cell>
          <cell r="D17">
            <v>10</v>
          </cell>
          <cell r="E17">
            <v>2.13</v>
          </cell>
          <cell r="F17">
            <v>3.01</v>
          </cell>
          <cell r="G17">
            <v>2.65</v>
          </cell>
          <cell r="H17">
            <v>58.9</v>
          </cell>
          <cell r="I17">
            <v>11</v>
          </cell>
          <cell r="J17">
            <v>2.2599999999999998</v>
          </cell>
          <cell r="K17">
            <v>93.3</v>
          </cell>
          <cell r="L17">
            <v>2.85</v>
          </cell>
          <cell r="M17">
            <v>24.4</v>
          </cell>
          <cell r="N17">
            <v>8.11</v>
          </cell>
          <cell r="O17">
            <v>1.46</v>
          </cell>
          <cell r="P17">
            <v>75</v>
          </cell>
          <cell r="Q17">
            <v>8</v>
          </cell>
        </row>
        <row r="18">
          <cell r="A18" t="str">
            <v>80×6</v>
          </cell>
          <cell r="B18">
            <v>7.34</v>
          </cell>
          <cell r="C18">
            <v>9.35</v>
          </cell>
          <cell r="D18">
            <v>10</v>
          </cell>
          <cell r="E18">
            <v>2.17</v>
          </cell>
          <cell r="F18">
            <v>3.07</v>
          </cell>
          <cell r="G18">
            <v>2.8</v>
          </cell>
          <cell r="H18">
            <v>55.8</v>
          </cell>
          <cell r="I18">
            <v>9.57</v>
          </cell>
          <cell r="J18">
            <v>2.44</v>
          </cell>
          <cell r="K18">
            <v>88.5</v>
          </cell>
          <cell r="L18">
            <v>3.08</v>
          </cell>
          <cell r="M18">
            <v>23.1</v>
          </cell>
          <cell r="N18">
            <v>7.54</v>
          </cell>
          <cell r="O18">
            <v>1.57</v>
          </cell>
          <cell r="P18">
            <v>80</v>
          </cell>
          <cell r="Q18">
            <v>6</v>
          </cell>
        </row>
        <row r="19">
          <cell r="A19" t="str">
            <v>80×8</v>
          </cell>
          <cell r="B19">
            <v>9.66</v>
          </cell>
          <cell r="C19">
            <v>12.3</v>
          </cell>
          <cell r="D19">
            <v>10</v>
          </cell>
          <cell r="E19">
            <v>2.2599999999999998</v>
          </cell>
          <cell r="F19">
            <v>3.2</v>
          </cell>
          <cell r="G19">
            <v>2.82</v>
          </cell>
          <cell r="H19">
            <v>72.3</v>
          </cell>
          <cell r="I19">
            <v>12.6</v>
          </cell>
          <cell r="J19">
            <v>2.42</v>
          </cell>
          <cell r="K19">
            <v>115</v>
          </cell>
          <cell r="L19">
            <v>3.06</v>
          </cell>
          <cell r="M19">
            <v>29.6</v>
          </cell>
          <cell r="N19">
            <v>9.25</v>
          </cell>
          <cell r="O19">
            <v>1.55</v>
          </cell>
          <cell r="P19">
            <v>80</v>
          </cell>
          <cell r="Q19">
            <v>8</v>
          </cell>
        </row>
        <row r="20">
          <cell r="A20" t="str">
            <v>80×10</v>
          </cell>
          <cell r="B20">
            <v>11.9</v>
          </cell>
          <cell r="C20">
            <v>15.1</v>
          </cell>
          <cell r="D20">
            <v>10</v>
          </cell>
          <cell r="E20">
            <v>2.34</v>
          </cell>
          <cell r="F20">
            <v>3.31</v>
          </cell>
          <cell r="G20">
            <v>2.85</v>
          </cell>
          <cell r="H20">
            <v>87.5</v>
          </cell>
          <cell r="I20">
            <v>15.5</v>
          </cell>
          <cell r="J20">
            <v>2.41</v>
          </cell>
          <cell r="K20">
            <v>139</v>
          </cell>
          <cell r="L20">
            <v>3.03</v>
          </cell>
          <cell r="M20">
            <v>35.9</v>
          </cell>
          <cell r="N20">
            <v>10.9</v>
          </cell>
          <cell r="O20">
            <v>1.54</v>
          </cell>
          <cell r="P20">
            <v>80</v>
          </cell>
          <cell r="Q20">
            <v>10</v>
          </cell>
        </row>
        <row r="21">
          <cell r="A21" t="str">
            <v>90×7</v>
          </cell>
          <cell r="B21">
            <v>9.61</v>
          </cell>
          <cell r="C21">
            <v>12.2</v>
          </cell>
          <cell r="D21">
            <v>11</v>
          </cell>
          <cell r="E21">
            <v>2.4500000000000002</v>
          </cell>
          <cell r="F21">
            <v>3.47</v>
          </cell>
          <cell r="G21">
            <v>3.16</v>
          </cell>
          <cell r="H21">
            <v>92.6</v>
          </cell>
          <cell r="I21">
            <v>14.1</v>
          </cell>
          <cell r="J21">
            <v>2.75</v>
          </cell>
          <cell r="K21">
            <v>147</v>
          </cell>
          <cell r="L21">
            <v>3.46</v>
          </cell>
          <cell r="M21">
            <v>38.299999999999997</v>
          </cell>
          <cell r="N21">
            <v>11</v>
          </cell>
          <cell r="O21">
            <v>1.77</v>
          </cell>
          <cell r="P21">
            <v>90</v>
          </cell>
          <cell r="Q21">
            <v>7</v>
          </cell>
        </row>
        <row r="22">
          <cell r="A22" t="str">
            <v>90×9</v>
          </cell>
          <cell r="B22">
            <v>12.2</v>
          </cell>
          <cell r="C22">
            <v>15.5</v>
          </cell>
          <cell r="D22">
            <v>11</v>
          </cell>
          <cell r="E22">
            <v>2.54</v>
          </cell>
          <cell r="F22">
            <v>3.59</v>
          </cell>
          <cell r="G22">
            <v>3.18</v>
          </cell>
          <cell r="H22">
            <v>116</v>
          </cell>
          <cell r="I22">
            <v>18</v>
          </cell>
          <cell r="J22">
            <v>2.74</v>
          </cell>
          <cell r="K22">
            <v>184</v>
          </cell>
          <cell r="L22">
            <v>3.45</v>
          </cell>
          <cell r="M22">
            <v>47.8</v>
          </cell>
          <cell r="N22">
            <v>13.3</v>
          </cell>
          <cell r="O22">
            <v>1.76</v>
          </cell>
          <cell r="P22">
            <v>90</v>
          </cell>
          <cell r="Q22">
            <v>9</v>
          </cell>
        </row>
        <row r="23">
          <cell r="A23" t="str">
            <v>100×8</v>
          </cell>
          <cell r="B23">
            <v>12.2</v>
          </cell>
          <cell r="C23">
            <v>15.5</v>
          </cell>
          <cell r="D23">
            <v>12</v>
          </cell>
          <cell r="E23">
            <v>2.74</v>
          </cell>
          <cell r="F23">
            <v>3.87</v>
          </cell>
          <cell r="G23">
            <v>3.52</v>
          </cell>
          <cell r="H23">
            <v>145</v>
          </cell>
          <cell r="I23">
            <v>19.899999999999999</v>
          </cell>
          <cell r="J23">
            <v>3.06</v>
          </cell>
          <cell r="K23">
            <v>230</v>
          </cell>
          <cell r="L23">
            <v>3.85</v>
          </cell>
          <cell r="M23">
            <v>59.9</v>
          </cell>
          <cell r="N23">
            <v>15.5</v>
          </cell>
          <cell r="O23">
            <v>1.96</v>
          </cell>
          <cell r="P23">
            <v>100</v>
          </cell>
          <cell r="Q23">
            <v>8</v>
          </cell>
        </row>
        <row r="24">
          <cell r="A24" t="str">
            <v>100×10</v>
          </cell>
          <cell r="B24">
            <v>15.1</v>
          </cell>
          <cell r="C24">
            <v>19.2</v>
          </cell>
          <cell r="D24">
            <v>12</v>
          </cell>
          <cell r="E24">
            <v>2.82</v>
          </cell>
          <cell r="F24">
            <v>3.99</v>
          </cell>
          <cell r="G24">
            <v>3.54</v>
          </cell>
          <cell r="H24">
            <v>177</v>
          </cell>
          <cell r="I24">
            <v>24.7</v>
          </cell>
          <cell r="J24">
            <v>3.04</v>
          </cell>
          <cell r="K24">
            <v>280</v>
          </cell>
          <cell r="L24">
            <v>3.82</v>
          </cell>
          <cell r="M24">
            <v>73.3</v>
          </cell>
          <cell r="N24">
            <v>18.399999999999999</v>
          </cell>
          <cell r="O24">
            <v>1.95</v>
          </cell>
          <cell r="P24">
            <v>100</v>
          </cell>
          <cell r="Q24">
            <v>10</v>
          </cell>
        </row>
        <row r="25">
          <cell r="A25" t="str">
            <v>100×12</v>
          </cell>
          <cell r="B25">
            <v>17.8</v>
          </cell>
          <cell r="C25">
            <v>22.7</v>
          </cell>
          <cell r="D25">
            <v>12</v>
          </cell>
          <cell r="E25">
            <v>2.9</v>
          </cell>
          <cell r="F25">
            <v>4.0999999999999996</v>
          </cell>
          <cell r="G25">
            <v>3.57</v>
          </cell>
          <cell r="H25">
            <v>207</v>
          </cell>
          <cell r="I25">
            <v>29.2</v>
          </cell>
          <cell r="J25">
            <v>3.02</v>
          </cell>
          <cell r="K25">
            <v>328</v>
          </cell>
          <cell r="L25">
            <v>3.8</v>
          </cell>
          <cell r="M25">
            <v>86.2</v>
          </cell>
          <cell r="N25">
            <v>21</v>
          </cell>
          <cell r="O25">
            <v>1.95</v>
          </cell>
          <cell r="P25">
            <v>100</v>
          </cell>
          <cell r="Q25">
            <v>12</v>
          </cell>
        </row>
        <row r="26">
          <cell r="A26" t="str">
            <v>110×10</v>
          </cell>
          <cell r="B26">
            <v>16.600000000000001</v>
          </cell>
          <cell r="C26">
            <v>21.2</v>
          </cell>
          <cell r="D26">
            <v>12</v>
          </cell>
          <cell r="E26">
            <v>3.07</v>
          </cell>
          <cell r="F26">
            <v>4.34</v>
          </cell>
          <cell r="G26">
            <v>3.89</v>
          </cell>
          <cell r="H26">
            <v>239</v>
          </cell>
          <cell r="I26">
            <v>30.1</v>
          </cell>
          <cell r="J26">
            <v>3.36</v>
          </cell>
          <cell r="K26">
            <v>379</v>
          </cell>
          <cell r="L26">
            <v>4.2300000000000004</v>
          </cell>
          <cell r="M26">
            <v>98.6</v>
          </cell>
          <cell r="N26">
            <v>22.7</v>
          </cell>
          <cell r="O26">
            <v>2.16</v>
          </cell>
          <cell r="P26">
            <v>110</v>
          </cell>
          <cell r="Q26">
            <v>10</v>
          </cell>
        </row>
        <row r="27">
          <cell r="A27" t="str">
            <v>120×10</v>
          </cell>
          <cell r="B27">
            <v>18.2</v>
          </cell>
          <cell r="C27">
            <v>23.2</v>
          </cell>
          <cell r="D27">
            <v>13</v>
          </cell>
          <cell r="E27">
            <v>3.31</v>
          </cell>
          <cell r="F27">
            <v>4.6900000000000004</v>
          </cell>
          <cell r="G27">
            <v>4.22</v>
          </cell>
          <cell r="H27">
            <v>313</v>
          </cell>
          <cell r="I27">
            <v>36</v>
          </cell>
          <cell r="J27">
            <v>3.67</v>
          </cell>
          <cell r="K27">
            <v>497</v>
          </cell>
          <cell r="L27">
            <v>4.63</v>
          </cell>
          <cell r="M27">
            <v>129</v>
          </cell>
          <cell r="N27">
            <v>27.5</v>
          </cell>
          <cell r="O27">
            <v>2.36</v>
          </cell>
          <cell r="P27">
            <v>120</v>
          </cell>
          <cell r="Q27">
            <v>10</v>
          </cell>
        </row>
        <row r="28">
          <cell r="A28" t="str">
            <v>120×12</v>
          </cell>
          <cell r="B28">
            <v>21.6</v>
          </cell>
          <cell r="C28">
            <v>27.5</v>
          </cell>
          <cell r="D28">
            <v>13</v>
          </cell>
          <cell r="E28">
            <v>3.4</v>
          </cell>
          <cell r="F28">
            <v>4.8</v>
          </cell>
          <cell r="G28">
            <v>4.25</v>
          </cell>
          <cell r="H28">
            <v>368</v>
          </cell>
          <cell r="I28">
            <v>42.7</v>
          </cell>
          <cell r="J28">
            <v>3.65</v>
          </cell>
          <cell r="K28">
            <v>584</v>
          </cell>
          <cell r="L28">
            <v>4.5999999999999996</v>
          </cell>
          <cell r="M28">
            <v>152</v>
          </cell>
          <cell r="N28">
            <v>31.6</v>
          </cell>
          <cell r="O28">
            <v>2.35</v>
          </cell>
          <cell r="P28">
            <v>120</v>
          </cell>
          <cell r="Q28">
            <v>12</v>
          </cell>
        </row>
        <row r="29">
          <cell r="A29" t="str">
            <v>130×12</v>
          </cell>
          <cell r="B29">
            <v>23.6</v>
          </cell>
          <cell r="C29">
            <v>30</v>
          </cell>
          <cell r="D29">
            <v>14</v>
          </cell>
          <cell r="E29">
            <v>3.64</v>
          </cell>
          <cell r="F29">
            <v>5.15</v>
          </cell>
          <cell r="G29">
            <v>4.5999999999999996</v>
          </cell>
          <cell r="H29">
            <v>472</v>
          </cell>
          <cell r="I29">
            <v>50.4</v>
          </cell>
          <cell r="J29">
            <v>3.97</v>
          </cell>
          <cell r="K29">
            <v>750</v>
          </cell>
          <cell r="L29">
            <v>5</v>
          </cell>
          <cell r="M29">
            <v>194</v>
          </cell>
          <cell r="N29">
            <v>37.700000000000003</v>
          </cell>
          <cell r="O29">
            <v>2.54</v>
          </cell>
          <cell r="P29">
            <v>130</v>
          </cell>
          <cell r="Q29">
            <v>12</v>
          </cell>
        </row>
        <row r="30">
          <cell r="A30" t="str">
            <v>140×13</v>
          </cell>
          <cell r="B30">
            <v>27.6</v>
          </cell>
          <cell r="C30">
            <v>35</v>
          </cell>
          <cell r="D30">
            <v>15</v>
          </cell>
          <cell r="E30">
            <v>3.92</v>
          </cell>
          <cell r="F30">
            <v>5.54</v>
          </cell>
          <cell r="G30">
            <v>4.96</v>
          </cell>
          <cell r="H30">
            <v>638</v>
          </cell>
          <cell r="I30">
            <v>63.3</v>
          </cell>
          <cell r="J30">
            <v>4.2699999999999996</v>
          </cell>
          <cell r="K30">
            <v>1010</v>
          </cell>
          <cell r="L30">
            <v>5.38</v>
          </cell>
          <cell r="M30">
            <v>262</v>
          </cell>
          <cell r="N30">
            <v>47.3</v>
          </cell>
          <cell r="O30">
            <v>2.74</v>
          </cell>
          <cell r="P30">
            <v>140</v>
          </cell>
          <cell r="Q30">
            <v>13</v>
          </cell>
        </row>
        <row r="31">
          <cell r="A31" t="str">
            <v>150×12</v>
          </cell>
          <cell r="B31">
            <v>27.3</v>
          </cell>
          <cell r="C31">
            <v>34.799999999999997</v>
          </cell>
          <cell r="D31">
            <v>16</v>
          </cell>
          <cell r="E31">
            <v>4.12</v>
          </cell>
          <cell r="F31">
            <v>5.83</v>
          </cell>
          <cell r="G31">
            <v>5.29</v>
          </cell>
          <cell r="H31">
            <v>737</v>
          </cell>
          <cell r="I31">
            <v>67.7</v>
          </cell>
          <cell r="J31">
            <v>4.5999999999999996</v>
          </cell>
          <cell r="K31">
            <v>1170</v>
          </cell>
          <cell r="L31">
            <v>5.8</v>
          </cell>
          <cell r="M31">
            <v>303</v>
          </cell>
          <cell r="N31">
            <v>52</v>
          </cell>
          <cell r="O31">
            <v>2.95</v>
          </cell>
          <cell r="P31">
            <v>150</v>
          </cell>
          <cell r="Q31">
            <v>12</v>
          </cell>
        </row>
        <row r="32">
          <cell r="A32" t="str">
            <v>150×15</v>
          </cell>
          <cell r="B32">
            <v>33.799999999999997</v>
          </cell>
          <cell r="C32">
            <v>43</v>
          </cell>
          <cell r="D32">
            <v>16</v>
          </cell>
          <cell r="E32">
            <v>4.25</v>
          </cell>
          <cell r="F32">
            <v>6.01</v>
          </cell>
          <cell r="G32">
            <v>5.33</v>
          </cell>
          <cell r="H32">
            <v>898</v>
          </cell>
          <cell r="I32">
            <v>83.5</v>
          </cell>
          <cell r="J32">
            <v>4.57</v>
          </cell>
          <cell r="K32">
            <v>1430</v>
          </cell>
          <cell r="L32">
            <v>5.76</v>
          </cell>
          <cell r="M32">
            <v>370</v>
          </cell>
          <cell r="N32">
            <v>61.6</v>
          </cell>
          <cell r="O32">
            <v>2.93</v>
          </cell>
          <cell r="P32">
            <v>150</v>
          </cell>
          <cell r="Q32">
            <v>15</v>
          </cell>
        </row>
        <row r="33">
          <cell r="A33" t="str">
            <v>160×15</v>
          </cell>
          <cell r="B33">
            <v>36.200000000000003</v>
          </cell>
          <cell r="C33">
            <v>46.1</v>
          </cell>
          <cell r="D33">
            <v>17</v>
          </cell>
          <cell r="E33">
            <v>4.49</v>
          </cell>
          <cell r="F33">
            <v>6.35</v>
          </cell>
          <cell r="G33">
            <v>5.67</v>
          </cell>
          <cell r="H33">
            <v>1100</v>
          </cell>
          <cell r="I33">
            <v>95.6</v>
          </cell>
          <cell r="J33">
            <v>4.88</v>
          </cell>
          <cell r="K33">
            <v>1750</v>
          </cell>
          <cell r="L33">
            <v>6.15</v>
          </cell>
          <cell r="M33">
            <v>453</v>
          </cell>
          <cell r="N33">
            <v>71.3</v>
          </cell>
          <cell r="O33">
            <v>3.14</v>
          </cell>
          <cell r="P33">
            <v>160</v>
          </cell>
          <cell r="Q33">
            <v>15</v>
          </cell>
        </row>
        <row r="34">
          <cell r="A34" t="str">
            <v>180×16</v>
          </cell>
          <cell r="B34">
            <v>43.5</v>
          </cell>
          <cell r="C34">
            <v>55.4</v>
          </cell>
          <cell r="D34">
            <v>18</v>
          </cell>
          <cell r="E34">
            <v>5.0199999999999996</v>
          </cell>
          <cell r="F34">
            <v>7.11</v>
          </cell>
          <cell r="G34">
            <v>6.39</v>
          </cell>
          <cell r="H34">
            <v>1680</v>
          </cell>
          <cell r="I34">
            <v>130</v>
          </cell>
          <cell r="J34">
            <v>5.51</v>
          </cell>
          <cell r="K34">
            <v>2690</v>
          </cell>
          <cell r="L34">
            <v>6.96</v>
          </cell>
          <cell r="M34">
            <v>679</v>
          </cell>
          <cell r="N34">
            <v>95.5</v>
          </cell>
          <cell r="O34">
            <v>3.5</v>
          </cell>
          <cell r="P34">
            <v>180</v>
          </cell>
          <cell r="Q34">
            <v>16</v>
          </cell>
        </row>
        <row r="35">
          <cell r="A35" t="str">
            <v>180×18</v>
          </cell>
          <cell r="B35">
            <v>48.6</v>
          </cell>
          <cell r="C35">
            <v>61.9</v>
          </cell>
          <cell r="D35">
            <v>18</v>
          </cell>
          <cell r="E35">
            <v>5.0999999999999996</v>
          </cell>
          <cell r="F35">
            <v>7.22</v>
          </cell>
          <cell r="G35">
            <v>6.41</v>
          </cell>
          <cell r="H35">
            <v>1870</v>
          </cell>
          <cell r="I35">
            <v>145</v>
          </cell>
          <cell r="J35">
            <v>5.49</v>
          </cell>
          <cell r="K35">
            <v>2970</v>
          </cell>
          <cell r="L35">
            <v>6.93</v>
          </cell>
          <cell r="M35">
            <v>757</v>
          </cell>
          <cell r="N35">
            <v>105</v>
          </cell>
          <cell r="O35">
            <v>3.49</v>
          </cell>
          <cell r="P35">
            <v>180</v>
          </cell>
          <cell r="Q35">
            <v>18</v>
          </cell>
        </row>
        <row r="36">
          <cell r="A36" t="str">
            <v>200×16</v>
          </cell>
          <cell r="B36">
            <v>48.5</v>
          </cell>
          <cell r="C36">
            <v>61.8</v>
          </cell>
          <cell r="D36">
            <v>18</v>
          </cell>
          <cell r="E36">
            <v>5.52</v>
          </cell>
          <cell r="F36">
            <v>7.8</v>
          </cell>
          <cell r="G36">
            <v>7.09</v>
          </cell>
          <cell r="H36">
            <v>1340</v>
          </cell>
          <cell r="I36">
            <v>162</v>
          </cell>
          <cell r="J36">
            <v>6.15</v>
          </cell>
          <cell r="K36">
            <v>3740</v>
          </cell>
          <cell r="L36">
            <v>7.78</v>
          </cell>
          <cell r="M36">
            <v>943</v>
          </cell>
          <cell r="N36">
            <v>121</v>
          </cell>
          <cell r="O36">
            <v>3.91</v>
          </cell>
          <cell r="P36">
            <v>200</v>
          </cell>
          <cell r="Q36">
            <v>16</v>
          </cell>
        </row>
        <row r="37">
          <cell r="A37" t="str">
            <v>200×20</v>
          </cell>
          <cell r="B37">
            <v>59.9</v>
          </cell>
          <cell r="C37">
            <v>76.3</v>
          </cell>
          <cell r="D37">
            <v>18</v>
          </cell>
          <cell r="E37">
            <v>5.68</v>
          </cell>
          <cell r="F37">
            <v>8.0399999999999991</v>
          </cell>
          <cell r="G37">
            <v>7.15</v>
          </cell>
          <cell r="H37">
            <v>2850</v>
          </cell>
          <cell r="I37">
            <v>199</v>
          </cell>
          <cell r="J37">
            <v>6.11</v>
          </cell>
          <cell r="K37">
            <v>4540</v>
          </cell>
          <cell r="L37">
            <v>7.72</v>
          </cell>
          <cell r="M37">
            <v>1160</v>
          </cell>
          <cell r="N37">
            <v>144</v>
          </cell>
          <cell r="O37">
            <v>3.89</v>
          </cell>
          <cell r="P37">
            <v>200</v>
          </cell>
          <cell r="Q37">
            <v>20</v>
          </cell>
        </row>
        <row r="38">
          <cell r="A38" t="str">
            <v>200×24</v>
          </cell>
          <cell r="B38">
            <v>71.099999999999994</v>
          </cell>
          <cell r="C38">
            <v>90.6</v>
          </cell>
          <cell r="D38">
            <v>18</v>
          </cell>
          <cell r="E38">
            <v>5.84</v>
          </cell>
          <cell r="F38">
            <v>8.26</v>
          </cell>
          <cell r="G38">
            <v>7.21</v>
          </cell>
          <cell r="H38">
            <v>3330</v>
          </cell>
          <cell r="I38">
            <v>235</v>
          </cell>
          <cell r="J38">
            <v>6.06</v>
          </cell>
          <cell r="K38">
            <v>5280</v>
          </cell>
          <cell r="L38">
            <v>7.64</v>
          </cell>
          <cell r="M38">
            <v>1380</v>
          </cell>
          <cell r="N38">
            <v>167</v>
          </cell>
          <cell r="O38">
            <v>3.9</v>
          </cell>
          <cell r="P38">
            <v>200</v>
          </cell>
          <cell r="Q38">
            <v>24</v>
          </cell>
        </row>
        <row r="45">
          <cell r="A45" t="str">
            <v>S235</v>
          </cell>
          <cell r="B45">
            <v>235</v>
          </cell>
          <cell r="C45">
            <v>225</v>
          </cell>
          <cell r="D45">
            <v>215</v>
          </cell>
          <cell r="E45">
            <v>215</v>
          </cell>
        </row>
        <row r="46">
          <cell r="A46" t="str">
            <v>S275</v>
          </cell>
          <cell r="B46">
            <v>275</v>
          </cell>
          <cell r="C46">
            <v>265</v>
          </cell>
          <cell r="D46">
            <v>255</v>
          </cell>
          <cell r="E46">
            <v>245</v>
          </cell>
        </row>
        <row r="47">
          <cell r="A47" t="str">
            <v>S355</v>
          </cell>
          <cell r="B47">
            <v>355</v>
          </cell>
          <cell r="C47">
            <v>345</v>
          </cell>
          <cell r="D47">
            <v>335</v>
          </cell>
          <cell r="E47">
            <v>325</v>
          </cell>
        </row>
        <row r="48">
          <cell r="A48" t="str">
            <v>S450</v>
          </cell>
          <cell r="B48">
            <v>450</v>
          </cell>
          <cell r="C48">
            <v>430</v>
          </cell>
          <cell r="D48">
            <v>410</v>
          </cell>
          <cell r="E48">
            <v>390</v>
          </cell>
        </row>
        <row r="53">
          <cell r="A53" t="str">
            <v>S235</v>
          </cell>
          <cell r="B53">
            <v>360</v>
          </cell>
          <cell r="C53">
            <v>360</v>
          </cell>
          <cell r="D53">
            <v>350</v>
          </cell>
          <cell r="E53">
            <v>340</v>
          </cell>
        </row>
        <row r="54">
          <cell r="A54" t="str">
            <v>S275</v>
          </cell>
          <cell r="B54">
            <v>430</v>
          </cell>
          <cell r="C54">
            <v>410</v>
          </cell>
          <cell r="D54">
            <v>400</v>
          </cell>
          <cell r="E54">
            <v>380</v>
          </cell>
        </row>
        <row r="55">
          <cell r="A55" t="str">
            <v>S355</v>
          </cell>
          <cell r="B55">
            <v>510</v>
          </cell>
          <cell r="C55">
            <v>470</v>
          </cell>
          <cell r="D55">
            <v>450</v>
          </cell>
          <cell r="E55">
            <v>450</v>
          </cell>
        </row>
        <row r="56">
          <cell r="A56" t="str">
            <v>S450</v>
          </cell>
          <cell r="B56" t="str">
            <v>-</v>
          </cell>
          <cell r="C56">
            <v>550</v>
          </cell>
          <cell r="D56">
            <v>530</v>
          </cell>
          <cell r="E56" t="str">
            <v>-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</sheetNames>
    <definedNames>
      <definedName name="EQS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structural-drafting-net-expert.com/steel-sections-Europe-UPN.html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Z22"/>
  <sheetViews>
    <sheetView showGridLines="0" workbookViewId="0"/>
  </sheetViews>
  <sheetFormatPr defaultColWidth="8.625" defaultRowHeight="11.25"/>
  <cols>
    <col min="1" max="2" width="8.625" customWidth="1"/>
  </cols>
  <sheetData>
    <row r="1" spans="1:52">
      <c r="A1" s="238"/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</row>
    <row r="2" spans="1:52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</row>
    <row r="3" spans="1:52">
      <c r="A3" s="237"/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</row>
    <row r="4" spans="1:52">
      <c r="A4" s="237"/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</row>
    <row r="5" spans="1:52">
      <c r="A5" s="237"/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</row>
    <row r="6" spans="1:52">
      <c r="A6" s="237"/>
      <c r="B6" s="237"/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  <c r="AV6" s="237"/>
      <c r="AW6" s="237"/>
      <c r="AX6" s="237"/>
      <c r="AY6" s="237"/>
      <c r="AZ6" s="237"/>
    </row>
    <row r="7" spans="1:52">
      <c r="A7" s="237"/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  <c r="AU7" s="237"/>
      <c r="AV7" s="237"/>
      <c r="AW7" s="237"/>
      <c r="AX7" s="237"/>
      <c r="AY7" s="237"/>
      <c r="AZ7" s="237"/>
    </row>
    <row r="8" spans="1:52">
      <c r="A8" s="237"/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  <c r="AU8" s="237"/>
      <c r="AV8" s="237"/>
      <c r="AW8" s="237"/>
      <c r="AX8" s="237"/>
      <c r="AY8" s="237"/>
      <c r="AZ8" s="237"/>
    </row>
    <row r="9" spans="1:52">
      <c r="A9" s="237"/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  <c r="AU9" s="237"/>
      <c r="AV9" s="237"/>
      <c r="AW9" s="237"/>
      <c r="AX9" s="237"/>
      <c r="AY9" s="237"/>
      <c r="AZ9" s="237"/>
    </row>
    <row r="10" spans="1:52">
      <c r="A10" s="237"/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</row>
    <row r="11" spans="1:52">
      <c r="A11" s="238"/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</row>
    <row r="12" spans="1:52">
      <c r="A12" s="237"/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</row>
    <row r="13" spans="1:52">
      <c r="A13" s="237"/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</row>
    <row r="14" spans="1:52">
      <c r="A14" s="237"/>
      <c r="B14" s="237"/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</row>
    <row r="15" spans="1:52">
      <c r="A15" s="237"/>
      <c r="B15" s="237"/>
      <c r="C15" s="237"/>
      <c r="D15" s="237"/>
      <c r="E15" s="237"/>
      <c r="F15" s="237"/>
      <c r="G15" s="237"/>
      <c r="H15" s="237"/>
      <c r="I15" s="237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</row>
    <row r="16" spans="1:52">
      <c r="A16" s="237"/>
      <c r="B16" s="237"/>
      <c r="C16" s="237"/>
      <c r="D16" s="237"/>
      <c r="E16" s="237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</row>
    <row r="17" spans="1:52">
      <c r="A17" s="237"/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</row>
    <row r="18" spans="1:52">
      <c r="A18" s="237"/>
      <c r="B18" s="237"/>
      <c r="C18" s="237"/>
      <c r="D18" s="237"/>
      <c r="E18" s="237"/>
      <c r="F18" s="237"/>
      <c r="G18" s="237"/>
      <c r="H18" s="237"/>
      <c r="I18" s="237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</row>
    <row r="19" spans="1:52">
      <c r="A19" s="237"/>
      <c r="B19" s="237"/>
      <c r="C19" s="237"/>
      <c r="D19" s="237"/>
      <c r="E19" s="237"/>
      <c r="F19" s="237"/>
      <c r="G19" s="237"/>
      <c r="H19" s="237"/>
      <c r="I19" s="237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</row>
    <row r="20" spans="1:52">
      <c r="A20" s="237"/>
      <c r="B20" s="237"/>
      <c r="C20" s="237"/>
      <c r="D20" s="237"/>
      <c r="E20" s="237"/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</row>
    <row r="21" spans="1:52">
      <c r="A21" s="237"/>
      <c r="B21" s="237"/>
      <c r="C21" s="237"/>
      <c r="D21" s="237"/>
      <c r="E21" s="237"/>
      <c r="F21" s="237"/>
      <c r="G21" s="237"/>
      <c r="H21" s="237"/>
      <c r="I21" s="237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</row>
    <row r="22" spans="1:52">
      <c r="A22" s="237"/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2:Q358"/>
  <sheetViews>
    <sheetView workbookViewId="0"/>
  </sheetViews>
  <sheetFormatPr defaultColWidth="5.5" defaultRowHeight="16.5" customHeight="1" outlineLevelRow="1"/>
  <cols>
    <col min="1" max="1" width="2.875" style="122" customWidth="1"/>
    <col min="2" max="2" width="2.875" style="121" customWidth="1"/>
    <col min="3" max="3" width="2.875" customWidth="1"/>
    <col min="6" max="6" width="7.625" customWidth="1"/>
    <col min="8" max="8" width="1.75" customWidth="1"/>
  </cols>
  <sheetData>
    <row r="2" spans="1:1" ht="16.5" customHeight="1">
      <c r="A2" s="122" t="s">
        <v>588</v>
      </c>
    </row>
    <row r="24" spans="1:10" s="23" customFormat="1" ht="20.25">
      <c r="A24" s="123"/>
      <c r="B24" s="71" t="s">
        <v>580</v>
      </c>
      <c r="C24" s="35"/>
      <c r="D24" s="35"/>
      <c r="E24" s="66"/>
      <c r="F24" s="70"/>
      <c r="G24" s="67"/>
      <c r="H24" s="31"/>
      <c r="I24" s="30"/>
    </row>
    <row r="25" spans="1:10" s="23" customFormat="1" ht="20.25">
      <c r="A25" s="123"/>
      <c r="B25" s="71"/>
      <c r="C25" s="36" t="s">
        <v>412</v>
      </c>
      <c r="D25" s="35"/>
      <c r="E25" s="66"/>
      <c r="F25" s="70"/>
      <c r="G25" s="67"/>
      <c r="H25" s="31"/>
      <c r="I25" s="30"/>
    </row>
    <row r="26" spans="1:10" s="23" customFormat="1" ht="20.25">
      <c r="A26" s="123"/>
      <c r="B26" s="71"/>
      <c r="C26" s="94"/>
      <c r="D26" s="94" t="s">
        <v>419</v>
      </c>
      <c r="E26" s="66"/>
      <c r="F26" s="70"/>
      <c r="G26" s="67"/>
      <c r="H26" s="31"/>
      <c r="I26" s="30"/>
    </row>
    <row r="27" spans="1:10" s="23" customFormat="1" ht="21">
      <c r="A27" s="123"/>
      <c r="B27" s="71"/>
      <c r="C27" s="94"/>
      <c r="D27" s="35"/>
      <c r="E27" s="96" t="s">
        <v>420</v>
      </c>
      <c r="F27" s="117">
        <f>Jäitekoormus!F92</f>
        <v>7.4690520878992066</v>
      </c>
      <c r="G27" s="97" t="s">
        <v>86</v>
      </c>
      <c r="H27" s="31"/>
      <c r="J27" s="95" t="s">
        <v>423</v>
      </c>
    </row>
    <row r="28" spans="1:10" s="23" customFormat="1" ht="20.25">
      <c r="A28" s="123"/>
      <c r="B28" s="71"/>
      <c r="C28" s="94"/>
      <c r="D28" s="35"/>
      <c r="E28" s="96" t="s">
        <v>407</v>
      </c>
      <c r="F28" s="118">
        <v>2.18E-2</v>
      </c>
      <c r="G28" s="97" t="s">
        <v>51</v>
      </c>
      <c r="H28" s="31"/>
      <c r="J28" s="95" t="s">
        <v>408</v>
      </c>
    </row>
    <row r="29" spans="1:10" s="23" customFormat="1" ht="20.25">
      <c r="A29" s="123"/>
      <c r="B29" s="71"/>
      <c r="C29" s="94"/>
      <c r="D29" s="35"/>
      <c r="E29" s="96" t="s">
        <v>371</v>
      </c>
      <c r="F29" s="70">
        <v>9.81</v>
      </c>
      <c r="G29" s="97" t="s">
        <v>372</v>
      </c>
      <c r="H29" s="31"/>
      <c r="J29" s="95" t="s">
        <v>373</v>
      </c>
    </row>
    <row r="30" spans="1:10" s="23" customFormat="1" ht="20.25">
      <c r="A30" s="123"/>
      <c r="B30" s="71"/>
      <c r="C30" s="94"/>
      <c r="D30" s="35"/>
      <c r="E30" s="96" t="s">
        <v>411</v>
      </c>
      <c r="F30" s="23">
        <v>3.1415999999999999</v>
      </c>
      <c r="G30" s="58"/>
    </row>
    <row r="31" spans="1:10" s="23" customFormat="1" ht="21">
      <c r="A31" s="123"/>
      <c r="B31" s="71"/>
      <c r="C31" s="94"/>
      <c r="D31" s="35"/>
      <c r="E31" s="96" t="s">
        <v>409</v>
      </c>
      <c r="F31" s="70">
        <v>900</v>
      </c>
      <c r="G31" s="97" t="s">
        <v>369</v>
      </c>
      <c r="H31" s="31"/>
      <c r="I31" s="30"/>
      <c r="J31" s="95" t="s">
        <v>370</v>
      </c>
    </row>
    <row r="32" spans="1:10" s="23" customFormat="1" ht="20.25">
      <c r="A32" s="123"/>
      <c r="B32" s="71"/>
      <c r="C32" s="94"/>
      <c r="D32" s="35"/>
      <c r="E32" s="96" t="s">
        <v>427</v>
      </c>
      <c r="F32" s="117">
        <f>'TUULEKOORMUS 1'!F279*'TUULEKOORMUS 1'!F282*'TUULEKOORMUS 1'!F287*1.2</f>
        <v>720.05845652879236</v>
      </c>
      <c r="G32" s="97" t="s">
        <v>76</v>
      </c>
      <c r="H32" s="31"/>
      <c r="I32" s="30"/>
      <c r="J32" s="95" t="s">
        <v>426</v>
      </c>
    </row>
    <row r="33" spans="1:10" s="23" customFormat="1" ht="20.25">
      <c r="A33" s="123"/>
      <c r="B33" s="71"/>
      <c r="C33" s="94"/>
      <c r="D33" s="35"/>
      <c r="E33" s="114" t="s">
        <v>481</v>
      </c>
      <c r="F33" s="117">
        <v>2</v>
      </c>
      <c r="G33" s="97"/>
      <c r="H33" s="31"/>
      <c r="I33" s="30"/>
      <c r="J33" s="120" t="s">
        <v>585</v>
      </c>
    </row>
    <row r="34" spans="1:10" s="23" customFormat="1" ht="20.25">
      <c r="A34" s="123"/>
      <c r="B34" s="71"/>
      <c r="C34" s="94"/>
      <c r="D34" s="35"/>
      <c r="E34" s="66"/>
      <c r="G34" s="67"/>
      <c r="H34" s="31"/>
      <c r="I34" s="30"/>
    </row>
    <row r="35" spans="1:10" s="23" customFormat="1" ht="20.25">
      <c r="A35" s="123"/>
      <c r="B35" s="71"/>
      <c r="C35" s="35"/>
      <c r="D35" s="36" t="s">
        <v>413</v>
      </c>
      <c r="E35" s="66"/>
      <c r="F35" s="70"/>
      <c r="G35" s="67"/>
      <c r="H35" s="31"/>
      <c r="I35" s="30"/>
    </row>
    <row r="36" spans="1:10" s="23" customFormat="1" ht="21">
      <c r="A36" s="123"/>
      <c r="B36" s="71"/>
      <c r="C36" s="35"/>
      <c r="D36" s="94"/>
      <c r="E36" s="96" t="s">
        <v>422</v>
      </c>
      <c r="F36" s="70">
        <f>1.5</f>
        <v>1.5</v>
      </c>
      <c r="G36" s="67"/>
      <c r="H36" s="31"/>
      <c r="I36" s="30"/>
    </row>
    <row r="37" spans="1:10" s="23" customFormat="1" ht="21">
      <c r="A37" s="123"/>
      <c r="B37" s="71"/>
      <c r="C37" s="35"/>
      <c r="D37" s="35"/>
      <c r="E37" s="96" t="s">
        <v>415</v>
      </c>
      <c r="F37" s="70">
        <f>F36*F27</f>
        <v>11.203578131848809</v>
      </c>
      <c r="G37" s="97" t="s">
        <v>86</v>
      </c>
      <c r="H37" s="31"/>
      <c r="I37" s="30"/>
    </row>
    <row r="38" spans="1:10" s="23" customFormat="1" ht="20.25">
      <c r="A38" s="123"/>
      <c r="B38" s="71"/>
      <c r="C38" s="35"/>
      <c r="D38" s="95" t="s">
        <v>424</v>
      </c>
      <c r="E38" s="96"/>
      <c r="F38" s="70"/>
      <c r="G38" s="97"/>
      <c r="H38" s="31"/>
      <c r="I38" s="30"/>
    </row>
    <row r="39" spans="1:10" s="23" customFormat="1" ht="21">
      <c r="A39" s="123"/>
      <c r="B39" s="71"/>
      <c r="C39" s="35"/>
      <c r="D39" s="35"/>
      <c r="E39" s="96" t="s">
        <v>418</v>
      </c>
      <c r="F39" s="90">
        <f>SQRT(F28^2+((4*F37)/(F29*F30*F31)))</f>
        <v>4.572653739182729E-2</v>
      </c>
      <c r="G39" s="97" t="s">
        <v>51</v>
      </c>
      <c r="H39" s="31" t="str">
        <f>[3]!EQS(F39,"Units= ; EqnPrefix=Valem  ; EqnNo= 0; Multiplication= 1; ShowWorking= 0; EqnStyle= 2; Eqp$H$303_2")</f>
        <v/>
      </c>
      <c r="I39" s="30" t="s">
        <v>669</v>
      </c>
    </row>
    <row r="40" spans="1:10" s="23" customFormat="1" ht="20.25">
      <c r="A40" s="123"/>
      <c r="B40" s="71"/>
      <c r="C40" s="35"/>
      <c r="D40" s="95" t="s">
        <v>425</v>
      </c>
      <c r="E40" s="96"/>
      <c r="F40" s="90"/>
      <c r="G40" s="97"/>
      <c r="H40" s="31"/>
      <c r="I40" s="30"/>
    </row>
    <row r="41" spans="1:10" s="23" customFormat="1" ht="21">
      <c r="A41" s="123"/>
      <c r="B41" s="71"/>
      <c r="C41" s="35"/>
      <c r="D41" s="35"/>
      <c r="E41" s="96" t="s">
        <v>433</v>
      </c>
      <c r="F41" s="70">
        <f>F32*F39</f>
        <v>32.925779936765267</v>
      </c>
      <c r="G41" s="97" t="s">
        <v>86</v>
      </c>
      <c r="H41" s="31" t="str">
        <f>[3]!EQS(F41,"Units= ; EqnPrefix=Valem  ; EqnNo= 0; Multiplication= 1; ShowWorking= 0; EqnStyle= 2; Eqp$H$303_2")</f>
        <v/>
      </c>
      <c r="I41" s="30" t="s">
        <v>670</v>
      </c>
    </row>
    <row r="42" spans="1:10" s="23" customFormat="1" ht="20.25">
      <c r="A42" s="123"/>
      <c r="B42" s="71"/>
      <c r="C42" s="35"/>
      <c r="D42" s="95" t="s">
        <v>430</v>
      </c>
      <c r="F42" s="70"/>
      <c r="G42" s="97"/>
      <c r="H42" s="31"/>
      <c r="I42" s="30"/>
    </row>
    <row r="43" spans="1:10" s="23" customFormat="1" ht="21">
      <c r="A43" s="123"/>
      <c r="B43" s="71"/>
      <c r="C43" s="35"/>
      <c r="D43" s="35"/>
      <c r="E43" s="96" t="s">
        <v>434</v>
      </c>
      <c r="F43" s="70">
        <f>F41*F33</f>
        <v>65.851559873530533</v>
      </c>
      <c r="G43" s="97" t="s">
        <v>86</v>
      </c>
      <c r="H43" s="31" t="str">
        <f>[3]!EQS(F43,"Units= ; EqnPrefix=Valem  ; EqnNo= 0; Multiplication= 1; ShowWorking= 0; EqnStyle= 2; Eqp$H$303_2")</f>
        <v/>
      </c>
      <c r="I43" s="98" t="s">
        <v>673</v>
      </c>
    </row>
    <row r="44" spans="1:10" s="23" customFormat="1" ht="21">
      <c r="A44" s="123"/>
      <c r="B44" s="71"/>
      <c r="C44" s="35"/>
      <c r="D44" s="35"/>
      <c r="E44" s="96" t="s">
        <v>435</v>
      </c>
      <c r="F44" s="117">
        <f>COS(RADIANS(41))^2</f>
        <v>0.56958655048003271</v>
      </c>
      <c r="G44" s="67"/>
      <c r="H44" s="31"/>
      <c r="I44" s="95"/>
      <c r="J44" s="95" t="s">
        <v>428</v>
      </c>
    </row>
    <row r="45" spans="1:10" s="23" customFormat="1" ht="21">
      <c r="A45" s="123"/>
      <c r="B45" s="71"/>
      <c r="C45" s="36"/>
      <c r="D45" s="36"/>
      <c r="E45" s="102" t="s">
        <v>512</v>
      </c>
      <c r="F45" s="46">
        <f>F43*F44</f>
        <v>37.508162832093596</v>
      </c>
      <c r="G45" s="67"/>
      <c r="H45" s="31"/>
      <c r="I45" s="95"/>
      <c r="J45" s="95" t="s">
        <v>431</v>
      </c>
    </row>
    <row r="46" spans="1:10" s="23" customFormat="1" ht="21">
      <c r="A46" s="123"/>
      <c r="B46" s="71"/>
      <c r="C46" s="35"/>
      <c r="D46" s="35"/>
      <c r="E46" s="96" t="s">
        <v>436</v>
      </c>
      <c r="F46" s="117">
        <f>COS(RADIANS(49))^2</f>
        <v>0.43041344951996724</v>
      </c>
      <c r="G46" s="67"/>
      <c r="H46" s="31"/>
      <c r="I46" s="95"/>
      <c r="J46" s="95" t="s">
        <v>429</v>
      </c>
    </row>
    <row r="47" spans="1:10" s="23" customFormat="1" ht="21">
      <c r="A47" s="123"/>
      <c r="B47" s="71"/>
      <c r="C47" s="35"/>
      <c r="D47" s="35"/>
      <c r="E47" s="102" t="s">
        <v>513</v>
      </c>
      <c r="F47" s="46">
        <f>F46*F43</f>
        <v>28.343397041436933</v>
      </c>
      <c r="G47" s="67"/>
      <c r="H47" s="31"/>
      <c r="I47" s="95"/>
      <c r="J47" s="95" t="s">
        <v>432</v>
      </c>
    </row>
    <row r="48" spans="1:10" s="23" customFormat="1" ht="20.25">
      <c r="A48" s="123"/>
      <c r="B48" s="71"/>
      <c r="C48" s="35"/>
      <c r="D48" s="35"/>
      <c r="E48" s="96"/>
      <c r="F48" s="70"/>
      <c r="G48" s="67"/>
      <c r="H48" s="31"/>
      <c r="I48" s="95"/>
    </row>
    <row r="49" spans="1:10" s="23" customFormat="1" ht="20.25">
      <c r="A49" s="123"/>
      <c r="B49" s="71"/>
      <c r="C49" s="35"/>
      <c r="D49" s="35"/>
      <c r="E49" s="66"/>
      <c r="F49" s="70"/>
      <c r="G49" s="67"/>
      <c r="H49" s="31"/>
      <c r="I49" s="30"/>
    </row>
    <row r="50" spans="1:10" s="23" customFormat="1" ht="20.25">
      <c r="A50" s="123"/>
      <c r="B50" s="71"/>
      <c r="C50" s="35"/>
      <c r="D50" s="36" t="s">
        <v>414</v>
      </c>
      <c r="E50" s="66"/>
      <c r="F50" s="70"/>
      <c r="G50" s="67"/>
      <c r="H50" s="31"/>
      <c r="I50" s="30"/>
    </row>
    <row r="51" spans="1:10" s="23" customFormat="1" ht="21">
      <c r="A51" s="123"/>
      <c r="B51" s="71"/>
      <c r="C51" s="35"/>
      <c r="D51" s="94"/>
      <c r="E51" s="96" t="s">
        <v>421</v>
      </c>
      <c r="F51" s="70">
        <v>0.35</v>
      </c>
      <c r="G51" s="67"/>
      <c r="H51" s="31"/>
      <c r="I51" s="30"/>
    </row>
    <row r="52" spans="1:10" s="23" customFormat="1" ht="21">
      <c r="A52" s="123"/>
      <c r="B52" s="71"/>
      <c r="C52" s="35"/>
      <c r="D52" s="94"/>
      <c r="E52" s="96" t="s">
        <v>416</v>
      </c>
      <c r="F52" s="70">
        <f>F51*F27</f>
        <v>2.6141682307647223</v>
      </c>
      <c r="G52" s="97" t="s">
        <v>86</v>
      </c>
      <c r="H52" s="31"/>
      <c r="I52" s="30"/>
    </row>
    <row r="53" spans="1:10" s="23" customFormat="1" ht="21">
      <c r="A53" s="123"/>
      <c r="B53" s="71"/>
      <c r="C53" s="35"/>
      <c r="D53" s="94"/>
      <c r="E53" s="96" t="s">
        <v>417</v>
      </c>
      <c r="F53" s="90">
        <f>SQRT(F28^2+(4*F52)/(F29*F30*F31))</f>
        <v>2.9192997763689416E-2</v>
      </c>
      <c r="G53" s="97" t="s">
        <v>51</v>
      </c>
      <c r="H53" s="31"/>
      <c r="I53" s="30"/>
    </row>
    <row r="54" spans="1:10" s="23" customFormat="1" ht="20.25">
      <c r="A54" s="123"/>
      <c r="B54" s="71"/>
      <c r="C54" s="35"/>
      <c r="D54" s="95" t="s">
        <v>425</v>
      </c>
      <c r="E54" s="96"/>
      <c r="F54" s="90"/>
      <c r="G54" s="97"/>
      <c r="H54" s="31"/>
      <c r="I54" s="30"/>
    </row>
    <row r="55" spans="1:10" s="23" customFormat="1" ht="21">
      <c r="A55" s="123"/>
      <c r="B55" s="71"/>
      <c r="C55" s="35"/>
      <c r="D55" s="35"/>
      <c r="E55" s="96" t="s">
        <v>433</v>
      </c>
      <c r="F55" s="70">
        <f>F32*F53</f>
        <v>21.020664911170687</v>
      </c>
      <c r="G55" s="97" t="s">
        <v>86</v>
      </c>
      <c r="H55" s="31" t="str">
        <f>[3]!EQS(F55,"Units= ; EqnPrefix=Valem  ; EqnNo= 0; Multiplication= 1; ShowWorking= 0; EqnStyle= 2; Eqp$H$303_2")</f>
        <v/>
      </c>
      <c r="I55" s="30" t="s">
        <v>671</v>
      </c>
    </row>
    <row r="56" spans="1:10" s="23" customFormat="1" ht="20.25">
      <c r="A56" s="123"/>
      <c r="B56" s="71"/>
      <c r="C56" s="35"/>
      <c r="D56" s="95" t="s">
        <v>430</v>
      </c>
      <c r="F56" s="70"/>
      <c r="G56" s="97"/>
      <c r="H56" s="31"/>
      <c r="I56" s="30"/>
    </row>
    <row r="57" spans="1:10" s="23" customFormat="1" ht="21">
      <c r="A57" s="123"/>
      <c r="B57" s="71"/>
      <c r="C57" s="35"/>
      <c r="D57" s="35"/>
      <c r="E57" s="96" t="s">
        <v>434</v>
      </c>
      <c r="F57" s="70">
        <f>F55*F33</f>
        <v>42.041329822341375</v>
      </c>
      <c r="G57" s="97" t="s">
        <v>86</v>
      </c>
      <c r="H57" s="31" t="str">
        <f>[3]!EQS(F57,"Units= ; EqnPrefix=Valem  ; EqnNo= 0; Multiplication= 1; ShowWorking= 0; EqnStyle= 2; Eqp$H$303_2")</f>
        <v/>
      </c>
      <c r="I57" s="98" t="s">
        <v>673</v>
      </c>
    </row>
    <row r="58" spans="1:10" s="23" customFormat="1" ht="21">
      <c r="A58" s="123"/>
      <c r="B58" s="71"/>
      <c r="C58" s="35"/>
      <c r="D58" s="35"/>
      <c r="E58" s="96" t="s">
        <v>435</v>
      </c>
      <c r="F58" s="117">
        <f>COS(RADIANS(41))^2</f>
        <v>0.56958655048003271</v>
      </c>
      <c r="G58" s="97"/>
      <c r="H58" s="31"/>
      <c r="I58" s="95"/>
      <c r="J58" s="95" t="s">
        <v>428</v>
      </c>
    </row>
    <row r="59" spans="1:10" s="23" customFormat="1" ht="21">
      <c r="A59" s="123"/>
      <c r="B59" s="71"/>
      <c r="C59" s="35"/>
      <c r="D59" s="35"/>
      <c r="E59" s="102" t="s">
        <v>512</v>
      </c>
      <c r="F59" s="46">
        <f>F57*F58</f>
        <v>23.946176031100748</v>
      </c>
      <c r="G59" s="103" t="s">
        <v>86</v>
      </c>
      <c r="H59" s="31"/>
      <c r="I59" s="95"/>
      <c r="J59" s="95" t="s">
        <v>431</v>
      </c>
    </row>
    <row r="60" spans="1:10" s="23" customFormat="1" ht="21">
      <c r="A60" s="123"/>
      <c r="B60" s="71"/>
      <c r="C60" s="35"/>
      <c r="D60" s="35"/>
      <c r="E60" s="96" t="s">
        <v>436</v>
      </c>
      <c r="F60" s="117">
        <f>COS(RADIANS(49))^2</f>
        <v>0.43041344951996724</v>
      </c>
      <c r="G60" s="97"/>
      <c r="H60" s="31"/>
      <c r="I60" s="95"/>
      <c r="J60" s="95" t="s">
        <v>429</v>
      </c>
    </row>
    <row r="61" spans="1:10" s="23" customFormat="1" ht="21">
      <c r="A61" s="123"/>
      <c r="B61" s="71"/>
      <c r="C61" s="35"/>
      <c r="D61" s="35"/>
      <c r="E61" s="102" t="s">
        <v>513</v>
      </c>
      <c r="F61" s="46">
        <f>F60*F57</f>
        <v>18.095153791240623</v>
      </c>
      <c r="G61" s="103" t="s">
        <v>86</v>
      </c>
      <c r="H61" s="31"/>
      <c r="I61" s="95"/>
      <c r="J61" s="95" t="s">
        <v>432</v>
      </c>
    </row>
    <row r="62" spans="1:10" s="23" customFormat="1" ht="20.25">
      <c r="A62" s="123"/>
      <c r="B62" s="71"/>
      <c r="C62" s="35"/>
      <c r="D62" s="94"/>
      <c r="E62" s="96"/>
      <c r="F62" s="70"/>
      <c r="G62" s="67"/>
      <c r="H62" s="31"/>
      <c r="I62" s="30"/>
    </row>
    <row r="63" spans="1:10" s="23" customFormat="1" ht="20.25">
      <c r="A63" s="123"/>
      <c r="B63" s="71" t="s">
        <v>584</v>
      </c>
      <c r="C63" s="35"/>
      <c r="D63" s="35"/>
      <c r="E63" s="66"/>
      <c r="F63" s="70"/>
      <c r="G63" s="67"/>
      <c r="H63" s="31"/>
      <c r="I63" s="30"/>
    </row>
    <row r="64" spans="1:10" s="23" customFormat="1" ht="20.25">
      <c r="A64" s="123"/>
      <c r="B64" s="71"/>
      <c r="C64" s="36" t="s">
        <v>412</v>
      </c>
      <c r="D64" s="35"/>
      <c r="E64" s="66"/>
      <c r="F64" s="70"/>
      <c r="G64" s="67"/>
      <c r="H64" s="31"/>
      <c r="I64" s="30"/>
    </row>
    <row r="65" spans="1:10" s="23" customFormat="1" ht="20.25">
      <c r="A65" s="123"/>
      <c r="B65" s="71"/>
      <c r="C65" s="94"/>
      <c r="D65" s="94" t="s">
        <v>419</v>
      </c>
      <c r="E65" s="66"/>
      <c r="F65" s="70"/>
      <c r="G65" s="67"/>
      <c r="H65" s="31"/>
      <c r="I65" s="30"/>
    </row>
    <row r="66" spans="1:10" s="23" customFormat="1" ht="21">
      <c r="A66" s="123"/>
      <c r="B66" s="71"/>
      <c r="C66" s="94"/>
      <c r="D66" s="35"/>
      <c r="E66" s="114" t="s">
        <v>420</v>
      </c>
      <c r="F66" s="117">
        <f>Jäitekoormus!F120</f>
        <v>12.475780043184296</v>
      </c>
      <c r="G66" s="97" t="s">
        <v>86</v>
      </c>
      <c r="H66" s="31"/>
      <c r="J66" s="95" t="s">
        <v>423</v>
      </c>
    </row>
    <row r="67" spans="1:10" s="23" customFormat="1" ht="20.25">
      <c r="A67" s="123"/>
      <c r="B67" s="71"/>
      <c r="C67" s="94"/>
      <c r="D67" s="35"/>
      <c r="E67" s="114" t="s">
        <v>581</v>
      </c>
      <c r="F67" s="118">
        <f>Jäitekoormus!F115/1000</f>
        <v>2.7699999999999999E-2</v>
      </c>
      <c r="G67" s="97" t="s">
        <v>51</v>
      </c>
      <c r="H67" s="31"/>
      <c r="J67" s="95" t="s">
        <v>408</v>
      </c>
    </row>
    <row r="68" spans="1:10" s="23" customFormat="1" ht="20.25">
      <c r="A68" s="123"/>
      <c r="B68" s="71"/>
      <c r="C68" s="94"/>
      <c r="D68" s="35"/>
      <c r="E68" s="114" t="s">
        <v>582</v>
      </c>
      <c r="F68" s="70">
        <v>9.81</v>
      </c>
      <c r="G68" s="97" t="s">
        <v>372</v>
      </c>
      <c r="H68" s="31"/>
      <c r="J68" s="95" t="s">
        <v>373</v>
      </c>
    </row>
    <row r="69" spans="1:10" s="23" customFormat="1" ht="20.25">
      <c r="A69" s="123"/>
      <c r="B69" s="71"/>
      <c r="C69" s="94"/>
      <c r="D69" s="35"/>
      <c r="E69" s="114" t="s">
        <v>583</v>
      </c>
      <c r="F69" s="23">
        <v>3.1415999999999999</v>
      </c>
      <c r="G69" s="58"/>
    </row>
    <row r="70" spans="1:10" s="23" customFormat="1" ht="21">
      <c r="A70" s="123"/>
      <c r="B70" s="71"/>
      <c r="C70" s="94"/>
      <c r="D70" s="35"/>
      <c r="E70" s="114" t="s">
        <v>409</v>
      </c>
      <c r="F70" s="70">
        <v>900</v>
      </c>
      <c r="G70" s="97" t="s">
        <v>369</v>
      </c>
      <c r="H70" s="31"/>
      <c r="I70" s="30"/>
      <c r="J70" s="95" t="s">
        <v>370</v>
      </c>
    </row>
    <row r="71" spans="1:10" s="23" customFormat="1" ht="20.25">
      <c r="A71" s="123"/>
      <c r="B71" s="71"/>
      <c r="C71" s="94"/>
      <c r="D71" s="35"/>
      <c r="E71" s="96" t="s">
        <v>427</v>
      </c>
      <c r="F71" s="117">
        <f>'TUULEKOORMUS 1'!F334*'TUULEKOORMUS 1'!F337*'TUULEKOORMUS 1'!F342*1.2</f>
        <v>750.63642571246237</v>
      </c>
      <c r="G71" s="97" t="s">
        <v>76</v>
      </c>
      <c r="H71" s="31"/>
      <c r="I71" s="30"/>
      <c r="J71" s="95" t="s">
        <v>426</v>
      </c>
    </row>
    <row r="72" spans="1:10" s="23" customFormat="1" ht="20.25">
      <c r="A72" s="123"/>
      <c r="B72" s="71"/>
      <c r="C72" s="94"/>
      <c r="D72" s="35"/>
      <c r="E72" s="114" t="s">
        <v>481</v>
      </c>
      <c r="F72" s="119">
        <v>3</v>
      </c>
      <c r="G72" s="97"/>
      <c r="H72" s="31"/>
      <c r="I72" s="30"/>
      <c r="J72" s="120" t="s">
        <v>585</v>
      </c>
    </row>
    <row r="73" spans="1:10" s="23" customFormat="1" ht="20.25">
      <c r="A73" s="123"/>
      <c r="B73" s="71"/>
      <c r="C73" s="94"/>
      <c r="D73" s="35"/>
      <c r="E73" s="66"/>
      <c r="G73" s="67"/>
      <c r="H73" s="31"/>
      <c r="I73" s="30"/>
    </row>
    <row r="74" spans="1:10" s="23" customFormat="1" ht="20.25">
      <c r="A74" s="123"/>
      <c r="B74" s="71"/>
      <c r="C74" s="35"/>
      <c r="D74" s="36" t="s">
        <v>413</v>
      </c>
      <c r="E74" s="66"/>
      <c r="F74" s="70"/>
      <c r="G74" s="67"/>
      <c r="H74" s="31"/>
      <c r="I74" s="30"/>
    </row>
    <row r="75" spans="1:10" s="23" customFormat="1" ht="21">
      <c r="A75" s="123"/>
      <c r="B75" s="71"/>
      <c r="C75" s="35"/>
      <c r="D75" s="94"/>
      <c r="E75" s="114" t="s">
        <v>422</v>
      </c>
      <c r="F75" s="70">
        <f>1.5</f>
        <v>1.5</v>
      </c>
      <c r="G75" s="67"/>
      <c r="H75" s="31"/>
      <c r="I75" s="30"/>
    </row>
    <row r="76" spans="1:10" s="23" customFormat="1" ht="21">
      <c r="A76" s="123"/>
      <c r="B76" s="71"/>
      <c r="C76" s="35"/>
      <c r="D76" s="35"/>
      <c r="E76" s="114" t="s">
        <v>415</v>
      </c>
      <c r="F76" s="70">
        <f>F75*F66</f>
        <v>18.713670064776444</v>
      </c>
      <c r="G76" s="97" t="s">
        <v>86</v>
      </c>
      <c r="H76" s="31"/>
      <c r="I76" s="30"/>
    </row>
    <row r="77" spans="1:10" s="23" customFormat="1" ht="20.25">
      <c r="A77" s="123"/>
      <c r="B77" s="71"/>
      <c r="C77" s="35"/>
      <c r="D77" s="95" t="s">
        <v>424</v>
      </c>
      <c r="E77" s="96"/>
      <c r="F77" s="70"/>
      <c r="G77" s="97"/>
      <c r="H77" s="31"/>
      <c r="I77" s="30"/>
    </row>
    <row r="78" spans="1:10" s="23" customFormat="1" ht="21">
      <c r="A78" s="123"/>
      <c r="B78" s="71"/>
      <c r="C78" s="35"/>
      <c r="D78" s="35"/>
      <c r="E78" s="114" t="s">
        <v>418</v>
      </c>
      <c r="F78" s="90">
        <f>SQRT(F67^2+((4*F76)/(F68*F69*F70)))</f>
        <v>5.8872761861808419E-2</v>
      </c>
      <c r="G78" s="97" t="s">
        <v>51</v>
      </c>
      <c r="H78" s="31" t="str">
        <f>[3]!EQS(F78,"Units= ; EqnPrefix=Valem  ; EqnNo= 0; Multiplication= 1; ShowWorking= 0; EqnStyle= 2; Eqp$H$303_2")</f>
        <v/>
      </c>
      <c r="I78" s="30" t="s">
        <v>669</v>
      </c>
    </row>
    <row r="79" spans="1:10" s="23" customFormat="1" ht="20.25">
      <c r="A79" s="123"/>
      <c r="B79" s="71"/>
      <c r="C79" s="35"/>
      <c r="D79" s="95" t="s">
        <v>425</v>
      </c>
      <c r="E79" s="96"/>
      <c r="F79" s="90"/>
      <c r="G79" s="97"/>
      <c r="H79" s="31"/>
      <c r="I79" s="30"/>
    </row>
    <row r="80" spans="1:10" s="23" customFormat="1" ht="21">
      <c r="A80" s="123"/>
      <c r="B80" s="71"/>
      <c r="C80" s="35"/>
      <c r="D80" s="35"/>
      <c r="E80" s="114" t="s">
        <v>433</v>
      </c>
      <c r="F80" s="70">
        <f>F71*F78</f>
        <v>44.192039535768842</v>
      </c>
      <c r="G80" s="97" t="s">
        <v>86</v>
      </c>
      <c r="H80" s="31" t="str">
        <f>[3]!EQS(F80,"Units= ; EqnPrefix=Valem  ; EqnNo= 0; Multiplication= 1; ShowWorking= 0; EqnStyle= 2; Eqp$H$303_2")</f>
        <v/>
      </c>
      <c r="I80" s="30" t="s">
        <v>670</v>
      </c>
    </row>
    <row r="81" spans="1:10" s="23" customFormat="1" ht="20.25">
      <c r="A81" s="123"/>
      <c r="B81" s="71"/>
      <c r="C81" s="35"/>
      <c r="D81" s="95" t="s">
        <v>430</v>
      </c>
      <c r="F81" s="70"/>
      <c r="G81" s="97"/>
      <c r="H81" s="31"/>
      <c r="I81" s="30"/>
    </row>
    <row r="82" spans="1:10" s="23" customFormat="1" ht="21">
      <c r="A82" s="123"/>
      <c r="B82" s="71"/>
      <c r="C82" s="35"/>
      <c r="D82" s="35"/>
      <c r="E82" s="114" t="s">
        <v>434</v>
      </c>
      <c r="F82" s="70">
        <f>F80*F72</f>
        <v>132.57611860730651</v>
      </c>
      <c r="G82" s="97" t="s">
        <v>86</v>
      </c>
      <c r="H82" s="31" t="str">
        <f>[3]!EQS(F82,"Units= ; EqnPrefix=Valem  ; EqnNo= 0; Multiplication= 1; ShowWorking= 0; EqnStyle= 2; Eqp$H$303_2")</f>
        <v/>
      </c>
      <c r="I82" s="98" t="s">
        <v>673</v>
      </c>
    </row>
    <row r="83" spans="1:10" s="23" customFormat="1" ht="21">
      <c r="A83" s="123"/>
      <c r="B83" s="71"/>
      <c r="C83" s="35"/>
      <c r="D83" s="35"/>
      <c r="E83" s="114" t="s">
        <v>435</v>
      </c>
      <c r="F83" s="117">
        <f>COS(RADIANS(41))^2</f>
        <v>0.56958655048003271</v>
      </c>
      <c r="G83" s="97"/>
      <c r="H83" s="31"/>
      <c r="I83" s="95"/>
      <c r="J83" s="95" t="s">
        <v>428</v>
      </c>
    </row>
    <row r="84" spans="1:10" s="23" customFormat="1" ht="21">
      <c r="A84" s="123"/>
      <c r="B84" s="71"/>
      <c r="C84" s="36"/>
      <c r="D84" s="36"/>
      <c r="E84" s="102" t="s">
        <v>512</v>
      </c>
      <c r="F84" s="46">
        <f>F82*F83</f>
        <v>75.513574073567398</v>
      </c>
      <c r="G84" s="97" t="s">
        <v>86</v>
      </c>
      <c r="H84" s="31"/>
      <c r="I84" s="95"/>
      <c r="J84" s="95" t="s">
        <v>431</v>
      </c>
    </row>
    <row r="85" spans="1:10" s="23" customFormat="1" ht="21">
      <c r="A85" s="123"/>
      <c r="B85" s="71"/>
      <c r="C85" s="35"/>
      <c r="D85" s="35"/>
      <c r="E85" s="114" t="s">
        <v>436</v>
      </c>
      <c r="F85" s="117">
        <f>COS(RADIANS(49))^2</f>
        <v>0.43041344951996724</v>
      </c>
      <c r="G85" s="97"/>
      <c r="H85" s="31"/>
      <c r="I85" s="95"/>
      <c r="J85" s="95" t="s">
        <v>429</v>
      </c>
    </row>
    <row r="86" spans="1:10" s="23" customFormat="1" ht="21">
      <c r="A86" s="123"/>
      <c r="B86" s="71"/>
      <c r="C86" s="35"/>
      <c r="D86" s="35"/>
      <c r="E86" s="102" t="s">
        <v>513</v>
      </c>
      <c r="F86" s="46">
        <f>F85*F82</f>
        <v>57.062544533739114</v>
      </c>
      <c r="G86" s="97" t="s">
        <v>86</v>
      </c>
      <c r="H86" s="31"/>
      <c r="I86" s="95"/>
      <c r="J86" s="95" t="s">
        <v>432</v>
      </c>
    </row>
    <row r="87" spans="1:10" s="23" customFormat="1" ht="20.25">
      <c r="A87" s="123"/>
      <c r="B87" s="71"/>
      <c r="C87" s="35"/>
      <c r="D87" s="35"/>
      <c r="E87" s="96"/>
      <c r="F87" s="70"/>
      <c r="G87" s="67"/>
      <c r="H87" s="31"/>
      <c r="I87" s="95"/>
    </row>
    <row r="88" spans="1:10" s="23" customFormat="1" ht="20.25">
      <c r="A88" s="123"/>
      <c r="B88" s="71"/>
      <c r="C88" s="35"/>
      <c r="D88" s="35"/>
      <c r="E88" s="66"/>
      <c r="F88" s="70"/>
      <c r="G88" s="67"/>
      <c r="H88" s="31"/>
      <c r="I88" s="30"/>
    </row>
    <row r="89" spans="1:10" s="23" customFormat="1" ht="20.25">
      <c r="A89" s="123"/>
      <c r="B89" s="71"/>
      <c r="C89" s="35"/>
      <c r="D89" s="36" t="s">
        <v>414</v>
      </c>
      <c r="E89" s="66"/>
      <c r="F89" s="70"/>
      <c r="G89" s="67"/>
      <c r="H89" s="31"/>
      <c r="I89" s="30"/>
    </row>
    <row r="90" spans="1:10" s="23" customFormat="1" ht="21">
      <c r="A90" s="123"/>
      <c r="B90" s="71"/>
      <c r="C90" s="35"/>
      <c r="D90" s="94"/>
      <c r="E90" s="114" t="s">
        <v>421</v>
      </c>
      <c r="F90" s="70">
        <v>0.35</v>
      </c>
      <c r="G90" s="67"/>
      <c r="H90" s="31"/>
      <c r="I90" s="30"/>
    </row>
    <row r="91" spans="1:10" s="23" customFormat="1" ht="21">
      <c r="A91" s="123"/>
      <c r="B91" s="71"/>
      <c r="C91" s="35"/>
      <c r="D91" s="94"/>
      <c r="E91" s="114" t="s">
        <v>416</v>
      </c>
      <c r="F91" s="70">
        <f>F90*F66</f>
        <v>4.3665230151145034</v>
      </c>
      <c r="G91" s="97" t="s">
        <v>86</v>
      </c>
      <c r="H91" s="31"/>
      <c r="I91" s="30"/>
    </row>
    <row r="92" spans="1:10" s="23" customFormat="1" ht="21">
      <c r="A92" s="123"/>
      <c r="B92" s="71"/>
      <c r="C92" s="35"/>
      <c r="D92" s="94"/>
      <c r="E92" s="114" t="s">
        <v>417</v>
      </c>
      <c r="F92" s="90">
        <f>SQRT(F67^2+(4*F91)/(F68*F69*F70))</f>
        <v>3.7376322551699502E-2</v>
      </c>
      <c r="G92" s="97" t="s">
        <v>51</v>
      </c>
      <c r="H92" s="31"/>
      <c r="I92" s="30"/>
    </row>
    <row r="93" spans="1:10" s="23" customFormat="1" ht="20.25">
      <c r="A93" s="123"/>
      <c r="B93" s="71"/>
      <c r="C93" s="35"/>
      <c r="D93" s="95" t="s">
        <v>425</v>
      </c>
      <c r="E93" s="96"/>
      <c r="F93" s="90"/>
      <c r="G93" s="97"/>
      <c r="H93" s="31"/>
      <c r="I93" s="30"/>
    </row>
    <row r="94" spans="1:10" s="23" customFormat="1" ht="21">
      <c r="A94" s="123"/>
      <c r="B94" s="71"/>
      <c r="C94" s="35"/>
      <c r="D94" s="35"/>
      <c r="E94" s="114" t="s">
        <v>433</v>
      </c>
      <c r="F94" s="70">
        <f>F71*F92</f>
        <v>28.056029166483814</v>
      </c>
      <c r="G94" s="97" t="s">
        <v>86</v>
      </c>
      <c r="H94" s="31" t="str">
        <f>[3]!EQS(F94,"Units= ; EqnPrefix=Valem  ; EqnNo= 0; Multiplication= 1; ShowWorking= 0; EqnStyle= 2; Eqp$H$303_2")</f>
        <v/>
      </c>
      <c r="I94" s="30" t="s">
        <v>671</v>
      </c>
    </row>
    <row r="95" spans="1:10" s="23" customFormat="1" ht="20.25">
      <c r="A95" s="123"/>
      <c r="B95" s="71"/>
      <c r="C95" s="35"/>
      <c r="D95" s="95" t="s">
        <v>430</v>
      </c>
      <c r="F95" s="70"/>
      <c r="G95" s="97"/>
      <c r="H95" s="31"/>
      <c r="I95" s="30"/>
    </row>
    <row r="96" spans="1:10" s="23" customFormat="1" ht="21">
      <c r="A96" s="123"/>
      <c r="B96" s="71"/>
      <c r="C96" s="35"/>
      <c r="D96" s="35"/>
      <c r="E96" s="114" t="s">
        <v>434</v>
      </c>
      <c r="F96" s="70">
        <f>F94*F72</f>
        <v>84.168087499451445</v>
      </c>
      <c r="G96" s="97" t="s">
        <v>86</v>
      </c>
      <c r="H96" s="31" t="str">
        <f>[3]!EQS(F96,"Units= ; EqnPrefix=Valem  ; EqnNo= 0; Multiplication= 1; ShowWorking= 0; EqnStyle= 2; Eqp$H$303_2")</f>
        <v/>
      </c>
      <c r="I96" s="98" t="s">
        <v>673</v>
      </c>
    </row>
    <row r="97" spans="1:10" s="23" customFormat="1" ht="21">
      <c r="A97" s="123"/>
      <c r="B97" s="71"/>
      <c r="C97" s="35"/>
      <c r="D97" s="35"/>
      <c r="E97" s="114" t="s">
        <v>435</v>
      </c>
      <c r="F97" s="117">
        <f>COS(RADIANS(41))^2</f>
        <v>0.56958655048003271</v>
      </c>
      <c r="G97" s="97"/>
      <c r="H97" s="31"/>
      <c r="I97" s="95"/>
      <c r="J97" s="95" t="s">
        <v>428</v>
      </c>
    </row>
    <row r="98" spans="1:10" s="23" customFormat="1" ht="21">
      <c r="A98" s="123"/>
      <c r="B98" s="71"/>
      <c r="C98" s="35"/>
      <c r="D98" s="35"/>
      <c r="E98" s="102" t="s">
        <v>512</v>
      </c>
      <c r="F98" s="46">
        <f>F96*F97</f>
        <v>47.941010619314113</v>
      </c>
      <c r="G98" s="103" t="s">
        <v>86</v>
      </c>
      <c r="H98" s="31"/>
      <c r="I98" s="95"/>
      <c r="J98" s="95" t="s">
        <v>431</v>
      </c>
    </row>
    <row r="99" spans="1:10" s="23" customFormat="1" ht="21">
      <c r="A99" s="123"/>
      <c r="B99" s="71"/>
      <c r="C99" s="35"/>
      <c r="D99" s="35"/>
      <c r="E99" s="114" t="s">
        <v>436</v>
      </c>
      <c r="F99" s="117">
        <f>COS(RADIANS(49))^2</f>
        <v>0.43041344951996724</v>
      </c>
      <c r="G99" s="97"/>
      <c r="H99" s="31"/>
      <c r="I99" s="95"/>
      <c r="J99" s="95" t="s">
        <v>429</v>
      </c>
    </row>
    <row r="100" spans="1:10" s="23" customFormat="1" ht="21">
      <c r="A100" s="123"/>
      <c r="B100" s="71"/>
      <c r="C100" s="35"/>
      <c r="D100" s="35"/>
      <c r="E100" s="102" t="s">
        <v>513</v>
      </c>
      <c r="F100" s="46">
        <f>F99*F96</f>
        <v>36.227076880137332</v>
      </c>
      <c r="G100" s="103" t="s">
        <v>86</v>
      </c>
      <c r="H100" s="31"/>
      <c r="I100" s="95"/>
      <c r="J100" s="95" t="s">
        <v>432</v>
      </c>
    </row>
    <row r="102" spans="1:10" s="23" customFormat="1" ht="20.25">
      <c r="A102" s="123"/>
      <c r="B102" s="71" t="s">
        <v>586</v>
      </c>
      <c r="C102" s="35"/>
      <c r="D102" s="35"/>
      <c r="E102" s="66"/>
      <c r="F102" s="70"/>
      <c r="G102" s="67"/>
      <c r="H102" s="31"/>
      <c r="I102" s="30"/>
    </row>
    <row r="103" spans="1:10" s="23" customFormat="1" ht="20.25">
      <c r="A103" s="123"/>
      <c r="B103" s="71"/>
      <c r="C103" s="36" t="s">
        <v>412</v>
      </c>
      <c r="D103" s="35"/>
      <c r="E103" s="66"/>
      <c r="F103" s="70"/>
      <c r="G103" s="67"/>
      <c r="H103" s="31"/>
      <c r="I103" s="30"/>
    </row>
    <row r="104" spans="1:10" s="23" customFormat="1" ht="20.25">
      <c r="A104" s="123"/>
      <c r="B104" s="71"/>
      <c r="C104" s="94"/>
      <c r="D104" s="94" t="s">
        <v>419</v>
      </c>
      <c r="E104" s="66"/>
      <c r="F104" s="70"/>
      <c r="G104" s="67"/>
      <c r="H104" s="31"/>
      <c r="I104" s="30"/>
    </row>
    <row r="105" spans="1:10" s="23" customFormat="1" ht="21">
      <c r="A105" s="123"/>
      <c r="B105" s="71"/>
      <c r="C105" s="94"/>
      <c r="D105" s="35"/>
      <c r="E105" s="114" t="s">
        <v>420</v>
      </c>
      <c r="F105" s="117">
        <f>Jäitekoormus!F134</f>
        <v>12.142202324713148</v>
      </c>
      <c r="G105" s="97" t="s">
        <v>86</v>
      </c>
      <c r="H105" s="31"/>
      <c r="J105" s="95" t="s">
        <v>423</v>
      </c>
    </row>
    <row r="106" spans="1:10" s="23" customFormat="1" ht="20.25">
      <c r="A106" s="123"/>
      <c r="B106" s="71"/>
      <c r="C106" s="94"/>
      <c r="D106" s="35"/>
      <c r="E106" s="114" t="s">
        <v>581</v>
      </c>
      <c r="F106" s="118">
        <f>Jäitekoormus!F129/1000</f>
        <v>1.6E-2</v>
      </c>
      <c r="G106" s="97" t="s">
        <v>51</v>
      </c>
      <c r="H106" s="31"/>
      <c r="J106" s="95" t="s">
        <v>408</v>
      </c>
    </row>
    <row r="107" spans="1:10" s="23" customFormat="1" ht="20.25">
      <c r="A107" s="123"/>
      <c r="B107" s="71"/>
      <c r="C107" s="94"/>
      <c r="D107" s="35"/>
      <c r="E107" s="114" t="s">
        <v>582</v>
      </c>
      <c r="F107" s="70">
        <v>9.81</v>
      </c>
      <c r="G107" s="97" t="s">
        <v>372</v>
      </c>
      <c r="H107" s="31"/>
      <c r="J107" s="95" t="s">
        <v>373</v>
      </c>
    </row>
    <row r="108" spans="1:10" s="23" customFormat="1" ht="20.25">
      <c r="A108" s="123"/>
      <c r="B108" s="71"/>
      <c r="C108" s="94"/>
      <c r="D108" s="35"/>
      <c r="E108" s="114" t="s">
        <v>583</v>
      </c>
      <c r="F108" s="23">
        <v>3.1415999999999999</v>
      </c>
      <c r="G108" s="58"/>
    </row>
    <row r="109" spans="1:10" s="23" customFormat="1" ht="21">
      <c r="A109" s="123"/>
      <c r="B109" s="71"/>
      <c r="C109" s="94"/>
      <c r="D109" s="35"/>
      <c r="E109" s="114" t="s">
        <v>409</v>
      </c>
      <c r="F109" s="70">
        <v>900</v>
      </c>
      <c r="G109" s="97" t="s">
        <v>369</v>
      </c>
      <c r="H109" s="31"/>
      <c r="I109" s="30"/>
      <c r="J109" s="95" t="s">
        <v>370</v>
      </c>
    </row>
    <row r="110" spans="1:10" s="23" customFormat="1" ht="20.25">
      <c r="A110" s="123"/>
      <c r="B110" s="71"/>
      <c r="C110" s="94"/>
      <c r="D110" s="35"/>
      <c r="E110" s="96" t="s">
        <v>427</v>
      </c>
      <c r="F110" s="117">
        <f>'TUULEKOORMUS 1'!F390*'TUULEKOORMUS 1'!F393*'TUULEKOORMUS 1'!F398*1.2</f>
        <v>772.83675827785851</v>
      </c>
      <c r="G110" s="97" t="s">
        <v>76</v>
      </c>
      <c r="H110" s="31"/>
      <c r="I110" s="30"/>
      <c r="J110" s="95" t="s">
        <v>426</v>
      </c>
    </row>
    <row r="111" spans="1:10" s="23" customFormat="1" ht="20.25">
      <c r="A111" s="123"/>
      <c r="B111" s="71"/>
      <c r="C111" s="94"/>
      <c r="D111" s="35"/>
      <c r="E111" s="114" t="s">
        <v>481</v>
      </c>
      <c r="F111" s="119">
        <v>1</v>
      </c>
      <c r="G111" s="97"/>
      <c r="H111" s="31"/>
      <c r="I111" s="30"/>
      <c r="J111" s="120" t="s">
        <v>585</v>
      </c>
    </row>
    <row r="112" spans="1:10" s="23" customFormat="1" ht="20.25">
      <c r="A112" s="123"/>
      <c r="B112" s="71"/>
      <c r="C112" s="94"/>
      <c r="D112" s="35"/>
      <c r="E112" s="66"/>
      <c r="G112" s="67"/>
      <c r="H112" s="31"/>
      <c r="I112" s="30"/>
    </row>
    <row r="113" spans="1:10" s="23" customFormat="1" ht="20.25">
      <c r="A113" s="123"/>
      <c r="B113" s="71"/>
      <c r="C113" s="35"/>
      <c r="D113" s="36" t="s">
        <v>413</v>
      </c>
      <c r="E113" s="66"/>
      <c r="F113" s="70"/>
      <c r="G113" s="67"/>
      <c r="H113" s="31"/>
      <c r="I113" s="30"/>
    </row>
    <row r="114" spans="1:10" s="23" customFormat="1" ht="21">
      <c r="A114" s="123"/>
      <c r="B114" s="71"/>
      <c r="C114" s="35"/>
      <c r="D114" s="94"/>
      <c r="E114" s="114" t="s">
        <v>422</v>
      </c>
      <c r="F114" s="70">
        <f>1.5</f>
        <v>1.5</v>
      </c>
      <c r="G114" s="67"/>
      <c r="H114" s="31"/>
      <c r="I114" s="30"/>
    </row>
    <row r="115" spans="1:10" s="23" customFormat="1" ht="21">
      <c r="A115" s="123"/>
      <c r="B115" s="71"/>
      <c r="C115" s="35"/>
      <c r="D115" s="35"/>
      <c r="E115" s="114" t="s">
        <v>415</v>
      </c>
      <c r="F115" s="70">
        <f>F114*F105</f>
        <v>18.213303487069723</v>
      </c>
      <c r="G115" s="97" t="s">
        <v>86</v>
      </c>
      <c r="H115" s="31"/>
      <c r="I115" s="30"/>
    </row>
    <row r="116" spans="1:10" s="23" customFormat="1" ht="20.25">
      <c r="A116" s="123"/>
      <c r="B116" s="71"/>
      <c r="C116" s="35"/>
      <c r="D116" s="95" t="s">
        <v>424</v>
      </c>
      <c r="E116" s="96"/>
      <c r="F116" s="70"/>
      <c r="G116" s="97"/>
      <c r="H116" s="31"/>
      <c r="I116" s="30"/>
    </row>
    <row r="117" spans="1:10" s="23" customFormat="1" ht="21">
      <c r="A117" s="123"/>
      <c r="B117" s="71"/>
      <c r="C117" s="35"/>
      <c r="D117" s="35"/>
      <c r="E117" s="114" t="s">
        <v>418</v>
      </c>
      <c r="F117" s="90">
        <f>SQRT(F106^2+((4*F115)/(F107*F108*F109)))</f>
        <v>5.3689420354242401E-2</v>
      </c>
      <c r="G117" s="97" t="s">
        <v>51</v>
      </c>
      <c r="H117" s="31" t="str">
        <f>[3]!EQS(F117,"Units= ; EqnPrefix=Valem  ; EqnNo= 0; Multiplication= 1; ShowWorking= 0; EqnStyle= 2; Eqp$H$303_2")</f>
        <v/>
      </c>
      <c r="I117" s="30" t="s">
        <v>669</v>
      </c>
    </row>
    <row r="118" spans="1:10" s="23" customFormat="1" ht="20.25">
      <c r="A118" s="123"/>
      <c r="B118" s="71"/>
      <c r="C118" s="35"/>
      <c r="D118" s="95" t="s">
        <v>425</v>
      </c>
      <c r="E118" s="96"/>
      <c r="F118" s="90"/>
      <c r="G118" s="97"/>
      <c r="H118" s="31"/>
      <c r="I118" s="30"/>
    </row>
    <row r="119" spans="1:10" s="23" customFormat="1" ht="21">
      <c r="A119" s="123"/>
      <c r="B119" s="71"/>
      <c r="C119" s="35"/>
      <c r="D119" s="35"/>
      <c r="E119" s="114" t="s">
        <v>433</v>
      </c>
      <c r="F119" s="70">
        <f>F110*F117</f>
        <v>41.493157580389969</v>
      </c>
      <c r="G119" s="97" t="s">
        <v>86</v>
      </c>
      <c r="H119" s="31" t="str">
        <f>[3]!EQS(F119,"Units= ; EqnPrefix=Valem  ; EqnNo= 0; Multiplication= 1; ShowWorking= 0; EqnStyle= 2; Eqp$H$303_2")</f>
        <v/>
      </c>
      <c r="I119" s="30" t="s">
        <v>670</v>
      </c>
    </row>
    <row r="120" spans="1:10" s="23" customFormat="1" ht="20.25">
      <c r="A120" s="123"/>
      <c r="B120" s="71"/>
      <c r="C120" s="35"/>
      <c r="D120" s="95" t="s">
        <v>430</v>
      </c>
      <c r="F120" s="70"/>
      <c r="G120" s="97"/>
      <c r="H120" s="31"/>
      <c r="I120" s="30"/>
    </row>
    <row r="121" spans="1:10" s="23" customFormat="1" ht="21">
      <c r="A121" s="123"/>
      <c r="B121" s="71"/>
      <c r="C121" s="35"/>
      <c r="D121" s="35"/>
      <c r="E121" s="114" t="s">
        <v>434</v>
      </c>
      <c r="F121" s="70">
        <f>F119*F111</f>
        <v>41.493157580389969</v>
      </c>
      <c r="G121" s="97" t="s">
        <v>86</v>
      </c>
      <c r="H121" s="31" t="str">
        <f>[3]!EQS(F121,"Units= ; EqnPrefix=Valem  ; EqnNo= 0; Multiplication= 1; ShowWorking= 0; EqnStyle= 2; Eqp$H$303_2")</f>
        <v/>
      </c>
      <c r="I121" s="98" t="s">
        <v>673</v>
      </c>
    </row>
    <row r="122" spans="1:10" s="23" customFormat="1" ht="21">
      <c r="A122" s="123"/>
      <c r="B122" s="71"/>
      <c r="C122" s="35"/>
      <c r="D122" s="35"/>
      <c r="E122" s="114" t="s">
        <v>435</v>
      </c>
      <c r="F122" s="117">
        <f>COS(RADIANS(41))^2</f>
        <v>0.56958655048003271</v>
      </c>
      <c r="G122" s="67"/>
      <c r="H122" s="31"/>
      <c r="I122" s="95"/>
      <c r="J122" s="95" t="s">
        <v>428</v>
      </c>
    </row>
    <row r="123" spans="1:10" s="23" customFormat="1" ht="21">
      <c r="A123" s="123"/>
      <c r="B123" s="71"/>
      <c r="C123" s="36"/>
      <c r="D123" s="36"/>
      <c r="E123" s="102" t="s">
        <v>512</v>
      </c>
      <c r="F123" s="46">
        <f>F121*F122</f>
        <v>23.633944494738742</v>
      </c>
      <c r="G123" s="67"/>
      <c r="H123" s="31"/>
      <c r="I123" s="95"/>
      <c r="J123" s="95" t="s">
        <v>431</v>
      </c>
    </row>
    <row r="124" spans="1:10" s="23" customFormat="1" ht="21">
      <c r="A124" s="123"/>
      <c r="B124" s="71"/>
      <c r="C124" s="35"/>
      <c r="D124" s="35"/>
      <c r="E124" s="114" t="s">
        <v>436</v>
      </c>
      <c r="F124" s="117">
        <f>COS(RADIANS(49))^2</f>
        <v>0.43041344951996724</v>
      </c>
      <c r="G124" s="67"/>
      <c r="H124" s="31"/>
      <c r="I124" s="95"/>
      <c r="J124" s="95" t="s">
        <v>429</v>
      </c>
    </row>
    <row r="125" spans="1:10" s="23" customFormat="1" ht="21">
      <c r="A125" s="123"/>
      <c r="B125" s="71"/>
      <c r="C125" s="35"/>
      <c r="D125" s="35"/>
      <c r="E125" s="102" t="s">
        <v>513</v>
      </c>
      <c r="F125" s="46">
        <f>F124*F121</f>
        <v>17.859213085651223</v>
      </c>
      <c r="G125" s="67"/>
      <c r="H125" s="31"/>
      <c r="I125" s="95"/>
      <c r="J125" s="95" t="s">
        <v>432</v>
      </c>
    </row>
    <row r="126" spans="1:10" s="23" customFormat="1" ht="20.25">
      <c r="A126" s="123"/>
      <c r="B126" s="71"/>
      <c r="C126" s="35"/>
      <c r="D126" s="35"/>
      <c r="E126" s="96"/>
      <c r="F126" s="70"/>
      <c r="G126" s="67"/>
      <c r="H126" s="31"/>
      <c r="I126" s="95"/>
    </row>
    <row r="127" spans="1:10" s="23" customFormat="1" ht="20.25">
      <c r="A127" s="123"/>
      <c r="B127" s="71"/>
      <c r="C127" s="35"/>
      <c r="D127" s="35"/>
      <c r="E127" s="66"/>
      <c r="F127" s="70"/>
      <c r="G127" s="67"/>
      <c r="H127" s="31"/>
      <c r="I127" s="30"/>
    </row>
    <row r="128" spans="1:10" s="23" customFormat="1" ht="20.25">
      <c r="A128" s="123"/>
      <c r="B128" s="71"/>
      <c r="C128" s="35"/>
      <c r="D128" s="36" t="s">
        <v>414</v>
      </c>
      <c r="E128" s="66"/>
      <c r="F128" s="70"/>
      <c r="G128" s="67"/>
      <c r="H128" s="31"/>
      <c r="I128" s="30"/>
    </row>
    <row r="129" spans="1:10" s="23" customFormat="1" ht="21">
      <c r="A129" s="123"/>
      <c r="B129" s="71"/>
      <c r="C129" s="35"/>
      <c r="D129" s="94"/>
      <c r="E129" s="114" t="s">
        <v>421</v>
      </c>
      <c r="F129" s="70">
        <v>0.35</v>
      </c>
      <c r="G129" s="67"/>
      <c r="H129" s="31"/>
      <c r="I129" s="30"/>
    </row>
    <row r="130" spans="1:10" s="23" customFormat="1" ht="21">
      <c r="A130" s="123"/>
      <c r="B130" s="71"/>
      <c r="C130" s="35"/>
      <c r="D130" s="94"/>
      <c r="E130" s="114" t="s">
        <v>416</v>
      </c>
      <c r="F130" s="70">
        <f>F129*F105</f>
        <v>4.2497708136496017</v>
      </c>
      <c r="G130" s="97" t="s">
        <v>86</v>
      </c>
      <c r="H130" s="31"/>
      <c r="I130" s="30"/>
    </row>
    <row r="131" spans="1:10" s="23" customFormat="1" ht="21">
      <c r="A131" s="123"/>
      <c r="B131" s="71"/>
      <c r="C131" s="35"/>
      <c r="D131" s="94"/>
      <c r="E131" s="114" t="s">
        <v>417</v>
      </c>
      <c r="F131" s="90">
        <f>SQRT(F106^2+(4*F130)/(F107*F108*F109))</f>
        <v>2.9476474803828315E-2</v>
      </c>
      <c r="G131" s="97" t="s">
        <v>51</v>
      </c>
      <c r="H131" s="31"/>
      <c r="I131" s="30"/>
    </row>
    <row r="132" spans="1:10" s="23" customFormat="1" ht="20.25">
      <c r="A132" s="123"/>
      <c r="B132" s="71"/>
      <c r="C132" s="35"/>
      <c r="D132" s="95" t="s">
        <v>425</v>
      </c>
      <c r="E132" s="96"/>
      <c r="F132" s="90"/>
      <c r="G132" s="97"/>
      <c r="H132" s="31"/>
      <c r="I132" s="30"/>
    </row>
    <row r="133" spans="1:10" s="23" customFormat="1" ht="21">
      <c r="A133" s="123"/>
      <c r="B133" s="71"/>
      <c r="C133" s="35"/>
      <c r="D133" s="35"/>
      <c r="E133" s="114" t="s">
        <v>433</v>
      </c>
      <c r="F133" s="70">
        <f>F110*F131</f>
        <v>22.78050323284965</v>
      </c>
      <c r="G133" s="97" t="s">
        <v>86</v>
      </c>
      <c r="H133" s="31" t="str">
        <f>[3]!EQS(F133,"Units= ; EqnPrefix=Valem  ; EqnNo= 0; Multiplication= 1; ShowWorking= 0; EqnStyle= 2; Eqp$H$303_2")</f>
        <v/>
      </c>
      <c r="I133" s="30" t="s">
        <v>671</v>
      </c>
    </row>
    <row r="134" spans="1:10" s="23" customFormat="1" ht="20.25">
      <c r="A134" s="123"/>
      <c r="B134" s="71"/>
      <c r="C134" s="35"/>
      <c r="D134" s="95" t="s">
        <v>430</v>
      </c>
      <c r="F134" s="70"/>
      <c r="G134" s="97"/>
      <c r="H134" s="31"/>
      <c r="I134" s="30"/>
    </row>
    <row r="135" spans="1:10" s="23" customFormat="1" ht="21">
      <c r="A135" s="123"/>
      <c r="B135" s="71"/>
      <c r="C135" s="35"/>
      <c r="D135" s="35"/>
      <c r="E135" s="114" t="s">
        <v>434</v>
      </c>
      <c r="F135" s="70">
        <f>F133*F111</f>
        <v>22.78050323284965</v>
      </c>
      <c r="G135" s="97" t="s">
        <v>86</v>
      </c>
      <c r="H135" s="31" t="str">
        <f>[3]!EQS(F135,"Units= ; EqnPrefix=Valem  ; EqnNo= 0; Multiplication= 1; ShowWorking= 0; EqnStyle= 2; Eqp$H$303_2")</f>
        <v/>
      </c>
      <c r="I135" s="98" t="s">
        <v>673</v>
      </c>
    </row>
    <row r="136" spans="1:10" s="23" customFormat="1" ht="21">
      <c r="A136" s="123"/>
      <c r="B136" s="71"/>
      <c r="C136" s="35"/>
      <c r="D136" s="35"/>
      <c r="E136" s="114" t="s">
        <v>435</v>
      </c>
      <c r="F136" s="117">
        <f>COS(RADIANS(41))^2</f>
        <v>0.56958655048003271</v>
      </c>
      <c r="G136" s="97"/>
      <c r="H136" s="31"/>
      <c r="I136" s="95"/>
      <c r="J136" s="95" t="s">
        <v>428</v>
      </c>
    </row>
    <row r="137" spans="1:10" s="23" customFormat="1" ht="21">
      <c r="A137" s="123"/>
      <c r="B137" s="71"/>
      <c r="C137" s="35"/>
      <c r="D137" s="35"/>
      <c r="E137" s="102" t="s">
        <v>512</v>
      </c>
      <c r="F137" s="46">
        <f>F135*F136</f>
        <v>12.975468254598065</v>
      </c>
      <c r="G137" s="103" t="s">
        <v>86</v>
      </c>
      <c r="H137" s="31"/>
      <c r="I137" s="95"/>
      <c r="J137" s="95" t="s">
        <v>431</v>
      </c>
    </row>
    <row r="138" spans="1:10" s="23" customFormat="1" ht="21">
      <c r="A138" s="123"/>
      <c r="B138" s="71"/>
      <c r="C138" s="35"/>
      <c r="D138" s="35"/>
      <c r="E138" s="114" t="s">
        <v>436</v>
      </c>
      <c r="F138" s="117">
        <f>COS(RADIANS(49))^2</f>
        <v>0.43041344951996724</v>
      </c>
      <c r="G138" s="97"/>
      <c r="H138" s="31"/>
      <c r="I138" s="95"/>
      <c r="J138" s="95" t="s">
        <v>429</v>
      </c>
    </row>
    <row r="139" spans="1:10" s="23" customFormat="1" ht="21">
      <c r="A139" s="123"/>
      <c r="B139" s="71"/>
      <c r="C139" s="35"/>
      <c r="D139" s="35"/>
      <c r="E139" s="102" t="s">
        <v>513</v>
      </c>
      <c r="F139" s="46">
        <f>F138*F135</f>
        <v>9.8050349782515838</v>
      </c>
      <c r="G139" s="103" t="s">
        <v>86</v>
      </c>
      <c r="H139" s="31"/>
      <c r="I139" s="95"/>
      <c r="J139" s="95" t="s">
        <v>432</v>
      </c>
    </row>
    <row r="141" spans="1:10" s="23" customFormat="1" ht="20.25">
      <c r="A141" s="123"/>
      <c r="B141" s="71"/>
      <c r="C141" s="35"/>
      <c r="D141" s="35"/>
      <c r="E141" s="102"/>
      <c r="F141" s="46"/>
      <c r="G141" s="103"/>
      <c r="H141" s="31"/>
      <c r="I141" s="95"/>
      <c r="J141" s="95"/>
    </row>
    <row r="142" spans="1:10" s="23" customFormat="1" ht="20.25">
      <c r="A142" s="123"/>
      <c r="B142" s="71"/>
      <c r="C142" s="35"/>
      <c r="D142" s="35"/>
      <c r="E142" s="102"/>
      <c r="F142" s="46"/>
      <c r="G142" s="103"/>
      <c r="H142" s="31"/>
      <c r="I142" s="95"/>
      <c r="J142" s="95"/>
    </row>
    <row r="143" spans="1:10" ht="16.5" customHeight="1">
      <c r="C143" t="s">
        <v>406</v>
      </c>
    </row>
    <row r="144" spans="1:10" s="23" customFormat="1" ht="19.5" outlineLevel="1">
      <c r="A144" s="71"/>
      <c r="B144" s="71"/>
      <c r="C144" s="35"/>
      <c r="D144" s="35"/>
      <c r="E144" s="24" t="s">
        <v>42</v>
      </c>
      <c r="F144" s="23">
        <v>21</v>
      </c>
      <c r="G144" s="58" t="s">
        <v>43</v>
      </c>
      <c r="I144" s="23" t="s">
        <v>44</v>
      </c>
    </row>
    <row r="145" spans="1:12" s="23" customFormat="1" ht="19.5" outlineLevel="1">
      <c r="A145" s="71"/>
      <c r="B145" s="71"/>
      <c r="C145" s="35"/>
      <c r="D145" s="35"/>
      <c r="E145" s="24" t="s">
        <v>45</v>
      </c>
      <c r="F145" s="23">
        <f>F144</f>
        <v>21</v>
      </c>
      <c r="G145" s="58" t="s">
        <v>43</v>
      </c>
      <c r="I145" s="23" t="s">
        <v>46</v>
      </c>
    </row>
    <row r="146" spans="1:12" s="23" customFormat="1" ht="18" outlineLevel="1">
      <c r="A146" s="71"/>
      <c r="B146" s="71"/>
      <c r="C146" s="35"/>
      <c r="D146" s="35"/>
      <c r="E146" s="25" t="s">
        <v>47</v>
      </c>
      <c r="F146" s="23">
        <v>1.2250000000000001</v>
      </c>
      <c r="G146" s="58" t="s">
        <v>48</v>
      </c>
      <c r="I146" s="23" t="s">
        <v>49</v>
      </c>
    </row>
    <row r="147" spans="1:12" s="23" customFormat="1" ht="19.5" outlineLevel="1">
      <c r="A147" s="71"/>
      <c r="B147" s="71"/>
      <c r="C147" s="35"/>
      <c r="D147" s="35"/>
      <c r="E147" s="25" t="s">
        <v>58</v>
      </c>
      <c r="F147" s="23">
        <v>0.19</v>
      </c>
      <c r="G147" s="58"/>
      <c r="I147" s="32" t="s">
        <v>59</v>
      </c>
    </row>
    <row r="148" spans="1:12" s="23" customFormat="1" ht="19.5" outlineLevel="1">
      <c r="A148" s="71"/>
      <c r="B148" s="71"/>
      <c r="C148" s="35"/>
      <c r="D148" s="35"/>
      <c r="E148" s="25" t="s">
        <v>60</v>
      </c>
      <c r="F148" s="23">
        <v>0.05</v>
      </c>
      <c r="G148" s="59" t="s">
        <v>51</v>
      </c>
      <c r="I148" s="32" t="s">
        <v>61</v>
      </c>
    </row>
    <row r="149" spans="1:12" s="23" customFormat="1" ht="19.5" outlineLevel="1">
      <c r="A149" s="71"/>
      <c r="B149" s="71"/>
      <c r="C149" s="35"/>
      <c r="D149" s="35"/>
      <c r="E149" s="25" t="s">
        <v>62</v>
      </c>
      <c r="F149" s="23">
        <v>10</v>
      </c>
      <c r="G149" s="59" t="s">
        <v>51</v>
      </c>
      <c r="I149" s="34" t="s">
        <v>63</v>
      </c>
    </row>
    <row r="150" spans="1:12" s="23" customFormat="1" ht="19.5" outlineLevel="1">
      <c r="A150" s="71"/>
      <c r="B150" s="71"/>
      <c r="C150" s="35"/>
      <c r="D150" s="35"/>
      <c r="E150" s="131" t="s">
        <v>502</v>
      </c>
      <c r="F150" s="23">
        <v>1.1499999999999999</v>
      </c>
      <c r="G150" s="58"/>
      <c r="I150" s="109" t="s">
        <v>503</v>
      </c>
    </row>
    <row r="151" spans="1:12" s="23" customFormat="1" ht="18" outlineLevel="1">
      <c r="A151" s="71"/>
      <c r="B151" s="71"/>
      <c r="C151" s="35"/>
      <c r="D151" s="35"/>
      <c r="E151" s="24"/>
      <c r="G151" s="58"/>
    </row>
    <row r="152" spans="1:12" s="23" customFormat="1" ht="18">
      <c r="A152" s="71"/>
      <c r="B152" s="71"/>
      <c r="C152" s="35"/>
      <c r="D152" s="35"/>
      <c r="E152" s="24"/>
      <c r="G152" s="58"/>
    </row>
    <row r="153" spans="1:12" s="23" customFormat="1" ht="18">
      <c r="A153" s="71"/>
      <c r="B153" s="72" t="s">
        <v>53</v>
      </c>
      <c r="C153" s="36"/>
      <c r="D153" s="36"/>
      <c r="E153" s="29"/>
      <c r="F153" s="29"/>
      <c r="G153" s="60"/>
      <c r="H153" s="29"/>
      <c r="I153" s="29"/>
      <c r="J153" s="29"/>
      <c r="K153" s="29"/>
      <c r="L153" s="29"/>
    </row>
    <row r="154" spans="1:12" s="23" customFormat="1" ht="18" outlineLevel="1">
      <c r="A154" s="71"/>
      <c r="B154" s="72"/>
      <c r="C154" s="35" t="s">
        <v>100</v>
      </c>
      <c r="D154" s="36"/>
      <c r="E154" s="29"/>
      <c r="F154" s="29"/>
      <c r="G154" s="60"/>
      <c r="H154" s="29"/>
      <c r="I154" s="29"/>
      <c r="J154" s="29"/>
      <c r="K154" s="29"/>
      <c r="L154" s="29"/>
    </row>
    <row r="155" spans="1:12" s="23" customFormat="1" ht="18" outlineLevel="1">
      <c r="A155" s="71"/>
      <c r="B155" s="71"/>
      <c r="C155" s="38" t="s">
        <v>101</v>
      </c>
      <c r="D155" s="35"/>
      <c r="E155" s="24"/>
      <c r="G155" s="58"/>
      <c r="K155" s="38"/>
    </row>
    <row r="156" spans="1:12" s="23" customFormat="1" ht="18" outlineLevel="1">
      <c r="A156" s="71"/>
      <c r="B156" s="71"/>
      <c r="C156" s="35"/>
      <c r="D156" s="35"/>
      <c r="E156" s="131" t="s">
        <v>651</v>
      </c>
      <c r="F156" s="33">
        <v>36</v>
      </c>
      <c r="G156" s="59" t="s">
        <v>51</v>
      </c>
      <c r="I156" s="32" t="s">
        <v>55</v>
      </c>
    </row>
    <row r="157" spans="1:12" s="23" customFormat="1" ht="18" outlineLevel="1">
      <c r="A157" s="71"/>
      <c r="B157" s="71"/>
      <c r="C157" s="35"/>
      <c r="D157" s="35"/>
      <c r="E157" s="131" t="s">
        <v>653</v>
      </c>
      <c r="F157" s="33">
        <f>0.324+0.02</f>
        <v>0.34400000000000003</v>
      </c>
      <c r="G157" s="59" t="s">
        <v>51</v>
      </c>
      <c r="I157" s="129" t="s">
        <v>610</v>
      </c>
    </row>
    <row r="158" spans="1:12" s="23" customFormat="1" ht="18" outlineLevel="1">
      <c r="A158" s="71"/>
      <c r="B158" s="71"/>
      <c r="C158" s="38" t="s">
        <v>82</v>
      </c>
      <c r="D158" s="38"/>
      <c r="E158" s="28"/>
      <c r="F158" s="27"/>
      <c r="G158" s="59"/>
      <c r="I158" s="32"/>
    </row>
    <row r="159" spans="1:12" s="23" customFormat="1" ht="19.5" outlineLevel="1">
      <c r="A159" s="71"/>
      <c r="B159" s="71"/>
      <c r="C159" s="35"/>
      <c r="D159" s="35"/>
      <c r="E159" s="131" t="s">
        <v>97</v>
      </c>
      <c r="F159" s="45">
        <f>F157*F156</f>
        <v>12.384</v>
      </c>
      <c r="G159" s="61" t="s">
        <v>81</v>
      </c>
      <c r="H159" s="31" t="str">
        <f>[3]!EQS(F159,"Units= ; EqnPrefix=Valem  ; EqnNo= 0; Multiplication= 1; ShowWorking= 1; EqnStyle=2; Eqp$G$17_0")</f>
        <v/>
      </c>
      <c r="I159" s="30" t="s">
        <v>652</v>
      </c>
      <c r="L159" s="26"/>
    </row>
    <row r="160" spans="1:12" s="23" customFormat="1" ht="18" outlineLevel="1">
      <c r="A160" s="71"/>
      <c r="B160" s="71"/>
      <c r="C160" s="35" t="s">
        <v>65</v>
      </c>
      <c r="D160" s="35"/>
      <c r="F160" s="27"/>
      <c r="G160" s="59"/>
      <c r="I160" s="32"/>
    </row>
    <row r="161" spans="1:13" s="23" customFormat="1" ht="16.5" customHeight="1" outlineLevel="1">
      <c r="A161" s="71"/>
      <c r="B161" s="71"/>
      <c r="C161" s="35"/>
      <c r="D161" s="35"/>
      <c r="E161" s="131" t="s">
        <v>57</v>
      </c>
      <c r="F161" s="42">
        <f>F147*LN(F156/F148)*F144</f>
        <v>26.251212335920307</v>
      </c>
      <c r="G161" s="59" t="s">
        <v>43</v>
      </c>
      <c r="H161" s="31" t="str">
        <f>[3]!EQS(F161,"Units= ; EqnPrefix=Valem  ; EqnNo= 0; Multiplication= 1; ShowWorking= 0; EqnStyle= 2; Eqp$H$21_2")</f>
        <v/>
      </c>
      <c r="I161" s="30" t="s">
        <v>611</v>
      </c>
      <c r="J161" s="31"/>
    </row>
    <row r="162" spans="1:13" s="23" customFormat="1" ht="12" customHeight="1" outlineLevel="1">
      <c r="A162" s="71"/>
      <c r="B162" s="71"/>
      <c r="C162" s="35"/>
      <c r="D162" s="35"/>
      <c r="E162" s="28"/>
      <c r="F162" s="42"/>
      <c r="G162" s="59"/>
      <c r="H162" s="31" t="str">
        <f>[3]!EQS(F161,"Units= ; EqnPrefix=Valem  ; EqnNo= 0; Multiplication= 1; ShowWorking= 1; EqnStyle= 2; Eqp$H$21_$H$22_3")</f>
        <v/>
      </c>
      <c r="I162" s="40" t="s">
        <v>64</v>
      </c>
      <c r="J162" s="31"/>
    </row>
    <row r="163" spans="1:13" s="23" customFormat="1" ht="18" outlineLevel="1">
      <c r="A163" s="71"/>
      <c r="B163" s="71"/>
      <c r="C163" s="41" t="s">
        <v>77</v>
      </c>
      <c r="D163" s="41"/>
      <c r="F163" s="42"/>
      <c r="G163" s="59"/>
      <c r="H163" s="31"/>
      <c r="I163" s="40"/>
      <c r="J163" s="31"/>
    </row>
    <row r="164" spans="1:13" s="23" customFormat="1" ht="19.5" outlineLevel="1">
      <c r="A164" s="71"/>
      <c r="B164" s="71"/>
      <c r="C164" s="35"/>
      <c r="D164" s="35"/>
      <c r="E164" s="131" t="s">
        <v>75</v>
      </c>
      <c r="F164" s="42">
        <f>1/2*F146*F161^2</f>
        <v>422.08976632716445</v>
      </c>
      <c r="G164" s="61" t="s">
        <v>76</v>
      </c>
      <c r="H164" s="31" t="str">
        <f>[3]!EQS(F164,"Units= ; EqnPrefix=Valem  ; EqnNo= 0; Multiplication= 1; ShowWorking= 0; EqnStyle= 2; Eqp$G$21_0")</f>
        <v/>
      </c>
      <c r="I164" s="40" t="s">
        <v>616</v>
      </c>
      <c r="J164" s="31"/>
      <c r="M164" s="40"/>
    </row>
    <row r="165" spans="1:13" s="23" customFormat="1" ht="18" outlineLevel="1">
      <c r="A165" s="71"/>
      <c r="B165" s="71"/>
      <c r="C165" s="35"/>
      <c r="D165" s="35"/>
      <c r="E165" s="37"/>
      <c r="F165" s="42"/>
      <c r="G165" s="61"/>
      <c r="H165" s="31" t="str">
        <f>[3]!EQS(F164,"Units= ; EqnPrefix=Valem  ; EqnNo= 0; Multiplication= 1; ShowWorking= 1; EqnStyle= 2; Eqp$G$21_$G$25_1")</f>
        <v/>
      </c>
      <c r="I165" s="40" t="s">
        <v>617</v>
      </c>
      <c r="J165" s="31"/>
    </row>
    <row r="166" spans="1:13" s="23" customFormat="1" ht="18" outlineLevel="1">
      <c r="A166" s="71"/>
      <c r="B166" s="71"/>
      <c r="C166" s="35" t="s">
        <v>79</v>
      </c>
      <c r="D166" s="35"/>
      <c r="E166" s="37"/>
      <c r="F166" s="42"/>
      <c r="G166" s="61"/>
      <c r="I166" s="40"/>
      <c r="J166" s="31"/>
    </row>
    <row r="167" spans="1:13" s="23" customFormat="1" ht="19.5" outlineLevel="1">
      <c r="A167" s="71"/>
      <c r="B167" s="71"/>
      <c r="C167" s="35"/>
      <c r="D167" s="35"/>
      <c r="E167" s="131" t="s">
        <v>80</v>
      </c>
      <c r="F167" s="42">
        <f>(1+2.28/LN(F156/F148))^2</f>
        <v>1.8131807308313552</v>
      </c>
      <c r="G167" s="61"/>
      <c r="H167" s="31" t="str">
        <f>[3]!EQS(F167,"Units= ; EqnPrefix=Valem  ; EqnNo= 0; Multiplication= 1; ShowWorking= 0; EqnStyle= 2; Eqp$G$24_0")</f>
        <v/>
      </c>
      <c r="I167" s="40" t="s">
        <v>612</v>
      </c>
      <c r="J167" s="31"/>
    </row>
    <row r="168" spans="1:13" s="23" customFormat="1" ht="18" outlineLevel="1">
      <c r="A168" s="71"/>
      <c r="B168" s="71"/>
      <c r="C168" s="35"/>
      <c r="D168" s="35"/>
      <c r="E168" s="37"/>
      <c r="F168" s="42"/>
      <c r="G168" s="61"/>
      <c r="H168" s="31" t="str">
        <f>[3]!EQS(F167,"Units= ; EqnPrefix=Valem  ; EqnNo= 0; Multiplication= 1; ShowWorking= 1; EqnStyle= 2; Eqp$G$24_$G$28_1")</f>
        <v/>
      </c>
      <c r="I168" s="40" t="s">
        <v>613</v>
      </c>
      <c r="J168" s="31"/>
    </row>
    <row r="169" spans="1:13" s="23" customFormat="1" ht="18" outlineLevel="1">
      <c r="A169" s="71"/>
      <c r="B169" s="71"/>
      <c r="C169" s="23" t="s">
        <v>50</v>
      </c>
      <c r="E169" s="37"/>
      <c r="F169" s="42"/>
      <c r="G169" s="61"/>
      <c r="J169" s="31"/>
    </row>
    <row r="170" spans="1:13" s="23" customFormat="1" ht="19.5" outlineLevel="1">
      <c r="A170" s="71"/>
      <c r="B170" s="71"/>
      <c r="C170" s="35"/>
      <c r="D170" s="35"/>
      <c r="E170" s="28" t="s">
        <v>52</v>
      </c>
      <c r="F170" s="23">
        <v>1.1499999999999999</v>
      </c>
      <c r="G170" s="58"/>
      <c r="J170" s="31"/>
    </row>
    <row r="171" spans="1:13" s="23" customFormat="1" ht="18" outlineLevel="1">
      <c r="A171" s="71"/>
      <c r="B171" s="71"/>
      <c r="D171" s="130" t="s">
        <v>614</v>
      </c>
      <c r="E171" s="37"/>
      <c r="F171" s="44"/>
      <c r="G171" s="58"/>
      <c r="H171" s="31"/>
      <c r="I171" s="41"/>
      <c r="J171" s="31"/>
    </row>
    <row r="172" spans="1:13" s="23" customFormat="1" ht="19.5" outlineLevel="1">
      <c r="A172" s="71"/>
      <c r="B172" s="71"/>
      <c r="D172" s="35"/>
      <c r="E172" s="131" t="s">
        <v>74</v>
      </c>
      <c r="F172" s="42">
        <v>0.88</v>
      </c>
      <c r="G172" s="58"/>
      <c r="H172" s="31"/>
      <c r="I172" s="129" t="s">
        <v>615</v>
      </c>
      <c r="J172" s="31"/>
    </row>
    <row r="173" spans="1:13" s="23" customFormat="1" ht="18" outlineLevel="1">
      <c r="A173" s="71"/>
      <c r="B173" s="71"/>
      <c r="D173" s="35"/>
      <c r="E173" s="31"/>
      <c r="F173" s="31"/>
      <c r="G173" s="58"/>
      <c r="H173" s="31"/>
      <c r="I173" s="40"/>
      <c r="J173" s="31"/>
    </row>
    <row r="174" spans="1:13" s="23" customFormat="1" ht="18">
      <c r="A174" s="71"/>
      <c r="B174" s="71"/>
      <c r="C174" s="35" t="s">
        <v>89</v>
      </c>
      <c r="D174" s="35"/>
      <c r="G174" s="58"/>
    </row>
    <row r="175" spans="1:13" s="23" customFormat="1" ht="19.5">
      <c r="A175" s="71"/>
      <c r="B175" s="71"/>
      <c r="C175" s="35"/>
      <c r="D175" s="35"/>
      <c r="E175" s="131" t="s">
        <v>85</v>
      </c>
      <c r="F175" s="46">
        <f>F164*F167*F170*F172*F157</f>
        <v>266.43107238692852</v>
      </c>
      <c r="G175" s="61" t="s">
        <v>86</v>
      </c>
      <c r="H175" s="31" t="str">
        <f>[3]!EQS(F175,"Units= ; EqnPrefix=Valem  ; EqnNo= 0; Multiplication= 1; ShowWorking= 0; EqnStyle= 2; Eqp$G$39_0")</f>
        <v/>
      </c>
      <c r="I175" s="30" t="s">
        <v>633</v>
      </c>
    </row>
    <row r="176" spans="1:13" s="23" customFormat="1" ht="18">
      <c r="A176" s="71"/>
      <c r="B176" s="71"/>
      <c r="C176" s="35"/>
      <c r="D176" s="35"/>
      <c r="G176" s="58"/>
      <c r="H176" s="23" t="str">
        <f>[3]!EQS(F175,"Units= ; EqnPrefix=Valem  ; EqnNo= 0; Multiplication= 1; ShowWorking= 1; EqnStyle= 2; Eqp$G$39_$G$40_1")</f>
        <v/>
      </c>
      <c r="I176" s="30" t="s">
        <v>618</v>
      </c>
    </row>
    <row r="177" spans="1:12" s="23" customFormat="1" ht="18">
      <c r="A177" s="71"/>
      <c r="B177" s="71"/>
      <c r="C177" s="35" t="s">
        <v>87</v>
      </c>
      <c r="D177" s="35"/>
      <c r="G177" s="58"/>
    </row>
    <row r="178" spans="1:12" s="23" customFormat="1" ht="19.5">
      <c r="A178" s="71"/>
      <c r="B178" s="71"/>
      <c r="C178" s="35"/>
      <c r="D178" s="35"/>
      <c r="E178" s="131" t="s">
        <v>221</v>
      </c>
      <c r="F178" s="70">
        <f>COS(RADIANS(45))*F175</f>
        <v>188.39521800360109</v>
      </c>
      <c r="G178" s="84" t="s">
        <v>86</v>
      </c>
    </row>
    <row r="179" spans="1:12" s="23" customFormat="1" ht="19.5">
      <c r="A179" s="71"/>
      <c r="B179" s="71"/>
      <c r="C179" s="35"/>
      <c r="D179" s="35"/>
      <c r="E179" s="131" t="s">
        <v>222</v>
      </c>
      <c r="F179" s="70">
        <f>SIN(RADIANS(45))*F175</f>
        <v>188.39521800360106</v>
      </c>
      <c r="G179" s="84" t="s">
        <v>86</v>
      </c>
    </row>
    <row r="180" spans="1:12" s="23" customFormat="1" ht="18">
      <c r="A180" s="71"/>
      <c r="B180" s="71"/>
      <c r="C180" s="35"/>
      <c r="D180" s="35"/>
      <c r="G180" s="58"/>
    </row>
    <row r="181" spans="1:12" s="23" customFormat="1" ht="18">
      <c r="A181" s="71"/>
      <c r="B181" s="72" t="s">
        <v>90</v>
      </c>
      <c r="C181" s="36"/>
      <c r="D181" s="36"/>
      <c r="E181" s="29"/>
      <c r="F181" s="29"/>
      <c r="G181" s="60"/>
      <c r="H181" s="29"/>
      <c r="I181" s="29"/>
      <c r="J181" s="29"/>
      <c r="K181" s="29"/>
      <c r="L181" s="29"/>
    </row>
    <row r="182" spans="1:12" s="23" customFormat="1" ht="18" outlineLevel="1">
      <c r="A182" s="71"/>
      <c r="B182" s="71"/>
      <c r="C182" s="35" t="s">
        <v>93</v>
      </c>
      <c r="D182" s="35"/>
      <c r="E182" s="24"/>
      <c r="G182" s="58"/>
    </row>
    <row r="183" spans="1:12" s="23" customFormat="1" ht="18" outlineLevel="1">
      <c r="A183" s="71"/>
      <c r="B183" s="71"/>
      <c r="C183" s="35"/>
      <c r="D183" s="35"/>
      <c r="E183" s="131" t="s">
        <v>246</v>
      </c>
      <c r="F183" s="33">
        <v>14</v>
      </c>
      <c r="G183" s="59" t="s">
        <v>51</v>
      </c>
      <c r="I183" s="38" t="s">
        <v>91</v>
      </c>
    </row>
    <row r="184" spans="1:12" s="23" customFormat="1" ht="18" outlineLevel="1">
      <c r="A184" s="71"/>
      <c r="B184" s="71"/>
      <c r="C184" s="35"/>
      <c r="D184" s="35"/>
      <c r="E184" s="131" t="s">
        <v>653</v>
      </c>
      <c r="F184" s="33">
        <f>0.273+0.02</f>
        <v>0.29300000000000004</v>
      </c>
      <c r="G184" s="59" t="s">
        <v>51</v>
      </c>
      <c r="I184" s="129" t="s">
        <v>620</v>
      </c>
    </row>
    <row r="185" spans="1:12" s="23" customFormat="1" ht="18" outlineLevel="1">
      <c r="A185" s="71"/>
      <c r="B185" s="71"/>
      <c r="C185" s="35"/>
      <c r="D185" s="35"/>
      <c r="E185" s="131" t="s">
        <v>126</v>
      </c>
      <c r="F185" s="33">
        <v>15.5</v>
      </c>
      <c r="G185" s="61" t="s">
        <v>51</v>
      </c>
      <c r="I185" s="38" t="s">
        <v>94</v>
      </c>
    </row>
    <row r="186" spans="1:12" s="23" customFormat="1" ht="18" outlineLevel="1">
      <c r="A186" s="71"/>
      <c r="B186" s="71"/>
      <c r="C186" s="38" t="s">
        <v>99</v>
      </c>
      <c r="D186" s="38"/>
      <c r="E186" s="28"/>
      <c r="F186" s="27"/>
      <c r="G186" s="59"/>
      <c r="I186" s="32"/>
    </row>
    <row r="187" spans="1:12" s="23" customFormat="1" ht="19.5" outlineLevel="1">
      <c r="A187" s="71"/>
      <c r="B187" s="71"/>
      <c r="C187" s="35"/>
      <c r="D187" s="35"/>
      <c r="E187" s="131" t="s">
        <v>140</v>
      </c>
      <c r="F187" s="45">
        <f>F184*F185</f>
        <v>4.541500000000001</v>
      </c>
      <c r="G187" s="61" t="s">
        <v>81</v>
      </c>
      <c r="H187" s="31" t="str">
        <f>[3]!EQS(F187,"Units= ; EqnPrefix=Valem  ; EqnNo= 0; Multiplication= 1; ShowWorking= 1; EqnStyle=2; Eqp$G$17_0")</f>
        <v/>
      </c>
      <c r="I187" s="30" t="s">
        <v>619</v>
      </c>
    </row>
    <row r="188" spans="1:12" s="23" customFormat="1" ht="18" outlineLevel="1">
      <c r="A188" s="71"/>
      <c r="B188" s="71"/>
      <c r="C188" s="35" t="s">
        <v>65</v>
      </c>
      <c r="D188" s="35"/>
      <c r="F188" s="27"/>
      <c r="G188" s="59"/>
      <c r="I188" s="32"/>
    </row>
    <row r="189" spans="1:12" s="23" customFormat="1" ht="18" outlineLevel="1">
      <c r="A189" s="71"/>
      <c r="B189" s="71"/>
      <c r="C189" s="35"/>
      <c r="D189" s="35"/>
      <c r="E189" s="28"/>
      <c r="F189" s="27"/>
      <c r="G189" s="59"/>
      <c r="I189" s="32"/>
    </row>
    <row r="190" spans="1:12" s="23" customFormat="1" ht="18" outlineLevel="1">
      <c r="A190" s="71"/>
      <c r="B190" s="71"/>
      <c r="C190" s="35"/>
      <c r="D190" s="35"/>
      <c r="G190" s="58"/>
    </row>
    <row r="191" spans="1:12" s="23" customFormat="1" ht="16.5" customHeight="1" outlineLevel="1">
      <c r="A191" s="71"/>
      <c r="B191" s="71"/>
      <c r="C191" s="35"/>
      <c r="D191" s="35"/>
      <c r="E191" s="131" t="s">
        <v>57</v>
      </c>
      <c r="F191" s="42">
        <f>F147*LN(F183/F148)*F144</f>
        <v>22.482810516645301</v>
      </c>
      <c r="G191" s="59" t="s">
        <v>43</v>
      </c>
      <c r="H191" s="31" t="str">
        <f>[3]!EQS(F191,"Units= ; EqnPrefix=Valem  ; EqnNo= 0; Multiplication= 1; ShowWorking= 0; EqnStyle= 2; Eqp$H$54_2")</f>
        <v/>
      </c>
      <c r="I191" s="40" t="s">
        <v>621</v>
      </c>
      <c r="J191" s="31"/>
    </row>
    <row r="192" spans="1:12" s="23" customFormat="1" ht="12" customHeight="1" outlineLevel="1">
      <c r="A192" s="71"/>
      <c r="B192" s="71"/>
      <c r="C192" s="35"/>
      <c r="D192" s="35"/>
      <c r="E192" s="28"/>
      <c r="F192" s="42"/>
      <c r="G192" s="59"/>
      <c r="H192" s="31" t="str">
        <f>[3]!EQS(F191,"Units= ; EqnPrefix=Valem  ; EqnNo= 0; Multiplication= 1; ShowWorking= 1; EqnStyle= 2; Eqp$H$54_$H$55_3")</f>
        <v/>
      </c>
      <c r="I192" s="40" t="s">
        <v>102</v>
      </c>
      <c r="J192" s="31"/>
    </row>
    <row r="193" spans="1:10" s="23" customFormat="1" ht="18" outlineLevel="1">
      <c r="A193" s="71"/>
      <c r="B193" s="71"/>
      <c r="C193" s="41" t="s">
        <v>77</v>
      </c>
      <c r="D193" s="41"/>
      <c r="F193" s="42"/>
      <c r="G193" s="59"/>
      <c r="H193" s="31"/>
      <c r="I193" s="40"/>
      <c r="J193" s="31"/>
    </row>
    <row r="194" spans="1:10" s="23" customFormat="1" ht="19.5" outlineLevel="1">
      <c r="A194" s="71"/>
      <c r="B194" s="71"/>
      <c r="C194" s="35"/>
      <c r="D194" s="35"/>
      <c r="E194" s="131" t="s">
        <v>75</v>
      </c>
      <c r="F194" s="42">
        <f>1/2*F146*F191^2</f>
        <v>309.60452084551815</v>
      </c>
      <c r="G194" s="61" t="s">
        <v>76</v>
      </c>
      <c r="H194" s="31" t="str">
        <f>[3]!EQS(F194,"Units= ; EqnPrefix=Valem  ; EqnNo= 0; Multiplication= 1; ShowWorking= 0; EqnStyle= 2; Eqp$G$21_0")</f>
        <v/>
      </c>
      <c r="I194" s="40" t="s">
        <v>616</v>
      </c>
      <c r="J194" s="31"/>
    </row>
    <row r="195" spans="1:10" s="23" customFormat="1" ht="18" outlineLevel="1">
      <c r="A195" s="71"/>
      <c r="B195" s="71"/>
      <c r="C195" s="35"/>
      <c r="D195" s="35"/>
      <c r="E195" s="37"/>
      <c r="F195" s="42"/>
      <c r="G195" s="61"/>
      <c r="H195" s="31" t="str">
        <f>[3]!EQS(F194,"Units= ; EqnPrefix=Valem  ; EqnNo= 0; Multiplication= 1; ShowWorking= 1; EqnStyle= 2; Eqp$G$21_$G$25_1")</f>
        <v/>
      </c>
      <c r="I195" s="40" t="s">
        <v>622</v>
      </c>
      <c r="J195" s="31"/>
    </row>
    <row r="196" spans="1:10" s="23" customFormat="1" ht="18" outlineLevel="1">
      <c r="A196" s="71"/>
      <c r="B196" s="71"/>
      <c r="C196" s="35" t="s">
        <v>79</v>
      </c>
      <c r="D196" s="35"/>
      <c r="E196" s="37"/>
      <c r="F196" s="42"/>
      <c r="G196" s="61"/>
      <c r="I196" s="40"/>
      <c r="J196" s="31"/>
    </row>
    <row r="197" spans="1:10" s="23" customFormat="1" ht="19.5" outlineLevel="1">
      <c r="A197" s="71"/>
      <c r="B197" s="71"/>
      <c r="C197" s="35"/>
      <c r="D197" s="35"/>
      <c r="E197" s="131" t="s">
        <v>80</v>
      </c>
      <c r="F197" s="42">
        <f>(1+2.28/LN(F183/F148))^2</f>
        <v>1.9729829854343099</v>
      </c>
      <c r="G197" s="61"/>
      <c r="H197" s="31" t="str">
        <f>[3]!EQS(F197,"Units= ; EqnPrefix=Valem  ; EqnNo= 0; Multiplication= 1; ShowWorking= 0; EqnStyle= 2; Eqp$G$24_0")</f>
        <v/>
      </c>
      <c r="I197" s="40" t="s">
        <v>623</v>
      </c>
      <c r="J197" s="31"/>
    </row>
    <row r="198" spans="1:10" s="23" customFormat="1" ht="18" outlineLevel="1">
      <c r="A198" s="71"/>
      <c r="B198" s="71"/>
      <c r="C198" s="35"/>
      <c r="D198" s="35"/>
      <c r="E198" s="37"/>
      <c r="F198" s="42"/>
      <c r="G198" s="61"/>
      <c r="H198" s="31" t="str">
        <f>[3]!EQS(F197,"Units= ; EqnPrefix=Valem  ; EqnNo= 0; Multiplication= 1; ShowWorking= 1; EqnStyle= 2; Eqp$G$24_$G$28_1")</f>
        <v/>
      </c>
      <c r="I198" s="40" t="s">
        <v>624</v>
      </c>
      <c r="J198" s="31"/>
    </row>
    <row r="199" spans="1:10" s="23" customFormat="1" ht="18" outlineLevel="1">
      <c r="A199" s="71"/>
      <c r="B199" s="71"/>
      <c r="C199" s="23" t="s">
        <v>50</v>
      </c>
      <c r="E199" s="37"/>
      <c r="F199" s="42"/>
      <c r="G199" s="61"/>
      <c r="J199" s="31"/>
    </row>
    <row r="200" spans="1:10" s="23" customFormat="1" ht="19.5" outlineLevel="1">
      <c r="A200" s="71"/>
      <c r="B200" s="71"/>
      <c r="C200" s="35"/>
      <c r="D200" s="35"/>
      <c r="E200" s="28" t="s">
        <v>52</v>
      </c>
      <c r="F200" s="23">
        <v>1.1499999999999999</v>
      </c>
      <c r="G200" s="58"/>
      <c r="J200" s="31"/>
    </row>
    <row r="201" spans="1:10" s="23" customFormat="1" ht="18" outlineLevel="1">
      <c r="A201" s="71"/>
      <c r="B201" s="71"/>
      <c r="D201" s="130" t="s">
        <v>634</v>
      </c>
      <c r="E201" s="37"/>
      <c r="F201" s="44"/>
      <c r="G201" s="58"/>
      <c r="H201" s="31"/>
      <c r="I201" s="41"/>
      <c r="J201" s="31"/>
    </row>
    <row r="202" spans="1:10" s="23" customFormat="1" ht="19.5" outlineLevel="1">
      <c r="A202" s="71"/>
      <c r="B202" s="71"/>
      <c r="C202" s="35"/>
      <c r="D202" s="35"/>
      <c r="E202" s="131" t="s">
        <v>138</v>
      </c>
      <c r="F202" s="127">
        <v>1.88</v>
      </c>
      <c r="G202" s="58"/>
      <c r="H202" s="31"/>
      <c r="I202" s="129" t="s">
        <v>615</v>
      </c>
      <c r="J202" s="31"/>
    </row>
    <row r="203" spans="1:10" s="23" customFormat="1" ht="18" outlineLevel="1">
      <c r="A203" s="71"/>
      <c r="B203" s="71"/>
      <c r="C203" s="35"/>
      <c r="D203" s="35"/>
      <c r="E203" s="31"/>
      <c r="F203" s="31"/>
      <c r="G203" s="58"/>
      <c r="H203" s="31"/>
      <c r="I203" s="40"/>
      <c r="J203" s="31"/>
    </row>
    <row r="204" spans="1:10" s="23" customFormat="1" ht="18" outlineLevel="1">
      <c r="A204" s="71"/>
      <c r="B204" s="71"/>
      <c r="C204" s="35" t="s">
        <v>104</v>
      </c>
      <c r="D204" s="35"/>
      <c r="E204" s="31"/>
      <c r="F204" s="31"/>
      <c r="G204" s="58"/>
      <c r="H204" s="31"/>
      <c r="I204" s="40"/>
      <c r="J204" s="31"/>
    </row>
    <row r="205" spans="1:10" s="23" customFormat="1" ht="19.5" outlineLevel="1">
      <c r="A205" s="71"/>
      <c r="B205" s="71"/>
      <c r="C205" s="35"/>
      <c r="D205" s="35"/>
      <c r="E205" s="132" t="s">
        <v>105</v>
      </c>
      <c r="F205" s="133">
        <f>COS(RADIANS(45))^2</f>
        <v>0.50000000000000011</v>
      </c>
      <c r="G205" s="58"/>
      <c r="H205" s="31" t="str">
        <f>[3]!EQS(F205,"Units= ; EqnPrefix=Valem  ; EqnNo= 0; Multiplication= 1; ShowWorking= 0; EqnStyle= 2; Eqp$H$75_2")</f>
        <v/>
      </c>
      <c r="I205" s="40" t="s">
        <v>654</v>
      </c>
      <c r="J205" s="31"/>
    </row>
    <row r="206" spans="1:10" s="23" customFormat="1" ht="18">
      <c r="A206" s="71"/>
      <c r="B206" s="71"/>
      <c r="C206" s="35" t="s">
        <v>103</v>
      </c>
      <c r="D206" s="35"/>
      <c r="G206" s="58"/>
    </row>
    <row r="207" spans="1:10" s="23" customFormat="1" ht="19.5">
      <c r="A207" s="71"/>
      <c r="B207" s="71"/>
      <c r="C207" s="35"/>
      <c r="D207" s="35"/>
      <c r="E207" s="131" t="s">
        <v>137</v>
      </c>
      <c r="F207" s="46">
        <f>F194*F197*F200*F202*F184*F205</f>
        <v>193.4745957651929</v>
      </c>
      <c r="G207" s="61" t="s">
        <v>86</v>
      </c>
      <c r="H207" s="31" t="str">
        <f>[3]!EQS(F207,"Units= ; EqnPrefix=Valem  ; EqnNo= 0; Multiplication= 1; ShowWorking= 0; EqnStyle= 2; Eqp$G$39_0")</f>
        <v/>
      </c>
      <c r="I207" s="30" t="s">
        <v>625</v>
      </c>
    </row>
    <row r="208" spans="1:10" s="23" customFormat="1" ht="18">
      <c r="A208" s="71"/>
      <c r="B208" s="71"/>
      <c r="C208" s="35"/>
      <c r="D208" s="35"/>
      <c r="G208" s="58"/>
      <c r="H208" s="23" t="str">
        <f>[3]!EQS(F207,"Units= ; EqnPrefix=Valem  ; EqnNo= 0; Multiplication= 1; ShowWorking= 1; EqnStyle= 2; Eqp$G$39_$G$40_1")</f>
        <v/>
      </c>
      <c r="I208" s="30" t="s">
        <v>655</v>
      </c>
    </row>
    <row r="209" spans="1:12" s="23" customFormat="1" ht="18">
      <c r="A209" s="71"/>
      <c r="B209" s="71"/>
      <c r="C209" s="35"/>
      <c r="D209" s="35"/>
      <c r="G209" s="58"/>
    </row>
    <row r="210" spans="1:12" s="23" customFormat="1" ht="18">
      <c r="A210" s="71"/>
      <c r="B210" s="71"/>
      <c r="C210" s="35"/>
      <c r="D210" s="35"/>
      <c r="G210" s="58"/>
    </row>
    <row r="211" spans="1:12" s="23" customFormat="1" ht="18">
      <c r="A211" s="71"/>
      <c r="B211" s="73" t="s">
        <v>107</v>
      </c>
      <c r="C211" s="36"/>
      <c r="D211" s="36"/>
      <c r="E211" s="29"/>
      <c r="F211" s="29"/>
      <c r="G211" s="60"/>
      <c r="H211" s="29"/>
      <c r="I211" s="29"/>
      <c r="J211" s="29"/>
      <c r="K211" s="29"/>
      <c r="L211" s="29"/>
    </row>
    <row r="212" spans="1:12" s="23" customFormat="1" ht="18" outlineLevel="1">
      <c r="A212" s="71"/>
      <c r="B212" s="71"/>
      <c r="C212" s="35" t="s">
        <v>108</v>
      </c>
      <c r="D212" s="35"/>
      <c r="E212" s="24"/>
      <c r="G212" s="58"/>
    </row>
    <row r="213" spans="1:12" s="23" customFormat="1" ht="18" outlineLevel="1">
      <c r="A213" s="71"/>
      <c r="B213" s="71"/>
      <c r="C213" s="35"/>
      <c r="D213" s="35"/>
      <c r="E213" s="131" t="s">
        <v>246</v>
      </c>
      <c r="F213" s="33">
        <v>28</v>
      </c>
      <c r="G213" s="59" t="s">
        <v>51</v>
      </c>
      <c r="I213" s="38" t="s">
        <v>109</v>
      </c>
    </row>
    <row r="214" spans="1:12" s="23" customFormat="1" ht="18" outlineLevel="1">
      <c r="A214" s="71"/>
      <c r="B214" s="71"/>
      <c r="C214" s="35"/>
      <c r="D214" s="35"/>
      <c r="E214" s="131" t="s">
        <v>54</v>
      </c>
      <c r="F214" s="33">
        <f>0.22+0.02</f>
        <v>0.24</v>
      </c>
      <c r="G214" s="59" t="s">
        <v>51</v>
      </c>
      <c r="I214" s="38" t="s">
        <v>110</v>
      </c>
    </row>
    <row r="215" spans="1:12" s="23" customFormat="1" ht="18" outlineLevel="1">
      <c r="A215" s="71"/>
      <c r="B215" s="71"/>
      <c r="C215" s="35"/>
      <c r="D215" s="35"/>
      <c r="E215" s="131" t="s">
        <v>126</v>
      </c>
      <c r="F215" s="33">
        <v>23</v>
      </c>
      <c r="G215" s="61" t="s">
        <v>51</v>
      </c>
      <c r="I215" s="38" t="s">
        <v>94</v>
      </c>
    </row>
    <row r="216" spans="1:12" s="23" customFormat="1" ht="18" outlineLevel="1">
      <c r="A216" s="71"/>
      <c r="B216" s="71"/>
      <c r="C216" s="38" t="s">
        <v>99</v>
      </c>
      <c r="D216" s="38"/>
      <c r="E216" s="28"/>
      <c r="F216" s="27"/>
      <c r="G216" s="59"/>
      <c r="I216" s="32"/>
    </row>
    <row r="217" spans="1:12" s="23" customFormat="1" ht="19.5" outlineLevel="1">
      <c r="A217" s="71"/>
      <c r="B217" s="71"/>
      <c r="C217" s="35"/>
      <c r="D217" s="35"/>
      <c r="E217" s="131" t="s">
        <v>98</v>
      </c>
      <c r="F217" s="45">
        <f>F214*F215</f>
        <v>5.52</v>
      </c>
      <c r="G217" s="61" t="s">
        <v>81</v>
      </c>
      <c r="H217" s="31" t="str">
        <f>[3]!EQS(F217,"Units= ; EqnPrefix=Valem  ; EqnNo= 0; Multiplication= 1; ShowWorking= 1; EqnStyle=2; Eqp$G$17_0")</f>
        <v/>
      </c>
      <c r="I217" s="30" t="s">
        <v>636</v>
      </c>
    </row>
    <row r="218" spans="1:12" s="23" customFormat="1" ht="18" outlineLevel="1">
      <c r="A218" s="71"/>
      <c r="B218" s="71"/>
      <c r="C218" s="48" t="s">
        <v>112</v>
      </c>
      <c r="D218" s="35"/>
      <c r="E218" s="37"/>
      <c r="F218" s="45"/>
      <c r="G218" s="61"/>
      <c r="H218" s="31"/>
      <c r="I218" s="30"/>
    </row>
    <row r="219" spans="1:12" s="23" customFormat="1" ht="18" outlineLevel="1">
      <c r="A219" s="71"/>
      <c r="B219" s="71"/>
      <c r="C219" s="35" t="s">
        <v>65</v>
      </c>
      <c r="D219" s="35"/>
      <c r="F219" s="27"/>
      <c r="G219" s="59"/>
      <c r="I219" s="32"/>
    </row>
    <row r="220" spans="1:12" s="23" customFormat="1" ht="18" outlineLevel="1">
      <c r="A220" s="71"/>
      <c r="B220" s="71"/>
      <c r="C220" s="35"/>
      <c r="D220" s="35"/>
      <c r="E220" s="28"/>
      <c r="F220" s="27"/>
      <c r="G220" s="59"/>
      <c r="I220" s="32"/>
    </row>
    <row r="221" spans="1:12" s="23" customFormat="1" ht="18" outlineLevel="1">
      <c r="A221" s="71"/>
      <c r="B221" s="71"/>
      <c r="C221" s="35"/>
      <c r="D221" s="35"/>
      <c r="G221" s="58"/>
    </row>
    <row r="222" spans="1:12" s="23" customFormat="1" ht="16.5" customHeight="1" outlineLevel="1">
      <c r="A222" s="71"/>
      <c r="B222" s="71"/>
      <c r="C222" s="35"/>
      <c r="D222" s="35"/>
      <c r="E222" s="114" t="s">
        <v>57</v>
      </c>
      <c r="F222" s="42">
        <f>F147*LN(F213/F148)*F144</f>
        <v>25.248467767079489</v>
      </c>
      <c r="G222" s="59" t="s">
        <v>43</v>
      </c>
      <c r="H222" s="31" t="str">
        <f>[3]!EQS(F222,"Units= ; EqnPrefix=Valem  ; EqnNo= 0; Multiplication= 1; ShowWorking= 0; EqnStyle= 2; Eqp$H$54_2")</f>
        <v/>
      </c>
      <c r="I222" s="40" t="s">
        <v>621</v>
      </c>
      <c r="J222" s="31"/>
    </row>
    <row r="223" spans="1:12" s="23" customFormat="1" ht="12" customHeight="1" outlineLevel="1">
      <c r="A223" s="71"/>
      <c r="B223" s="71"/>
      <c r="C223" s="35"/>
      <c r="D223" s="35"/>
      <c r="E223" s="28"/>
      <c r="F223" s="42"/>
      <c r="G223" s="59"/>
      <c r="H223" s="31" t="str">
        <f>[3]!EQS(F222,"Units= ; EqnPrefix=Valem  ; EqnNo= 0; Multiplication= 1; ShowWorking= 1; EqnStyle= 2; Eqp$H$54_$H$55_3")</f>
        <v/>
      </c>
      <c r="I223" s="40" t="s">
        <v>111</v>
      </c>
      <c r="J223" s="31"/>
    </row>
    <row r="224" spans="1:12" s="23" customFormat="1" ht="18" outlineLevel="1">
      <c r="A224" s="71"/>
      <c r="B224" s="71"/>
      <c r="C224" s="41" t="s">
        <v>77</v>
      </c>
      <c r="D224" s="41"/>
      <c r="F224" s="42"/>
      <c r="G224" s="59"/>
      <c r="H224" s="31"/>
      <c r="I224" s="40"/>
      <c r="J224" s="31"/>
    </row>
    <row r="225" spans="1:17" s="23" customFormat="1" ht="19.5" outlineLevel="1">
      <c r="A225" s="71"/>
      <c r="B225" s="71"/>
      <c r="C225" s="35"/>
      <c r="D225" s="35"/>
      <c r="E225" s="114" t="s">
        <v>75</v>
      </c>
      <c r="F225" s="42">
        <f>1/2*F146*F222^2</f>
        <v>390.45963880846682</v>
      </c>
      <c r="G225" s="61" t="s">
        <v>76</v>
      </c>
      <c r="H225" s="31" t="str">
        <f>[3]!EQS(F225,"Units= ; EqnPrefix=Valem  ; EqnNo= 0; Multiplication= 1; ShowWorking= 0; EqnStyle= 2; Eqp$G$21_0")</f>
        <v/>
      </c>
      <c r="I225" s="40" t="s">
        <v>616</v>
      </c>
      <c r="J225" s="31"/>
    </row>
    <row r="226" spans="1:17" s="23" customFormat="1" ht="18" outlineLevel="1">
      <c r="A226" s="71"/>
      <c r="B226" s="71"/>
      <c r="C226" s="35"/>
      <c r="D226" s="35"/>
      <c r="E226" s="37"/>
      <c r="F226" s="42"/>
      <c r="G226" s="61"/>
      <c r="H226" s="31" t="str">
        <f>[3]!EQS(F225,"Units= ; EqnPrefix=Valem  ; EqnNo= 0; Multiplication= 1; ShowWorking= 1; EqnStyle= 2; Eqp$G$21_$G$25_1")</f>
        <v/>
      </c>
      <c r="I226" s="40" t="s">
        <v>637</v>
      </c>
      <c r="J226" s="31"/>
    </row>
    <row r="227" spans="1:17" s="23" customFormat="1" ht="18" outlineLevel="1">
      <c r="A227" s="71"/>
      <c r="B227" s="71"/>
      <c r="C227" s="35" t="s">
        <v>79</v>
      </c>
      <c r="D227" s="35"/>
      <c r="E227" s="37"/>
      <c r="F227" s="42"/>
      <c r="G227" s="61"/>
      <c r="I227" s="40"/>
      <c r="J227" s="31"/>
    </row>
    <row r="228" spans="1:17" s="23" customFormat="1" ht="19.5" outlineLevel="1">
      <c r="A228" s="71"/>
      <c r="B228" s="71"/>
      <c r="C228" s="35"/>
      <c r="D228" s="35"/>
      <c r="E228" s="114" t="s">
        <v>80</v>
      </c>
      <c r="F228" s="42">
        <f>(1+2.28/LN(F213/F148))^2</f>
        <v>1.8504351691877789</v>
      </c>
      <c r="G228" s="61"/>
      <c r="H228" s="31" t="str">
        <f>[3]!EQS(F228,"Units= ; EqnPrefix=Valem  ; EqnNo= 0; Multiplication= 1; ShowWorking= 0; EqnStyle= 2; Eqp$G$24_0")</f>
        <v/>
      </c>
      <c r="I228" s="40" t="s">
        <v>623</v>
      </c>
      <c r="J228" s="31"/>
    </row>
    <row r="229" spans="1:17" s="23" customFormat="1" ht="18" outlineLevel="1">
      <c r="A229" s="71"/>
      <c r="B229" s="71"/>
      <c r="C229" s="35"/>
      <c r="D229" s="35"/>
      <c r="E229" s="37"/>
      <c r="F229" s="42"/>
      <c r="G229" s="61"/>
      <c r="H229" s="31" t="str">
        <f>[3]!EQS(F228,"Units= ; EqnPrefix=Valem  ; EqnNo= 0; Multiplication= 1; ShowWorking= 1; EqnStyle= 2; Eqp$G$24_$G$28_1")</f>
        <v/>
      </c>
      <c r="I229" s="40" t="s">
        <v>638</v>
      </c>
      <c r="J229" s="31"/>
    </row>
    <row r="230" spans="1:17" s="23" customFormat="1" ht="18" outlineLevel="1">
      <c r="A230" s="71"/>
      <c r="B230" s="71"/>
      <c r="C230" s="23" t="s">
        <v>50</v>
      </c>
      <c r="E230" s="37"/>
      <c r="F230" s="42"/>
      <c r="G230" s="61"/>
      <c r="J230" s="31"/>
    </row>
    <row r="231" spans="1:17" s="23" customFormat="1" ht="19.5" outlineLevel="1">
      <c r="A231" s="71"/>
      <c r="B231" s="71"/>
      <c r="C231" s="35"/>
      <c r="D231" s="35"/>
      <c r="E231" s="28" t="s">
        <v>52</v>
      </c>
      <c r="F231" s="23">
        <v>1.1499999999999999</v>
      </c>
      <c r="G231" s="58"/>
      <c r="J231" s="31"/>
    </row>
    <row r="232" spans="1:17" s="23" customFormat="1" ht="18" outlineLevel="1">
      <c r="A232" s="71"/>
      <c r="B232" s="71"/>
      <c r="C232" s="48" t="s">
        <v>120</v>
      </c>
      <c r="D232" s="35"/>
      <c r="E232" s="31"/>
      <c r="F232" s="50"/>
      <c r="G232" s="58"/>
      <c r="H232" s="31"/>
      <c r="I232" s="40"/>
      <c r="J232" s="31"/>
    </row>
    <row r="233" spans="1:17" s="23" customFormat="1" ht="19.5" outlineLevel="1">
      <c r="A233" s="71"/>
      <c r="B233" s="71"/>
      <c r="C233" s="35"/>
      <c r="D233" s="35"/>
      <c r="E233" s="131" t="s">
        <v>114</v>
      </c>
      <c r="F233" s="134">
        <v>1.75</v>
      </c>
      <c r="G233" s="58"/>
      <c r="H233" s="31"/>
      <c r="I233" s="23">
        <v>1.75</v>
      </c>
      <c r="J233" s="23">
        <v>1.84</v>
      </c>
      <c r="K233" s="23">
        <v>2</v>
      </c>
      <c r="L233" s="129" t="s">
        <v>639</v>
      </c>
    </row>
    <row r="234" spans="1:17" s="23" customFormat="1" ht="18" outlineLevel="1">
      <c r="A234" s="71"/>
      <c r="B234" s="71"/>
      <c r="C234" s="35"/>
      <c r="D234" s="35"/>
      <c r="E234" s="31"/>
      <c r="F234" s="50"/>
      <c r="G234" s="58"/>
      <c r="H234" s="31"/>
      <c r="I234" s="23">
        <v>1.68</v>
      </c>
      <c r="J234" s="46">
        <f>(J233-I233)/(K233-I233)*(K234-I234)+I234</f>
        <v>1.752</v>
      </c>
      <c r="K234" s="23">
        <v>1.88</v>
      </c>
      <c r="Q234" s="70"/>
    </row>
    <row r="235" spans="1:17" s="23" customFormat="1" ht="18" outlineLevel="1">
      <c r="A235" s="71"/>
      <c r="B235" s="71"/>
      <c r="C235" s="35" t="s">
        <v>104</v>
      </c>
      <c r="D235" s="35"/>
      <c r="E235" s="31"/>
      <c r="F235" s="31"/>
      <c r="G235" s="58"/>
      <c r="H235" s="31"/>
      <c r="I235" s="40"/>
      <c r="J235" s="31"/>
    </row>
    <row r="236" spans="1:17" s="23" customFormat="1" ht="19.5" outlineLevel="1">
      <c r="A236" s="71"/>
      <c r="B236" s="71"/>
      <c r="C236" s="35"/>
      <c r="D236" s="35"/>
      <c r="E236" s="132" t="s">
        <v>105</v>
      </c>
      <c r="F236" s="125">
        <f>COS(RADIANS(45))^2</f>
        <v>0.50000000000000011</v>
      </c>
      <c r="G236" s="58"/>
      <c r="H236" s="31" t="str">
        <f>[3]!EQS(F236,"Units= ; EqnPrefix=Valem  ; EqnNo= 0; Multiplication= 1; ShowWorking= 0; EqnStyle= 2; Eqp$H$75_2")</f>
        <v/>
      </c>
      <c r="I236" s="40" t="s">
        <v>654</v>
      </c>
      <c r="J236" s="31"/>
    </row>
    <row r="237" spans="1:17" s="23" customFormat="1" ht="18" outlineLevel="1">
      <c r="A237" s="71"/>
      <c r="B237" s="71"/>
      <c r="C237" s="48" t="s">
        <v>122</v>
      </c>
      <c r="D237" s="35"/>
      <c r="G237" s="58"/>
    </row>
    <row r="238" spans="1:17" s="23" customFormat="1" ht="19.5">
      <c r="A238" s="71"/>
      <c r="B238" s="71"/>
      <c r="C238" s="35"/>
      <c r="D238" s="35"/>
      <c r="E238" s="131" t="s">
        <v>136</v>
      </c>
      <c r="F238" s="46">
        <f>F225*F228*F231*F233*F214*F236</f>
        <v>174.48863984358997</v>
      </c>
      <c r="G238" s="61" t="s">
        <v>86</v>
      </c>
      <c r="H238" s="31" t="str">
        <f>[3]!EQS(F238,"Units= ; EqnPrefix=Valem  ; EqnNo= 0; Multiplication= 1; ShowWorking= 0; EqnStyle= 2; Eqp$G$39_0")</f>
        <v/>
      </c>
      <c r="I238" s="30" t="s">
        <v>628</v>
      </c>
    </row>
    <row r="239" spans="1:17" s="23" customFormat="1" ht="18">
      <c r="A239" s="71"/>
      <c r="B239" s="71"/>
      <c r="C239" s="35"/>
      <c r="D239" s="35"/>
      <c r="G239" s="58"/>
      <c r="H239" s="23" t="str">
        <f>[3]!EQS(F238,"Units= ; EqnPrefix=Valem  ; EqnNo= 0; Multiplication= 1; ShowWorking= 1; EqnStyle= 2; Eqp$G$39_$G$40_1")</f>
        <v/>
      </c>
      <c r="I239" s="30" t="s">
        <v>656</v>
      </c>
    </row>
    <row r="240" spans="1:17" s="23" customFormat="1" ht="18">
      <c r="A240" s="71"/>
      <c r="B240" s="71"/>
      <c r="C240" s="35"/>
      <c r="D240" s="35"/>
      <c r="G240" s="58"/>
    </row>
    <row r="241" spans="1:12" s="23" customFormat="1" ht="18">
      <c r="A241" s="71"/>
      <c r="B241" s="71"/>
      <c r="C241" s="35"/>
      <c r="D241" s="35"/>
      <c r="G241" s="58"/>
    </row>
    <row r="242" spans="1:12" s="23" customFormat="1" ht="18">
      <c r="A242" s="71"/>
      <c r="B242" s="73" t="s">
        <v>123</v>
      </c>
      <c r="C242" s="36"/>
      <c r="D242" s="36"/>
      <c r="E242" s="29"/>
      <c r="F242" s="29"/>
      <c r="G242" s="60"/>
      <c r="H242" s="29"/>
      <c r="I242" s="29"/>
      <c r="J242" s="29"/>
      <c r="K242" s="29"/>
      <c r="L242" s="29"/>
    </row>
    <row r="243" spans="1:12" s="23" customFormat="1" ht="18" outlineLevel="1">
      <c r="A243" s="71"/>
      <c r="B243" s="71"/>
      <c r="C243" s="57" t="s">
        <v>141</v>
      </c>
      <c r="D243" s="35"/>
      <c r="E243" s="24"/>
      <c r="G243" s="58"/>
    </row>
    <row r="244" spans="1:12" s="23" customFormat="1" ht="18" outlineLevel="1">
      <c r="A244" s="71"/>
      <c r="B244" s="71"/>
      <c r="C244" s="35"/>
      <c r="D244" s="35"/>
      <c r="E244" s="114" t="s">
        <v>517</v>
      </c>
      <c r="F244" s="33">
        <v>36</v>
      </c>
      <c r="G244" s="59" t="s">
        <v>51</v>
      </c>
      <c r="I244" s="38" t="s">
        <v>109</v>
      </c>
    </row>
    <row r="245" spans="1:12" s="23" customFormat="1" ht="18" outlineLevel="1">
      <c r="A245" s="71"/>
      <c r="B245" s="71"/>
      <c r="C245" s="35"/>
      <c r="D245" s="35"/>
      <c r="E245" s="114" t="s">
        <v>242</v>
      </c>
      <c r="F245" s="33">
        <v>0.25</v>
      </c>
      <c r="G245" s="59" t="s">
        <v>51</v>
      </c>
    </row>
    <row r="246" spans="1:12" s="23" customFormat="1" ht="18" outlineLevel="1">
      <c r="A246" s="71"/>
      <c r="B246" s="71"/>
      <c r="C246" s="35"/>
      <c r="D246" s="35"/>
      <c r="E246" s="114" t="s">
        <v>516</v>
      </c>
      <c r="F246" s="33">
        <v>0.25</v>
      </c>
      <c r="G246" s="62" t="s">
        <v>51</v>
      </c>
      <c r="I246" s="54" t="s">
        <v>124</v>
      </c>
    </row>
    <row r="247" spans="1:12" s="23" customFormat="1" ht="18" outlineLevel="1">
      <c r="A247" s="71"/>
      <c r="B247" s="71"/>
      <c r="C247" s="35"/>
      <c r="D247" s="35"/>
      <c r="E247" s="114" t="s">
        <v>249</v>
      </c>
      <c r="F247" s="33">
        <v>23</v>
      </c>
      <c r="G247" s="61" t="s">
        <v>51</v>
      </c>
      <c r="I247" s="38" t="s">
        <v>94</v>
      </c>
    </row>
    <row r="248" spans="1:12" s="23" customFormat="1" ht="18" outlineLevel="1">
      <c r="A248" s="71"/>
      <c r="B248" s="71"/>
      <c r="C248" s="38" t="s">
        <v>99</v>
      </c>
      <c r="D248" s="38"/>
      <c r="E248" s="28"/>
      <c r="F248" s="27"/>
      <c r="G248" s="59"/>
      <c r="I248" s="32"/>
    </row>
    <row r="249" spans="1:12" s="23" customFormat="1" ht="19.5" outlineLevel="1">
      <c r="A249" s="71"/>
      <c r="B249" s="71"/>
      <c r="C249" s="35"/>
      <c r="D249" s="35"/>
      <c r="E249" s="114" t="s">
        <v>98</v>
      </c>
      <c r="F249" s="45">
        <f>F245*F247</f>
        <v>5.75</v>
      </c>
      <c r="G249" s="61" t="s">
        <v>81</v>
      </c>
      <c r="H249" s="31" t="str">
        <f>[3]!EQS(F249,"Units= ; EqnPrefix=Valem  ; EqnNo= 0; Multiplication= 1; ShowWorking= 1; EqnStyle=2; Eqp$G$17_0")</f>
        <v/>
      </c>
      <c r="I249" s="30" t="s">
        <v>127</v>
      </c>
    </row>
    <row r="250" spans="1:12" s="23" customFormat="1" ht="18" outlineLevel="1">
      <c r="A250" s="71"/>
      <c r="B250" s="71"/>
      <c r="C250" s="57" t="s">
        <v>165</v>
      </c>
      <c r="D250" s="35"/>
      <c r="E250" s="37"/>
      <c r="F250" s="45"/>
      <c r="G250" s="61"/>
      <c r="H250" s="31"/>
      <c r="I250" s="30"/>
    </row>
    <row r="251" spans="1:12" s="23" customFormat="1" ht="19.5" outlineLevel="1">
      <c r="A251" s="71"/>
      <c r="B251" s="71"/>
      <c r="C251" s="48"/>
      <c r="D251" s="35"/>
      <c r="E251" s="114" t="s">
        <v>125</v>
      </c>
      <c r="F251" s="45">
        <f>F246*F245</f>
        <v>6.25E-2</v>
      </c>
      <c r="G251" s="61" t="s">
        <v>81</v>
      </c>
      <c r="H251" s="31" t="str">
        <f>[3]!EQS(F251,"Units= ; EqnPrefix=Valem  ; EqnNo= 0; Multiplication= 1; ShowWorking= 1; EqnStyle= 2; Eqp$H$137_2")</f>
        <v/>
      </c>
      <c r="I251" s="30" t="s">
        <v>128</v>
      </c>
    </row>
    <row r="252" spans="1:12" s="23" customFormat="1" ht="18" outlineLevel="1">
      <c r="A252" s="71"/>
      <c r="B252" s="71"/>
      <c r="C252" s="35" t="s">
        <v>65</v>
      </c>
      <c r="D252" s="35"/>
      <c r="F252" s="27"/>
      <c r="G252" s="59"/>
      <c r="I252" s="32"/>
    </row>
    <row r="253" spans="1:12" s="23" customFormat="1" ht="18" outlineLevel="1">
      <c r="A253" s="71"/>
      <c r="B253" s="71"/>
      <c r="C253" s="35"/>
      <c r="D253" s="35"/>
      <c r="E253" s="28"/>
      <c r="F253" s="27"/>
      <c r="G253" s="59"/>
      <c r="I253" s="32"/>
    </row>
    <row r="254" spans="1:12" s="23" customFormat="1" ht="18" outlineLevel="1">
      <c r="A254" s="71"/>
      <c r="B254" s="71"/>
      <c r="C254" s="35"/>
      <c r="D254" s="35"/>
      <c r="G254" s="58"/>
    </row>
    <row r="255" spans="1:12" s="23" customFormat="1" ht="19.5" outlineLevel="1">
      <c r="A255" s="71"/>
      <c r="B255" s="71"/>
      <c r="C255" s="35"/>
      <c r="D255" s="35"/>
      <c r="E255" s="114" t="s">
        <v>57</v>
      </c>
      <c r="F255" s="42">
        <f>F147*LN(F244/F148)*F144</f>
        <v>26.251212335920307</v>
      </c>
      <c r="G255" s="59" t="s">
        <v>43</v>
      </c>
      <c r="H255" s="31" t="str">
        <f>[3]!EQS(F255,"Units= ; EqnPrefix=Valem  ; EqnNo= 0; Multiplication= 1; ShowWorking= 0; EqnStyle= 2; Eqp$H$54_2")</f>
        <v/>
      </c>
      <c r="I255" s="40" t="s">
        <v>621</v>
      </c>
      <c r="J255" s="31"/>
    </row>
    <row r="256" spans="1:12" s="23" customFormat="1" ht="18" outlineLevel="1">
      <c r="A256" s="71"/>
      <c r="B256" s="71"/>
      <c r="C256" s="35"/>
      <c r="D256" s="35"/>
      <c r="E256" s="28"/>
      <c r="F256" s="42"/>
      <c r="G256" s="59"/>
      <c r="H256" s="31" t="str">
        <f>[3]!EQS(F255,"Units= ; EqnPrefix=Valem  ; EqnNo= 0; Multiplication= 1; ShowWorking= 1; EqnStyle= 2; Eqp$H$54_$H$55_3")</f>
        <v/>
      </c>
      <c r="I256" s="40" t="s">
        <v>64</v>
      </c>
      <c r="J256" s="31"/>
    </row>
    <row r="257" spans="1:13" s="23" customFormat="1" ht="18" outlineLevel="1">
      <c r="A257" s="71"/>
      <c r="B257" s="71"/>
      <c r="C257" s="41" t="s">
        <v>77</v>
      </c>
      <c r="D257" s="41"/>
      <c r="F257" s="42"/>
      <c r="G257" s="59"/>
      <c r="H257" s="31"/>
      <c r="I257" s="40"/>
      <c r="J257" s="31"/>
    </row>
    <row r="258" spans="1:13" s="23" customFormat="1" ht="19.5" outlineLevel="1">
      <c r="A258" s="71"/>
      <c r="B258" s="71"/>
      <c r="C258" s="35"/>
      <c r="D258" s="35"/>
      <c r="E258" s="114" t="s">
        <v>75</v>
      </c>
      <c r="F258" s="42">
        <f>1/2*F146*F255^2</f>
        <v>422.08976632716445</v>
      </c>
      <c r="G258" s="61" t="s">
        <v>76</v>
      </c>
      <c r="H258" s="31" t="str">
        <f>[3]!EQS(F258,"Units= ; EqnPrefix=Valem  ; EqnNo= 0; Multiplication= 1; ShowWorking= 0; EqnStyle= 2; Eqp$G$21_0")</f>
        <v/>
      </c>
      <c r="I258" s="40" t="s">
        <v>616</v>
      </c>
      <c r="J258" s="31"/>
    </row>
    <row r="259" spans="1:13" s="23" customFormat="1" ht="18" outlineLevel="1">
      <c r="A259" s="71"/>
      <c r="B259" s="71"/>
      <c r="C259" s="35"/>
      <c r="D259" s="35"/>
      <c r="E259" s="37"/>
      <c r="F259" s="42"/>
      <c r="G259" s="61"/>
      <c r="H259" s="31" t="str">
        <f>[3]!EQS(F258,"Units= ; EqnPrefix=Valem  ; EqnNo= 0; Multiplication= 1; ShowWorking= 1; EqnStyle= 2; Eqp$G$21_$G$25_1")</f>
        <v/>
      </c>
      <c r="I259" s="40" t="s">
        <v>617</v>
      </c>
      <c r="J259" s="31"/>
    </row>
    <row r="260" spans="1:13" s="23" customFormat="1" ht="18" outlineLevel="1">
      <c r="A260" s="71"/>
      <c r="B260" s="71"/>
      <c r="C260" s="35" t="s">
        <v>79</v>
      </c>
      <c r="D260" s="35"/>
      <c r="E260" s="37"/>
      <c r="F260" s="42"/>
      <c r="G260" s="61"/>
      <c r="I260" s="40"/>
      <c r="J260" s="31"/>
    </row>
    <row r="261" spans="1:13" s="23" customFormat="1" ht="19.5" outlineLevel="1">
      <c r="A261" s="71"/>
      <c r="B261" s="71"/>
      <c r="C261" s="35"/>
      <c r="D261" s="35"/>
      <c r="E261" s="114" t="s">
        <v>80</v>
      </c>
      <c r="F261" s="42">
        <f>(1+2.28/LN(F244/F148))^2</f>
        <v>1.8131807308313552</v>
      </c>
      <c r="G261" s="61"/>
      <c r="H261" s="31" t="str">
        <f>[3]!EQS(F261,"Units= ; EqnPrefix=Valem  ; EqnNo= 0; Multiplication= 1; ShowWorking= 0; EqnStyle= 2; Eqp$G$24_0")</f>
        <v/>
      </c>
      <c r="I261" s="40" t="s">
        <v>623</v>
      </c>
      <c r="J261" s="31"/>
    </row>
    <row r="262" spans="1:13" s="23" customFormat="1" ht="18" outlineLevel="1">
      <c r="A262" s="71"/>
      <c r="B262" s="71"/>
      <c r="C262" s="35"/>
      <c r="D262" s="35"/>
      <c r="E262" s="37"/>
      <c r="F262" s="42"/>
      <c r="G262" s="61"/>
      <c r="H262" s="31" t="str">
        <f>[3]!EQS(F261,"Units= ; EqnPrefix=Valem  ; EqnNo= 0; Multiplication= 1; ShowWorking= 1; EqnStyle= 2; Eqp$G$24_$G$28_1")</f>
        <v/>
      </c>
      <c r="I262" s="40" t="s">
        <v>613</v>
      </c>
      <c r="J262" s="31"/>
    </row>
    <row r="263" spans="1:13" s="23" customFormat="1" ht="18" outlineLevel="1">
      <c r="A263" s="71"/>
      <c r="B263" s="71"/>
      <c r="C263" s="23" t="s">
        <v>50</v>
      </c>
      <c r="E263" s="37"/>
      <c r="F263" s="42"/>
      <c r="G263" s="61"/>
      <c r="J263" s="31"/>
    </row>
    <row r="264" spans="1:13" s="23" customFormat="1" ht="19.5" outlineLevel="1">
      <c r="A264" s="71"/>
      <c r="B264" s="71"/>
      <c r="C264" s="35"/>
      <c r="D264" s="35"/>
      <c r="E264" s="28" t="s">
        <v>52</v>
      </c>
      <c r="F264" s="23">
        <v>1.1499999999999999</v>
      </c>
      <c r="G264" s="58"/>
      <c r="J264" s="31"/>
    </row>
    <row r="265" spans="1:13" s="23" customFormat="1" ht="18" outlineLevel="1">
      <c r="A265" s="71"/>
      <c r="B265" s="71"/>
      <c r="C265" s="57" t="s">
        <v>145</v>
      </c>
      <c r="D265" s="35"/>
      <c r="E265" s="31"/>
      <c r="F265" s="50"/>
      <c r="G265" s="58"/>
      <c r="H265" s="31"/>
      <c r="I265" s="40"/>
      <c r="J265" s="31"/>
    </row>
    <row r="266" spans="1:13" s="23" customFormat="1" ht="19.5" outlineLevel="1">
      <c r="A266" s="71"/>
      <c r="B266" s="71"/>
      <c r="C266" s="35"/>
      <c r="D266" s="35"/>
      <c r="E266" s="131" t="s">
        <v>149</v>
      </c>
      <c r="F266" s="134">
        <v>1.58</v>
      </c>
      <c r="G266" s="58"/>
      <c r="H266" s="31"/>
      <c r="I266" s="131" t="s">
        <v>640</v>
      </c>
      <c r="J266" s="23">
        <v>1.5</v>
      </c>
      <c r="K266" s="23">
        <v>1.62</v>
      </c>
      <c r="L266" s="23">
        <v>1.75</v>
      </c>
      <c r="M266" s="129" t="s">
        <v>639</v>
      </c>
    </row>
    <row r="267" spans="1:13" s="23" customFormat="1" ht="19.5" outlineLevel="1">
      <c r="A267" s="71"/>
      <c r="B267" s="71"/>
      <c r="C267" s="35"/>
      <c r="D267" s="35"/>
      <c r="E267" s="31"/>
      <c r="F267" s="50"/>
      <c r="G267" s="58"/>
      <c r="H267" s="31"/>
      <c r="I267" s="131" t="s">
        <v>641</v>
      </c>
      <c r="J267" s="23">
        <v>1.48</v>
      </c>
      <c r="K267" s="46">
        <f>(K266-J266)/(L266-J266)*(L267-J267)+J267</f>
        <v>1.5760000000000001</v>
      </c>
      <c r="L267" s="23">
        <v>1.68</v>
      </c>
    </row>
    <row r="268" spans="1:13" s="23" customFormat="1" ht="18" outlineLevel="1">
      <c r="A268" s="71"/>
      <c r="B268" s="71"/>
      <c r="C268" s="57" t="s">
        <v>146</v>
      </c>
      <c r="D268" s="35"/>
      <c r="E268" s="31"/>
      <c r="F268" s="50"/>
      <c r="G268" s="58"/>
      <c r="H268" s="31"/>
      <c r="J268" s="40"/>
      <c r="K268" s="31"/>
    </row>
    <row r="269" spans="1:13" s="23" customFormat="1" ht="19.5" outlineLevel="1">
      <c r="A269" s="71"/>
      <c r="B269" s="71"/>
      <c r="C269" s="57"/>
      <c r="D269" s="35"/>
      <c r="E269" s="131" t="s">
        <v>150</v>
      </c>
      <c r="F269" s="134">
        <v>1.75</v>
      </c>
      <c r="G269" s="58"/>
      <c r="H269" s="31"/>
      <c r="I269" s="131" t="s">
        <v>640</v>
      </c>
      <c r="J269" s="23">
        <v>1.75</v>
      </c>
      <c r="K269" s="23">
        <v>1.84</v>
      </c>
      <c r="L269" s="23">
        <v>2</v>
      </c>
      <c r="M269" s="129" t="s">
        <v>639</v>
      </c>
    </row>
    <row r="270" spans="1:13" s="23" customFormat="1" ht="19.5" outlineLevel="1">
      <c r="A270" s="71"/>
      <c r="B270" s="71"/>
      <c r="C270" s="35"/>
      <c r="D270" s="35"/>
      <c r="E270" s="31"/>
      <c r="F270" s="50"/>
      <c r="G270" s="58"/>
      <c r="H270" s="31"/>
      <c r="I270" s="131" t="s">
        <v>641</v>
      </c>
      <c r="J270" s="23">
        <v>1.68</v>
      </c>
      <c r="K270" s="46">
        <f>(K269-J269)/(L269-J269)*(L270-J270)+J270</f>
        <v>1.752</v>
      </c>
      <c r="L270" s="23">
        <v>1.88</v>
      </c>
    </row>
    <row r="271" spans="1:13" s="23" customFormat="1" ht="18" outlineLevel="1">
      <c r="A271" s="71"/>
      <c r="B271" s="71"/>
      <c r="C271" s="57" t="s">
        <v>134</v>
      </c>
      <c r="D271" s="35"/>
      <c r="E271" s="31"/>
      <c r="F271" s="31"/>
      <c r="G271" s="58"/>
      <c r="H271" s="31"/>
      <c r="I271" s="40"/>
      <c r="J271" s="31"/>
    </row>
    <row r="272" spans="1:13" s="23" customFormat="1" ht="19.5" outlineLevel="1">
      <c r="A272" s="71"/>
      <c r="B272" s="71"/>
      <c r="C272" s="35"/>
      <c r="D272" s="35"/>
      <c r="E272" s="132" t="s">
        <v>155</v>
      </c>
      <c r="F272" s="125">
        <f>COS(RADIANS(45))^2</f>
        <v>0.50000000000000011</v>
      </c>
      <c r="G272" s="58"/>
      <c r="H272" s="31" t="str">
        <f>[3]!EQS(F272,"Units= ; EqnPrefix=Valem  ; EqnNo= 0; Multiplication= 1; ShowWorking= 0; EqnStyle= 2; Eqp$H$75_2")</f>
        <v/>
      </c>
      <c r="I272" s="40" t="s">
        <v>654</v>
      </c>
      <c r="J272" s="31"/>
    </row>
    <row r="273" spans="1:12" s="23" customFormat="1" ht="18" outlineLevel="1">
      <c r="A273" s="71"/>
      <c r="B273" s="71"/>
      <c r="C273" s="57" t="s">
        <v>151</v>
      </c>
      <c r="D273" s="35"/>
      <c r="E273" s="55"/>
      <c r="F273" s="53"/>
      <c r="G273" s="58"/>
      <c r="H273" s="31"/>
      <c r="I273" s="40"/>
      <c r="J273" s="31"/>
    </row>
    <row r="274" spans="1:12" s="23" customFormat="1" ht="19.5" outlineLevel="1">
      <c r="A274" s="71"/>
      <c r="B274" s="71"/>
      <c r="C274" s="35"/>
      <c r="D274" s="35"/>
      <c r="E274" s="132" t="s">
        <v>156</v>
      </c>
      <c r="F274" s="125">
        <f>COS(RADIANS(45))^2</f>
        <v>0.50000000000000011</v>
      </c>
      <c r="G274" s="58"/>
      <c r="H274" s="31" t="str">
        <f>[3]!EQS(F274,"Units= ; EqnPrefix=Valem  ; EqnNo= 0; Multiplication= 1; ShowWorking= 0; EqnStyle= 2; Eqp$H$75_2")</f>
        <v/>
      </c>
      <c r="I274" s="40" t="s">
        <v>654</v>
      </c>
      <c r="J274" s="31"/>
    </row>
    <row r="275" spans="1:12" s="23" customFormat="1" ht="18">
      <c r="A275" s="71"/>
      <c r="B275" s="71"/>
      <c r="C275" s="57" t="s">
        <v>135</v>
      </c>
      <c r="D275" s="35"/>
      <c r="G275" s="58"/>
    </row>
    <row r="276" spans="1:12" s="23" customFormat="1" ht="19.5">
      <c r="A276" s="71"/>
      <c r="B276" s="71"/>
      <c r="C276" s="35"/>
      <c r="D276" s="35"/>
      <c r="E276" s="114" t="s">
        <v>152</v>
      </c>
      <c r="F276" s="46">
        <f>F258*F261*F264*F266*F245*F272</f>
        <v>173.82444766258718</v>
      </c>
      <c r="G276" s="61" t="s">
        <v>86</v>
      </c>
      <c r="H276" s="31" t="str">
        <f>[3]!EQS(F276,"Units= ; EqnPrefix=Valem  ; EqnNo= 0; Multiplication= 1; ShowWorking= 0; EqnStyle= 2; Eqp$G$39_0")</f>
        <v/>
      </c>
      <c r="I276" s="30" t="s">
        <v>629</v>
      </c>
    </row>
    <row r="277" spans="1:12" s="23" customFormat="1" ht="18">
      <c r="A277" s="71"/>
      <c r="B277" s="71"/>
      <c r="C277" s="35"/>
      <c r="D277" s="35"/>
      <c r="G277" s="58"/>
      <c r="H277" s="23" t="str">
        <f>[3]!EQS(F276,"Units= ; EqnPrefix=Valem  ; EqnNo= 0; Multiplication= 1; ShowWorking= 1; EqnStyle= 2; Eqp$G$39_$G$40_1")</f>
        <v/>
      </c>
      <c r="I277" s="30" t="s">
        <v>657</v>
      </c>
    </row>
    <row r="278" spans="1:12" s="23" customFormat="1" ht="18">
      <c r="A278" s="71"/>
      <c r="B278" s="71"/>
      <c r="C278" s="57" t="s">
        <v>158</v>
      </c>
      <c r="D278" s="35"/>
      <c r="G278" s="58"/>
    </row>
    <row r="279" spans="1:12" s="23" customFormat="1" ht="19.5">
      <c r="A279" s="71"/>
      <c r="B279" s="71"/>
      <c r="C279" s="35"/>
      <c r="D279" s="35"/>
      <c r="E279" s="114" t="s">
        <v>153</v>
      </c>
      <c r="F279" s="46">
        <f>F258*F261*F264*F269*F246*F245*F274</f>
        <v>48.13176952682398</v>
      </c>
      <c r="G279" s="62" t="s">
        <v>154</v>
      </c>
      <c r="H279" s="31" t="str">
        <f>[3]!EQS(F279,"Units= ; EqnPrefix=Valem  ; EqnNo= 0; Multiplication= 1; ShowWorking= 0; EqnStyle= 2; Eqp$G$39_0")</f>
        <v/>
      </c>
      <c r="I279" s="30" t="s">
        <v>630</v>
      </c>
    </row>
    <row r="280" spans="1:12" s="23" customFormat="1" ht="18">
      <c r="A280" s="71"/>
      <c r="B280" s="71"/>
      <c r="C280" s="35"/>
      <c r="D280" s="35"/>
      <c r="G280" s="58"/>
      <c r="H280" s="23" t="str">
        <f>[3]!EQS(F279,"Units= ; EqnPrefix=Valem  ; EqnNo= 0; Multiplication= 1; ShowWorking= 1; EqnStyle= 2; Eqp$G$39_$G$40_1")</f>
        <v/>
      </c>
      <c r="I280" s="30" t="s">
        <v>658</v>
      </c>
    </row>
    <row r="281" spans="1:12" s="23" customFormat="1" ht="18">
      <c r="A281" s="71"/>
      <c r="B281" s="73" t="s">
        <v>159</v>
      </c>
      <c r="C281" s="36"/>
      <c r="D281" s="36"/>
      <c r="E281" s="29"/>
      <c r="F281" s="29"/>
      <c r="G281" s="60"/>
      <c r="H281" s="29"/>
      <c r="I281" s="29"/>
      <c r="J281" s="29"/>
      <c r="K281" s="29"/>
      <c r="L281" s="29"/>
    </row>
    <row r="282" spans="1:12" s="23" customFormat="1" ht="18" outlineLevel="1">
      <c r="A282" s="71"/>
      <c r="B282" s="71"/>
      <c r="C282" s="57" t="s">
        <v>160</v>
      </c>
      <c r="D282" s="35"/>
      <c r="E282" s="24"/>
      <c r="G282" s="58"/>
    </row>
    <row r="283" spans="1:12" s="23" customFormat="1" ht="18" outlineLevel="1">
      <c r="A283" s="71"/>
      <c r="B283" s="71"/>
      <c r="C283" s="35"/>
      <c r="D283" s="35"/>
      <c r="E283" s="114" t="s">
        <v>517</v>
      </c>
      <c r="F283" s="33">
        <v>41</v>
      </c>
      <c r="G283" s="59" t="s">
        <v>51</v>
      </c>
      <c r="I283" s="38" t="s">
        <v>109</v>
      </c>
    </row>
    <row r="284" spans="1:12" s="23" customFormat="1" ht="18" outlineLevel="1">
      <c r="A284" s="71"/>
      <c r="B284" s="71"/>
      <c r="C284" s="35"/>
      <c r="D284" s="35"/>
      <c r="E284" s="114" t="s">
        <v>242</v>
      </c>
      <c r="F284" s="33">
        <f>0.25+0.02</f>
        <v>0.27</v>
      </c>
      <c r="G284" s="59" t="s">
        <v>51</v>
      </c>
    </row>
    <row r="285" spans="1:12" s="23" customFormat="1" ht="18" outlineLevel="1">
      <c r="A285" s="71"/>
      <c r="B285" s="71"/>
      <c r="C285" s="35"/>
      <c r="D285" s="35"/>
      <c r="E285" s="114" t="s">
        <v>516</v>
      </c>
      <c r="F285" s="33">
        <f>0.15+0.2</f>
        <v>0.35</v>
      </c>
      <c r="G285" s="62" t="s">
        <v>51</v>
      </c>
      <c r="I285" s="54" t="s">
        <v>124</v>
      </c>
    </row>
    <row r="286" spans="1:12" s="23" customFormat="1" ht="18" outlineLevel="1">
      <c r="A286" s="71"/>
      <c r="B286" s="71"/>
      <c r="C286" s="35"/>
      <c r="D286" s="35"/>
      <c r="E286" s="114" t="s">
        <v>249</v>
      </c>
      <c r="F286" s="33">
        <v>5</v>
      </c>
      <c r="G286" s="61" t="s">
        <v>51</v>
      </c>
      <c r="I286" s="38" t="s">
        <v>94</v>
      </c>
    </row>
    <row r="287" spans="1:12" s="23" customFormat="1" ht="18" outlineLevel="1">
      <c r="A287" s="71"/>
      <c r="B287" s="71"/>
      <c r="C287" s="38" t="s">
        <v>99</v>
      </c>
      <c r="D287" s="38"/>
      <c r="E287" s="28"/>
      <c r="F287" s="27"/>
      <c r="G287" s="59"/>
      <c r="I287" s="32"/>
    </row>
    <row r="288" spans="1:12" s="23" customFormat="1" ht="19.5" outlineLevel="1">
      <c r="A288" s="71"/>
      <c r="B288" s="71"/>
      <c r="C288" s="35"/>
      <c r="D288" s="35"/>
      <c r="E288" s="114" t="s">
        <v>98</v>
      </c>
      <c r="F288" s="45">
        <f>F285*F286</f>
        <v>1.75</v>
      </c>
      <c r="G288" s="61" t="s">
        <v>81</v>
      </c>
      <c r="H288" s="31" t="str">
        <f>[3]!EQS(F288,"Units= ; EqnPrefix=Valem  ; EqnNo= 0; Multiplication= 1; ShowWorking= 1; EqnStyle=2; Eqp$G$17_0")</f>
        <v/>
      </c>
      <c r="I288" s="30" t="s">
        <v>643</v>
      </c>
    </row>
    <row r="289" spans="1:10" s="23" customFormat="1" ht="18" outlineLevel="1">
      <c r="A289" s="71"/>
      <c r="B289" s="71"/>
      <c r="C289" s="57" t="s">
        <v>165</v>
      </c>
      <c r="D289" s="35"/>
      <c r="E289" s="37"/>
      <c r="F289" s="45"/>
      <c r="G289" s="61"/>
      <c r="H289" s="31"/>
      <c r="I289" s="30"/>
    </row>
    <row r="290" spans="1:10" s="23" customFormat="1" ht="19.5" outlineLevel="1">
      <c r="A290" s="71"/>
      <c r="B290" s="71"/>
      <c r="C290" s="48"/>
      <c r="D290" s="35"/>
      <c r="E290" s="114" t="s">
        <v>125</v>
      </c>
      <c r="F290" s="45">
        <f>F286*F284</f>
        <v>1.35</v>
      </c>
      <c r="G290" s="61" t="s">
        <v>81</v>
      </c>
      <c r="H290" s="31" t="str">
        <f>[3]!EQS(F290,"Units= ; EqnPrefix=Valem  ; EqnNo= 0; Multiplication= 1; ShowWorking= 1; EqnStyle= 2; Eqp$H$137_2")</f>
        <v/>
      </c>
      <c r="I290" s="30" t="s">
        <v>642</v>
      </c>
    </row>
    <row r="291" spans="1:10" s="23" customFormat="1" ht="18" outlineLevel="1">
      <c r="A291" s="71"/>
      <c r="B291" s="71"/>
      <c r="C291" s="35" t="s">
        <v>65</v>
      </c>
      <c r="D291" s="35"/>
      <c r="F291" s="27"/>
      <c r="G291" s="59"/>
      <c r="I291" s="32"/>
    </row>
    <row r="292" spans="1:10" s="23" customFormat="1" ht="18" outlineLevel="1">
      <c r="A292" s="71"/>
      <c r="B292" s="71"/>
      <c r="C292" s="35"/>
      <c r="D292" s="35"/>
      <c r="E292" s="28"/>
      <c r="F292" s="27"/>
      <c r="G292" s="59"/>
      <c r="I292" s="32"/>
    </row>
    <row r="293" spans="1:10" s="23" customFormat="1" ht="18" outlineLevel="1">
      <c r="A293" s="71"/>
      <c r="B293" s="71"/>
      <c r="C293" s="35"/>
      <c r="D293" s="35"/>
      <c r="G293" s="58"/>
    </row>
    <row r="294" spans="1:10" s="23" customFormat="1" ht="19.5" outlineLevel="1">
      <c r="A294" s="71"/>
      <c r="B294" s="71"/>
      <c r="C294" s="35"/>
      <c r="D294" s="35"/>
      <c r="E294" s="114" t="s">
        <v>57</v>
      </c>
      <c r="F294" s="42">
        <f>F147*LN(F283/F148)*F144</f>
        <v>26.770124317630611</v>
      </c>
      <c r="G294" s="59" t="s">
        <v>43</v>
      </c>
      <c r="H294" s="31" t="str">
        <f>[3]!EQS(F294,"Units= ; EqnPrefix=Valem  ; EqnNo= 0; Multiplication= 1; ShowWorking= 0; EqnStyle= 2; Eqp$H$54_2")</f>
        <v/>
      </c>
      <c r="I294" s="40" t="s">
        <v>621</v>
      </c>
      <c r="J294" s="31"/>
    </row>
    <row r="295" spans="1:10" s="23" customFormat="1" ht="18" outlineLevel="1">
      <c r="A295" s="71"/>
      <c r="B295" s="71"/>
      <c r="C295" s="35"/>
      <c r="D295" s="35"/>
      <c r="E295" s="28"/>
      <c r="F295" s="42"/>
      <c r="G295" s="59"/>
      <c r="H295" s="31" t="str">
        <f>[3]!EQS(F294,"Units= ; EqnPrefix=Valem  ; EqnNo= 0; Multiplication= 1; ShowWorking= 1; EqnStyle= 2; Eqp$H$54_$H$55_3")</f>
        <v/>
      </c>
      <c r="I295" s="40" t="s">
        <v>161</v>
      </c>
      <c r="J295" s="31"/>
    </row>
    <row r="296" spans="1:10" s="23" customFormat="1" ht="18" outlineLevel="1">
      <c r="A296" s="71"/>
      <c r="B296" s="71"/>
      <c r="C296" s="41" t="s">
        <v>77</v>
      </c>
      <c r="D296" s="41"/>
      <c r="F296" s="42"/>
      <c r="G296" s="59"/>
      <c r="H296" s="31"/>
      <c r="I296" s="40"/>
      <c r="J296" s="31"/>
    </row>
    <row r="297" spans="1:10" s="23" customFormat="1" ht="19.5" outlineLevel="1">
      <c r="A297" s="71"/>
      <c r="B297" s="71"/>
      <c r="C297" s="35"/>
      <c r="D297" s="35"/>
      <c r="E297" s="114" t="s">
        <v>75</v>
      </c>
      <c r="F297" s="42">
        <f>1/2*F146*F294^2</f>
        <v>438.94172803860613</v>
      </c>
      <c r="G297" s="61" t="s">
        <v>76</v>
      </c>
      <c r="H297" s="31" t="str">
        <f>[3]!EQS(F297,"Units= ; EqnPrefix=Valem  ; EqnNo= 0; Multiplication= 1; ShowWorking= 0; EqnStyle= 2; Eqp$G$21_0")</f>
        <v/>
      </c>
      <c r="I297" s="40" t="s">
        <v>616</v>
      </c>
      <c r="J297" s="31"/>
    </row>
    <row r="298" spans="1:10" s="23" customFormat="1" ht="18" outlineLevel="1">
      <c r="A298" s="71"/>
      <c r="B298" s="71"/>
      <c r="C298" s="35"/>
      <c r="D298" s="35"/>
      <c r="E298" s="37"/>
      <c r="F298" s="42"/>
      <c r="G298" s="61"/>
      <c r="H298" s="31" t="str">
        <f>[3]!EQS(F297,"Units= ; EqnPrefix=Valem  ; EqnNo= 0; Multiplication= 1; ShowWorking= 1; EqnStyle= 2; Eqp$G$21_$G$25_1")</f>
        <v/>
      </c>
      <c r="I298" s="40" t="s">
        <v>644</v>
      </c>
      <c r="J298" s="31"/>
    </row>
    <row r="299" spans="1:10" s="23" customFormat="1" ht="18" outlineLevel="1">
      <c r="A299" s="71"/>
      <c r="B299" s="71"/>
      <c r="C299" s="35" t="s">
        <v>79</v>
      </c>
      <c r="D299" s="35"/>
      <c r="E299" s="37"/>
      <c r="F299" s="42"/>
      <c r="G299" s="61"/>
      <c r="I299" s="40"/>
      <c r="J299" s="31"/>
    </row>
    <row r="300" spans="1:10" s="23" customFormat="1" ht="19.5" outlineLevel="1">
      <c r="A300" s="71"/>
      <c r="B300" s="71"/>
      <c r="C300" s="35"/>
      <c r="D300" s="35"/>
      <c r="E300" s="114" t="s">
        <v>80</v>
      </c>
      <c r="F300" s="42">
        <f>(1+2.28/LN(F283/F148))^2</f>
        <v>1.7951352851913878</v>
      </c>
      <c r="G300" s="61"/>
      <c r="H300" s="31" t="str">
        <f>[3]!EQS(F300,"Units= ; EqnPrefix=Valem  ; EqnNo= 0; Multiplication= 1; ShowWorking= 0; EqnStyle= 2; Eqp$G$24_0")</f>
        <v/>
      </c>
      <c r="I300" s="40" t="s">
        <v>623</v>
      </c>
      <c r="J300" s="31"/>
    </row>
    <row r="301" spans="1:10" s="23" customFormat="1" ht="18" outlineLevel="1">
      <c r="A301" s="71"/>
      <c r="B301" s="71"/>
      <c r="C301" s="35"/>
      <c r="D301" s="35"/>
      <c r="E301" s="37"/>
      <c r="F301" s="42"/>
      <c r="G301" s="61"/>
      <c r="H301" s="31" t="str">
        <f>[3]!EQS(F300,"Units= ; EqnPrefix=Valem  ; EqnNo= 0; Multiplication= 1; ShowWorking= 1; EqnStyle= 2; Eqp$G$24_$G$28_1")</f>
        <v/>
      </c>
      <c r="I301" s="40" t="s">
        <v>645</v>
      </c>
      <c r="J301" s="31"/>
    </row>
    <row r="302" spans="1:10" s="23" customFormat="1" ht="18" outlineLevel="1">
      <c r="A302" s="71"/>
      <c r="B302" s="71"/>
      <c r="C302" s="23" t="s">
        <v>50</v>
      </c>
      <c r="E302" s="37"/>
      <c r="F302" s="42"/>
      <c r="G302" s="61"/>
      <c r="J302" s="31"/>
    </row>
    <row r="303" spans="1:10" s="23" customFormat="1" ht="19.5" outlineLevel="1">
      <c r="A303" s="71"/>
      <c r="B303" s="71"/>
      <c r="C303" s="35"/>
      <c r="D303" s="35"/>
      <c r="E303" s="28" t="s">
        <v>52</v>
      </c>
      <c r="F303" s="23">
        <v>1.1499999999999999</v>
      </c>
      <c r="G303" s="58"/>
      <c r="J303" s="31"/>
    </row>
    <row r="304" spans="1:10" s="23" customFormat="1" ht="18" outlineLevel="1">
      <c r="A304" s="71"/>
      <c r="B304" s="71"/>
      <c r="C304" s="57" t="s">
        <v>145</v>
      </c>
      <c r="D304" s="35"/>
      <c r="E304" s="31"/>
      <c r="F304" s="50"/>
      <c r="G304" s="58"/>
      <c r="H304" s="31"/>
      <c r="I304" s="40"/>
      <c r="J304" s="31"/>
    </row>
    <row r="305" spans="1:13" s="23" customFormat="1" ht="19.5" outlineLevel="1">
      <c r="A305" s="71"/>
      <c r="B305" s="71"/>
      <c r="C305" s="35"/>
      <c r="D305" s="35"/>
      <c r="E305" s="131" t="s">
        <v>170</v>
      </c>
      <c r="F305" s="134">
        <v>1.5</v>
      </c>
      <c r="G305" s="58"/>
      <c r="H305" s="31"/>
      <c r="I305" s="131" t="s">
        <v>640</v>
      </c>
      <c r="J305" s="23">
        <v>1.5</v>
      </c>
      <c r="K305" s="23">
        <v>1.53</v>
      </c>
      <c r="L305" s="23">
        <v>1.75</v>
      </c>
      <c r="M305" s="129" t="s">
        <v>639</v>
      </c>
    </row>
    <row r="306" spans="1:13" s="23" customFormat="1" ht="19.5" outlineLevel="1">
      <c r="A306" s="71"/>
      <c r="B306" s="71"/>
      <c r="C306" s="35"/>
      <c r="D306" s="35"/>
      <c r="E306" s="31"/>
      <c r="F306" s="50"/>
      <c r="G306" s="58"/>
      <c r="H306" s="31"/>
      <c r="I306" s="131" t="s">
        <v>641</v>
      </c>
      <c r="J306" s="23">
        <v>1.48</v>
      </c>
      <c r="K306" s="46">
        <f>(K305-J305)/(L305-J305)*(L306-J306)+J306</f>
        <v>1.504</v>
      </c>
      <c r="L306" s="23">
        <v>1.68</v>
      </c>
    </row>
    <row r="307" spans="1:13" s="23" customFormat="1" ht="18" outlineLevel="1">
      <c r="A307" s="71"/>
      <c r="B307" s="71"/>
      <c r="C307" s="57" t="s">
        <v>146</v>
      </c>
      <c r="D307" s="35"/>
      <c r="E307" s="31"/>
      <c r="F307" s="50"/>
      <c r="G307" s="58"/>
      <c r="H307" s="31"/>
      <c r="J307" s="40"/>
      <c r="K307" s="31"/>
    </row>
    <row r="308" spans="1:13" s="23" customFormat="1" ht="19.5" outlineLevel="1">
      <c r="A308" s="71"/>
      <c r="B308" s="71"/>
      <c r="C308" s="57"/>
      <c r="D308" s="35"/>
      <c r="E308" s="131" t="s">
        <v>171</v>
      </c>
      <c r="F308" s="134">
        <v>1.5</v>
      </c>
      <c r="G308" s="58"/>
      <c r="H308" s="31"/>
      <c r="I308" s="131" t="s">
        <v>640</v>
      </c>
      <c r="J308" s="23">
        <v>1.75</v>
      </c>
      <c r="K308" s="23">
        <v>1.53</v>
      </c>
      <c r="L308" s="23">
        <v>2</v>
      </c>
      <c r="M308" s="129" t="s">
        <v>639</v>
      </c>
    </row>
    <row r="309" spans="1:13" s="23" customFormat="1" ht="19.5" outlineLevel="1">
      <c r="A309" s="71"/>
      <c r="B309" s="71"/>
      <c r="C309" s="35"/>
      <c r="D309" s="35"/>
      <c r="E309" s="31"/>
      <c r="F309" s="50"/>
      <c r="G309" s="58"/>
      <c r="H309" s="31"/>
      <c r="I309" s="131" t="s">
        <v>641</v>
      </c>
      <c r="J309" s="23">
        <v>1.68</v>
      </c>
      <c r="K309" s="46">
        <f>(K308-J308)/(L308-J308)*(L309-J309)+J309</f>
        <v>1.504</v>
      </c>
      <c r="L309" s="23">
        <v>1.88</v>
      </c>
    </row>
    <row r="310" spans="1:13" s="23" customFormat="1" ht="18" outlineLevel="1">
      <c r="A310" s="71"/>
      <c r="B310" s="71"/>
      <c r="C310" s="57" t="s">
        <v>134</v>
      </c>
      <c r="D310" s="35"/>
      <c r="E310" s="31"/>
      <c r="F310" s="31"/>
      <c r="G310" s="58"/>
      <c r="H310" s="31"/>
      <c r="I310" s="40"/>
      <c r="J310" s="31"/>
    </row>
    <row r="311" spans="1:13" s="23" customFormat="1" ht="19.5" outlineLevel="1">
      <c r="A311" s="71"/>
      <c r="B311" s="71"/>
      <c r="C311" s="35"/>
      <c r="D311" s="35"/>
      <c r="E311" s="132" t="s">
        <v>155</v>
      </c>
      <c r="F311" s="125">
        <f>COS(RADIANS(45))^2</f>
        <v>0.50000000000000011</v>
      </c>
      <c r="G311" s="58"/>
      <c r="H311" s="31" t="str">
        <f>[3]!EQS(F311,"Units= ; EqnPrefix=Valem  ; EqnNo= 0; Multiplication= 1; ShowWorking= 0; EqnStyle= 2; Eqp$H$75_2")</f>
        <v/>
      </c>
      <c r="I311" s="40" t="s">
        <v>654</v>
      </c>
      <c r="J311" s="31"/>
    </row>
    <row r="312" spans="1:13" s="23" customFormat="1" ht="18" outlineLevel="1">
      <c r="A312" s="71"/>
      <c r="B312" s="71"/>
      <c r="C312" s="57" t="s">
        <v>151</v>
      </c>
      <c r="D312" s="35"/>
      <c r="E312" s="55"/>
      <c r="F312" s="53"/>
      <c r="G312" s="58"/>
      <c r="H312" s="31"/>
      <c r="I312" s="40"/>
      <c r="J312" s="31"/>
    </row>
    <row r="313" spans="1:13" s="23" customFormat="1" ht="19.5" outlineLevel="1">
      <c r="A313" s="71"/>
      <c r="B313" s="71"/>
      <c r="C313" s="35"/>
      <c r="D313" s="35"/>
      <c r="E313" s="132" t="s">
        <v>156</v>
      </c>
      <c r="F313" s="125">
        <f>COS(RADIANS(45))^2</f>
        <v>0.50000000000000011</v>
      </c>
      <c r="G313" s="58"/>
      <c r="H313" s="31" t="str">
        <f>[3]!EQS(F313,"Units= ; EqnPrefix=Valem  ; EqnNo= 0; Multiplication= 1; ShowWorking= 0; EqnStyle= 2; Eqp$H$75_2")</f>
        <v/>
      </c>
      <c r="I313" s="40" t="s">
        <v>654</v>
      </c>
      <c r="J313" s="31"/>
    </row>
    <row r="314" spans="1:13" s="23" customFormat="1" ht="18">
      <c r="A314" s="71"/>
      <c r="B314" s="71"/>
      <c r="C314" s="57" t="s">
        <v>173</v>
      </c>
      <c r="D314" s="35"/>
      <c r="G314" s="58"/>
    </row>
    <row r="315" spans="1:13" s="23" customFormat="1" ht="19.5">
      <c r="A315" s="71"/>
      <c r="B315" s="71"/>
      <c r="C315" s="35"/>
      <c r="D315" s="35"/>
      <c r="E315" s="114" t="s">
        <v>152</v>
      </c>
      <c r="F315" s="46">
        <f>F297*F300*F303*F305*F285*F311</f>
        <v>237.86535983876701</v>
      </c>
      <c r="G315" s="61" t="s">
        <v>86</v>
      </c>
      <c r="H315" s="31" t="str">
        <f>[3]!EQS(F315,"Units= ; EqnPrefix=Valem  ; EqnNo= 0; Multiplication= 1; ShowWorking= 0; EqnStyle= 2; Eqp$G$39_0")</f>
        <v/>
      </c>
      <c r="I315" s="30" t="s">
        <v>631</v>
      </c>
    </row>
    <row r="316" spans="1:13" s="23" customFormat="1" ht="18">
      <c r="A316" s="71"/>
      <c r="B316" s="71"/>
      <c r="C316" s="35"/>
      <c r="D316" s="35"/>
      <c r="G316" s="58"/>
      <c r="H316" s="23" t="str">
        <f>[3]!EQS(F315,"Units= ; EqnPrefix=Valem  ; EqnNo= 0; Multiplication= 1; ShowWorking= 1; EqnStyle= 2; Eqp$G$39_$G$40_1")</f>
        <v/>
      </c>
      <c r="I316" s="30" t="s">
        <v>659</v>
      </c>
    </row>
    <row r="317" spans="1:13" s="23" customFormat="1" ht="18">
      <c r="A317" s="71"/>
      <c r="B317" s="71"/>
      <c r="C317" s="57" t="s">
        <v>174</v>
      </c>
      <c r="D317" s="35"/>
      <c r="G317" s="58"/>
    </row>
    <row r="318" spans="1:13" s="23" customFormat="1" ht="19.5">
      <c r="A318" s="71"/>
      <c r="B318" s="71"/>
      <c r="C318" s="35"/>
      <c r="D318" s="35"/>
      <c r="E318" s="114" t="s">
        <v>153</v>
      </c>
      <c r="F318" s="46">
        <f>F297*F300*F303*F308*F284*F313</f>
        <v>183.49613473276312</v>
      </c>
      <c r="G318" s="62" t="s">
        <v>86</v>
      </c>
      <c r="H318" s="31" t="str">
        <f>[3]!EQS(F318,"Units= ; EqnPrefix=Valem  ; EqnNo= 0; Multiplication= 1; ShowWorking= 0; EqnStyle= 2; Eqp$G$39_0")</f>
        <v/>
      </c>
      <c r="I318" s="30" t="s">
        <v>632</v>
      </c>
    </row>
    <row r="319" spans="1:13" s="23" customFormat="1" ht="18">
      <c r="A319" s="71"/>
      <c r="B319" s="71"/>
      <c r="C319" s="35"/>
      <c r="D319" s="35"/>
      <c r="G319" s="58"/>
      <c r="H319" s="23" t="str">
        <f>[3]!EQS(F318,"Units= ; EqnPrefix=Valem  ; EqnNo= 0; Multiplication= 1; ShowWorking= 1; EqnStyle= 2; Eqp$G$39_$G$40_1")</f>
        <v/>
      </c>
      <c r="I319" s="30" t="s">
        <v>660</v>
      </c>
    </row>
    <row r="321" spans="1:10" s="23" customFormat="1" ht="20.25">
      <c r="A321" s="123"/>
      <c r="B321" s="71" t="s">
        <v>682</v>
      </c>
      <c r="C321" s="35"/>
      <c r="D321" s="35"/>
      <c r="E321" s="66"/>
      <c r="F321" s="70"/>
      <c r="G321" s="67"/>
      <c r="H321" s="31"/>
      <c r="I321" s="30"/>
    </row>
    <row r="322" spans="1:10" s="23" customFormat="1" ht="20.25">
      <c r="A322" s="123"/>
      <c r="B322" s="71"/>
      <c r="C322" s="36" t="s">
        <v>412</v>
      </c>
      <c r="D322" s="35"/>
      <c r="E322" s="66"/>
      <c r="F322" s="70"/>
      <c r="G322" s="67"/>
      <c r="H322" s="31"/>
      <c r="I322" s="30"/>
    </row>
    <row r="323" spans="1:10" s="23" customFormat="1" ht="20.25">
      <c r="A323" s="123"/>
      <c r="B323" s="71"/>
      <c r="C323" s="94"/>
      <c r="D323" s="94" t="s">
        <v>419</v>
      </c>
      <c r="E323" s="66"/>
      <c r="F323" s="70"/>
      <c r="G323" s="67"/>
      <c r="H323" s="31"/>
      <c r="I323" s="30"/>
    </row>
    <row r="324" spans="1:10" s="23" customFormat="1" ht="21">
      <c r="A324" s="123"/>
      <c r="B324" s="71"/>
      <c r="C324" s="94"/>
      <c r="D324" s="35"/>
      <c r="E324" s="135" t="s">
        <v>420</v>
      </c>
      <c r="F324" s="117">
        <f>Jäitekoormus!F76</f>
        <v>11.428248816311019</v>
      </c>
      <c r="G324" s="97" t="s">
        <v>86</v>
      </c>
      <c r="H324" s="31"/>
      <c r="J324" s="95" t="s">
        <v>423</v>
      </c>
    </row>
    <row r="325" spans="1:10" s="23" customFormat="1" ht="20.25">
      <c r="A325" s="123"/>
      <c r="B325" s="71"/>
      <c r="C325" s="94"/>
      <c r="D325" s="35"/>
      <c r="E325" s="135" t="s">
        <v>407</v>
      </c>
      <c r="F325" s="118">
        <f>Jäitekoormus!F71</f>
        <v>2.01E-2</v>
      </c>
      <c r="G325" s="97" t="s">
        <v>51</v>
      </c>
      <c r="H325" s="31"/>
      <c r="J325" s="95" t="s">
        <v>408</v>
      </c>
    </row>
    <row r="326" spans="1:10" s="23" customFormat="1" ht="20.25">
      <c r="A326" s="123"/>
      <c r="B326" s="71"/>
      <c r="C326" s="94"/>
      <c r="D326" s="35"/>
      <c r="E326" s="135" t="s">
        <v>371</v>
      </c>
      <c r="F326" s="70">
        <v>9.81</v>
      </c>
      <c r="G326" s="97" t="s">
        <v>372</v>
      </c>
      <c r="H326" s="31"/>
      <c r="J326" s="95" t="s">
        <v>373</v>
      </c>
    </row>
    <row r="327" spans="1:10" s="23" customFormat="1" ht="20.25">
      <c r="A327" s="123"/>
      <c r="B327" s="71"/>
      <c r="C327" s="94"/>
      <c r="D327" s="35"/>
      <c r="E327" s="135" t="s">
        <v>411</v>
      </c>
      <c r="F327" s="23">
        <v>3.1415999999999999</v>
      </c>
      <c r="G327" s="58"/>
    </row>
    <row r="328" spans="1:10" s="23" customFormat="1" ht="21">
      <c r="A328" s="123"/>
      <c r="B328" s="71"/>
      <c r="C328" s="94"/>
      <c r="D328" s="35"/>
      <c r="E328" s="135" t="s">
        <v>409</v>
      </c>
      <c r="F328" s="70">
        <v>900</v>
      </c>
      <c r="G328" s="97" t="s">
        <v>369</v>
      </c>
      <c r="H328" s="31"/>
      <c r="I328" s="30"/>
      <c r="J328" s="95" t="s">
        <v>370</v>
      </c>
    </row>
    <row r="329" spans="1:10" s="23" customFormat="1" ht="20.25">
      <c r="A329" s="123"/>
      <c r="B329" s="71"/>
      <c r="C329" s="94"/>
      <c r="D329" s="35"/>
      <c r="E329" s="96" t="s">
        <v>427</v>
      </c>
      <c r="F329" s="117">
        <f>'TUULEKOORMUS 2'!F240*'TUULEKOORMUS 2'!F243*'TUULEKOORMUS 2'!F246*1.2</f>
        <v>1056.148542760023</v>
      </c>
      <c r="G329" s="97" t="s">
        <v>76</v>
      </c>
      <c r="H329" s="31"/>
      <c r="I329" s="30"/>
      <c r="J329" s="95" t="s">
        <v>426</v>
      </c>
    </row>
    <row r="330" spans="1:10" s="23" customFormat="1" ht="20.25">
      <c r="A330" s="123"/>
      <c r="B330" s="71"/>
      <c r="C330" s="94"/>
      <c r="D330" s="35"/>
      <c r="E330" s="135" t="s">
        <v>672</v>
      </c>
      <c r="F330" s="119">
        <v>1</v>
      </c>
      <c r="G330" s="97"/>
      <c r="H330" s="31"/>
      <c r="I330" s="30"/>
      <c r="J330" s="120" t="s">
        <v>585</v>
      </c>
    </row>
    <row r="331" spans="1:10" s="23" customFormat="1" ht="20.25">
      <c r="A331" s="123"/>
      <c r="B331" s="71"/>
      <c r="C331" s="94"/>
      <c r="D331" s="35"/>
      <c r="E331" s="66"/>
      <c r="G331" s="67"/>
      <c r="H331" s="31"/>
      <c r="I331" s="30"/>
    </row>
    <row r="332" spans="1:10" s="23" customFormat="1" ht="20.25">
      <c r="A332" s="123"/>
      <c r="B332" s="71"/>
      <c r="C332" s="35"/>
      <c r="D332" s="36" t="s">
        <v>413</v>
      </c>
      <c r="E332" s="66"/>
      <c r="F332" s="70"/>
      <c r="G332" s="67"/>
      <c r="H332" s="31"/>
      <c r="I332" s="30"/>
    </row>
    <row r="333" spans="1:10" s="23" customFormat="1" ht="21">
      <c r="A333" s="123"/>
      <c r="B333" s="71"/>
      <c r="C333" s="35"/>
      <c r="D333" s="94"/>
      <c r="E333" s="135" t="s">
        <v>422</v>
      </c>
      <c r="F333" s="70">
        <f>1.5</f>
        <v>1.5</v>
      </c>
      <c r="G333" s="67"/>
      <c r="H333" s="31"/>
      <c r="I333" s="30"/>
    </row>
    <row r="334" spans="1:10" s="23" customFormat="1" ht="21">
      <c r="A334" s="123"/>
      <c r="B334" s="71"/>
      <c r="C334" s="35"/>
      <c r="D334" s="35"/>
      <c r="E334" s="135" t="s">
        <v>415</v>
      </c>
      <c r="F334" s="70">
        <f>F333*F324</f>
        <v>17.142373224466528</v>
      </c>
      <c r="G334" s="97" t="s">
        <v>86</v>
      </c>
      <c r="H334" s="31"/>
      <c r="I334" s="30"/>
    </row>
    <row r="335" spans="1:10" s="23" customFormat="1" ht="20.25">
      <c r="A335" s="123"/>
      <c r="B335" s="71"/>
      <c r="C335" s="35"/>
      <c r="D335" s="95" t="s">
        <v>424</v>
      </c>
      <c r="E335" s="96"/>
      <c r="F335" s="70"/>
      <c r="G335" s="97"/>
      <c r="H335" s="31"/>
      <c r="I335" s="30"/>
    </row>
    <row r="336" spans="1:10" s="23" customFormat="1" ht="21">
      <c r="A336" s="123"/>
      <c r="B336" s="71"/>
      <c r="C336" s="35"/>
      <c r="D336" s="35"/>
      <c r="E336" s="135" t="s">
        <v>418</v>
      </c>
      <c r="F336" s="90">
        <f>SQRT(F325^2+((4*F334)/(F326*F327*F328)))</f>
        <v>5.3629508846544494E-2</v>
      </c>
      <c r="G336" s="97" t="s">
        <v>51</v>
      </c>
      <c r="H336" s="31" t="str">
        <f>[3]!EQS(F336,"Units= ; EqnPrefix=Valem  ; EqnNo= 0; Multiplication= 1; ShowWorking= 0; EqnStyle= 2; Eqp$H$303_2")</f>
        <v/>
      </c>
      <c r="I336" s="30" t="s">
        <v>669</v>
      </c>
    </row>
    <row r="337" spans="1:10" s="23" customFormat="1" ht="20.25">
      <c r="A337" s="123"/>
      <c r="B337" s="71"/>
      <c r="C337" s="35"/>
      <c r="D337" s="95" t="s">
        <v>425</v>
      </c>
      <c r="E337" s="96"/>
      <c r="F337" s="90"/>
      <c r="G337" s="97"/>
      <c r="H337" s="31"/>
      <c r="I337" s="30"/>
    </row>
    <row r="338" spans="1:10" s="23" customFormat="1" ht="21">
      <c r="A338" s="123"/>
      <c r="B338" s="71"/>
      <c r="C338" s="35"/>
      <c r="D338" s="35"/>
      <c r="E338" s="135" t="s">
        <v>433</v>
      </c>
      <c r="F338" s="70">
        <f>F329*F336</f>
        <v>56.640727617213727</v>
      </c>
      <c r="G338" s="97" t="s">
        <v>86</v>
      </c>
      <c r="H338" s="31" t="str">
        <f>[3]!EQS(F338,"Units= ; EqnPrefix=Valem  ; EqnNo= 0; Multiplication= 1; ShowWorking= 0; EqnStyle= 2; Eqp$H$303_2")</f>
        <v/>
      </c>
      <c r="I338" s="30" t="s">
        <v>670</v>
      </c>
    </row>
    <row r="339" spans="1:10" s="23" customFormat="1" ht="20.25">
      <c r="A339" s="123"/>
      <c r="B339" s="71"/>
      <c r="C339" s="35"/>
      <c r="D339" s="95" t="s">
        <v>430</v>
      </c>
      <c r="F339" s="70"/>
      <c r="G339" s="97"/>
      <c r="H339" s="31"/>
      <c r="I339" s="30"/>
    </row>
    <row r="340" spans="1:10" s="23" customFormat="1" ht="21">
      <c r="A340" s="123"/>
      <c r="B340" s="71"/>
      <c r="C340" s="35"/>
      <c r="D340" s="35"/>
      <c r="E340" s="135" t="s">
        <v>434</v>
      </c>
      <c r="F340" s="70">
        <f>F338*F330</f>
        <v>56.640727617213727</v>
      </c>
      <c r="G340" s="97" t="s">
        <v>86</v>
      </c>
      <c r="H340" s="31" t="str">
        <f>[3]!EQS(F340,"Units= ; EqnPrefix=Valem  ; EqnNo= 0; Multiplication= 1; ShowWorking= 0; EqnStyle= 2; Eqp$H$303_2")</f>
        <v/>
      </c>
      <c r="I340" s="98" t="s">
        <v>673</v>
      </c>
    </row>
    <row r="341" spans="1:10" s="23" customFormat="1" ht="21">
      <c r="A341" s="123"/>
      <c r="B341" s="71"/>
      <c r="C341" s="35"/>
      <c r="D341" s="35"/>
      <c r="E341" s="135" t="s">
        <v>678</v>
      </c>
      <c r="F341" s="117">
        <f>'TUULEKOORMUS 2'!F255</f>
        <v>1</v>
      </c>
      <c r="G341" s="67"/>
      <c r="H341" s="31"/>
      <c r="I341" s="95"/>
      <c r="J341" s="136" t="s">
        <v>674</v>
      </c>
    </row>
    <row r="342" spans="1:10" s="23" customFormat="1" ht="21">
      <c r="A342" s="123"/>
      <c r="B342" s="71"/>
      <c r="C342" s="36"/>
      <c r="D342" s="36"/>
      <c r="E342" s="102" t="s">
        <v>681</v>
      </c>
      <c r="F342" s="46">
        <f>F340*F341</f>
        <v>56.640727617213727</v>
      </c>
      <c r="G342" s="67"/>
      <c r="H342" s="31"/>
      <c r="I342" s="95"/>
      <c r="J342" s="136" t="s">
        <v>675</v>
      </c>
    </row>
    <row r="343" spans="1:10" s="23" customFormat="1" ht="21">
      <c r="A343" s="123"/>
      <c r="B343" s="71"/>
      <c r="C343" s="35"/>
      <c r="D343" s="35"/>
      <c r="E343" s="135" t="s">
        <v>679</v>
      </c>
      <c r="F343" s="117">
        <f>'TUULEKOORMUS 2'!F257</f>
        <v>3.7524718414124473E-33</v>
      </c>
      <c r="G343" s="67"/>
      <c r="H343" s="31"/>
      <c r="I343" s="95"/>
      <c r="J343" s="136" t="s">
        <v>676</v>
      </c>
    </row>
    <row r="344" spans="1:10" s="23" customFormat="1" ht="21">
      <c r="A344" s="123"/>
      <c r="B344" s="71"/>
      <c r="C344" s="35"/>
      <c r="D344" s="35"/>
      <c r="E344" s="102" t="s">
        <v>680</v>
      </c>
      <c r="F344" s="46">
        <f>F343*F340</f>
        <v>2.1254273546070686E-31</v>
      </c>
      <c r="G344" s="67"/>
      <c r="H344" s="31"/>
      <c r="I344" s="95"/>
      <c r="J344" s="136" t="s">
        <v>677</v>
      </c>
    </row>
    <row r="345" spans="1:10" s="23" customFormat="1" ht="20.25">
      <c r="A345" s="123"/>
      <c r="B345" s="71"/>
      <c r="C345" s="35"/>
      <c r="D345" s="35"/>
      <c r="E345" s="96"/>
      <c r="F345" s="70"/>
      <c r="G345" s="67"/>
      <c r="H345" s="31"/>
      <c r="I345" s="95"/>
    </row>
    <row r="346" spans="1:10" s="23" customFormat="1" ht="20.25">
      <c r="A346" s="123"/>
      <c r="B346" s="71"/>
      <c r="C346" s="35"/>
      <c r="D346" s="35"/>
      <c r="E346" s="66"/>
      <c r="F346" s="70"/>
      <c r="G346" s="67"/>
      <c r="H346" s="31"/>
      <c r="I346" s="30"/>
    </row>
    <row r="347" spans="1:10" s="23" customFormat="1" ht="20.25">
      <c r="A347" s="123"/>
      <c r="B347" s="71"/>
      <c r="C347" s="35"/>
      <c r="D347" s="36" t="s">
        <v>414</v>
      </c>
      <c r="E347" s="66"/>
      <c r="F347" s="70"/>
      <c r="G347" s="67"/>
      <c r="H347" s="31"/>
      <c r="I347" s="30"/>
    </row>
    <row r="348" spans="1:10" s="23" customFormat="1" ht="21">
      <c r="A348" s="123"/>
      <c r="B348" s="71"/>
      <c r="C348" s="35"/>
      <c r="D348" s="94"/>
      <c r="E348" s="135" t="s">
        <v>421</v>
      </c>
      <c r="F348" s="70">
        <v>0.35</v>
      </c>
      <c r="G348" s="67"/>
      <c r="H348" s="31"/>
      <c r="I348" s="30"/>
    </row>
    <row r="349" spans="1:10" s="23" customFormat="1" ht="21">
      <c r="A349" s="123"/>
      <c r="B349" s="71"/>
      <c r="C349" s="35"/>
      <c r="D349" s="94"/>
      <c r="E349" s="135" t="s">
        <v>416</v>
      </c>
      <c r="F349" s="70">
        <f>F348*F324</f>
        <v>3.9998870857088562</v>
      </c>
      <c r="G349" s="97" t="s">
        <v>86</v>
      </c>
      <c r="H349" s="31"/>
      <c r="I349" s="30"/>
    </row>
    <row r="350" spans="1:10" s="23" customFormat="1" ht="21">
      <c r="A350" s="123"/>
      <c r="B350" s="71"/>
      <c r="C350" s="35"/>
      <c r="D350" s="94"/>
      <c r="E350" s="135" t="s">
        <v>417</v>
      </c>
      <c r="F350" s="90">
        <f>SQRT(F325^2+(4*F349)/(F326*F327*F328))</f>
        <v>3.1318311754121933E-2</v>
      </c>
      <c r="G350" s="97" t="s">
        <v>51</v>
      </c>
      <c r="H350" s="31"/>
      <c r="I350" s="30"/>
    </row>
    <row r="351" spans="1:10" s="23" customFormat="1" ht="20.25">
      <c r="A351" s="123"/>
      <c r="B351" s="71"/>
      <c r="C351" s="35"/>
      <c r="D351" s="95" t="s">
        <v>425</v>
      </c>
      <c r="E351" s="96"/>
      <c r="F351" s="90"/>
      <c r="G351" s="97"/>
      <c r="H351" s="31"/>
      <c r="I351" s="30"/>
    </row>
    <row r="352" spans="1:10" s="23" customFormat="1" ht="21">
      <c r="A352" s="123"/>
      <c r="B352" s="71"/>
      <c r="C352" s="35"/>
      <c r="D352" s="35"/>
      <c r="E352" s="135" t="s">
        <v>433</v>
      </c>
      <c r="F352" s="70">
        <f>F329*F350</f>
        <v>33.076789320819977</v>
      </c>
      <c r="G352" s="97" t="s">
        <v>86</v>
      </c>
      <c r="H352" s="31" t="str">
        <f>[3]!EQS(F352,"Units= ; EqnPrefix=Valem  ; EqnNo= 0; Multiplication= 1; ShowWorking= 0; EqnStyle= 2; Eqp$H$303_2")</f>
        <v/>
      </c>
      <c r="I352" s="30" t="s">
        <v>671</v>
      </c>
    </row>
    <row r="353" spans="1:10" s="23" customFormat="1" ht="20.25">
      <c r="A353" s="123"/>
      <c r="B353" s="71"/>
      <c r="C353" s="35"/>
      <c r="D353" s="95" t="s">
        <v>430</v>
      </c>
      <c r="F353" s="70"/>
      <c r="G353" s="97"/>
      <c r="H353" s="31"/>
      <c r="I353" s="30"/>
    </row>
    <row r="354" spans="1:10" s="23" customFormat="1" ht="21">
      <c r="A354" s="123"/>
      <c r="B354" s="71"/>
      <c r="C354" s="35"/>
      <c r="D354" s="35"/>
      <c r="E354" s="135" t="s">
        <v>434</v>
      </c>
      <c r="F354" s="70">
        <f>F352*F330</f>
        <v>33.076789320819977</v>
      </c>
      <c r="G354" s="97" t="s">
        <v>86</v>
      </c>
      <c r="H354" s="31" t="str">
        <f>[3]!EQS(F354,"Units= ; EqnPrefix=Valem  ; EqnNo= 0; Multiplication= 1; ShowWorking= 0; EqnStyle= 2; Eqp$H$303_2")</f>
        <v/>
      </c>
      <c r="I354" s="98" t="s">
        <v>673</v>
      </c>
    </row>
    <row r="355" spans="1:10" s="23" customFormat="1" ht="21">
      <c r="A355" s="123"/>
      <c r="B355" s="71"/>
      <c r="C355" s="35"/>
      <c r="D355" s="35"/>
      <c r="E355" s="135" t="s">
        <v>678</v>
      </c>
      <c r="F355" s="117">
        <f>'TUULEKOORMUS 2'!F255</f>
        <v>1</v>
      </c>
      <c r="G355" s="97"/>
      <c r="H355" s="31"/>
      <c r="I355" s="95"/>
      <c r="J355" s="136" t="s">
        <v>674</v>
      </c>
    </row>
    <row r="356" spans="1:10" s="23" customFormat="1" ht="21">
      <c r="A356" s="123"/>
      <c r="B356" s="71"/>
      <c r="C356" s="35"/>
      <c r="D356" s="35"/>
      <c r="E356" s="102" t="s">
        <v>681</v>
      </c>
      <c r="F356" s="46">
        <f>F354*F355</f>
        <v>33.076789320819977</v>
      </c>
      <c r="G356" s="103" t="s">
        <v>86</v>
      </c>
      <c r="H356" s="31"/>
      <c r="I356" s="95"/>
      <c r="J356" s="136" t="s">
        <v>675</v>
      </c>
    </row>
    <row r="357" spans="1:10" s="23" customFormat="1" ht="21">
      <c r="A357" s="123"/>
      <c r="B357" s="71"/>
      <c r="C357" s="35"/>
      <c r="D357" s="35"/>
      <c r="E357" s="135" t="s">
        <v>679</v>
      </c>
      <c r="F357" s="117">
        <f>'TUULEKOORMUS 2'!F257</f>
        <v>3.7524718414124473E-33</v>
      </c>
      <c r="G357" s="97"/>
      <c r="H357" s="31"/>
      <c r="I357" s="95"/>
      <c r="J357" s="136" t="s">
        <v>676</v>
      </c>
    </row>
    <row r="358" spans="1:10" s="23" customFormat="1" ht="21">
      <c r="A358" s="123"/>
      <c r="B358" s="71"/>
      <c r="C358" s="35"/>
      <c r="D358" s="35"/>
      <c r="E358" s="102" t="s">
        <v>680</v>
      </c>
      <c r="F358" s="46">
        <f>F357*F354</f>
        <v>1.2411972053070891E-31</v>
      </c>
      <c r="G358" s="103" t="s">
        <v>86</v>
      </c>
      <c r="H358" s="31"/>
      <c r="I358" s="95"/>
      <c r="J358" s="136" t="s">
        <v>677</v>
      </c>
    </row>
  </sheetData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2:Q358"/>
  <sheetViews>
    <sheetView zoomScaleNormal="100" workbookViewId="0">
      <selection activeCell="AA25" sqref="AA25"/>
    </sheetView>
  </sheetViews>
  <sheetFormatPr defaultColWidth="5.5" defaultRowHeight="16.5" customHeight="1" outlineLevelRow="1"/>
  <cols>
    <col min="1" max="1" width="2.875" style="122" customWidth="1"/>
    <col min="2" max="2" width="2.875" style="121" customWidth="1"/>
    <col min="3" max="3" width="2.875" customWidth="1"/>
    <col min="6" max="6" width="7.125" customWidth="1"/>
    <col min="8" max="8" width="1.75" customWidth="1"/>
  </cols>
  <sheetData>
    <row r="2" spans="1:1" ht="16.5" customHeight="1">
      <c r="A2" s="122" t="s">
        <v>608</v>
      </c>
    </row>
    <row r="24" spans="1:10" s="23" customFormat="1" ht="20.25">
      <c r="A24" s="123"/>
      <c r="B24" s="71" t="s">
        <v>580</v>
      </c>
      <c r="C24" s="35"/>
      <c r="D24" s="35"/>
      <c r="E24" s="66"/>
      <c r="F24" s="70"/>
      <c r="G24" s="67"/>
      <c r="H24" s="31"/>
      <c r="I24" s="30"/>
    </row>
    <row r="25" spans="1:10" s="23" customFormat="1" ht="20.25">
      <c r="A25" s="123"/>
      <c r="B25" s="71"/>
      <c r="C25" s="36" t="s">
        <v>412</v>
      </c>
      <c r="D25" s="35"/>
      <c r="E25" s="66"/>
      <c r="F25" s="70"/>
      <c r="G25" s="67"/>
      <c r="H25" s="31"/>
      <c r="I25" s="30"/>
    </row>
    <row r="26" spans="1:10" s="23" customFormat="1" ht="20.25">
      <c r="A26" s="123"/>
      <c r="B26" s="71"/>
      <c r="C26" s="94"/>
      <c r="D26" s="94" t="s">
        <v>419</v>
      </c>
      <c r="E26" s="66"/>
      <c r="F26" s="70"/>
      <c r="G26" s="67"/>
      <c r="H26" s="31"/>
      <c r="I26" s="30"/>
    </row>
    <row r="27" spans="1:10" s="23" customFormat="1" ht="21">
      <c r="A27" s="123"/>
      <c r="B27" s="71"/>
      <c r="C27" s="94"/>
      <c r="D27" s="35"/>
      <c r="E27" s="131" t="s">
        <v>420</v>
      </c>
      <c r="F27" s="117">
        <f>Jäitekoormus!F92</f>
        <v>7.4690520878992066</v>
      </c>
      <c r="G27" s="97" t="s">
        <v>86</v>
      </c>
      <c r="H27" s="31"/>
      <c r="J27" s="95" t="s">
        <v>423</v>
      </c>
    </row>
    <row r="28" spans="1:10" s="23" customFormat="1" ht="20.25">
      <c r="A28" s="123"/>
      <c r="B28" s="71"/>
      <c r="C28" s="94"/>
      <c r="D28" s="35"/>
      <c r="E28" s="131" t="s">
        <v>661</v>
      </c>
      <c r="F28" s="118">
        <v>2.18E-2</v>
      </c>
      <c r="G28" s="97" t="s">
        <v>51</v>
      </c>
      <c r="H28" s="31"/>
      <c r="J28" s="95" t="s">
        <v>408</v>
      </c>
    </row>
    <row r="29" spans="1:10" s="23" customFormat="1" ht="20.25">
      <c r="A29" s="123"/>
      <c r="B29" s="71"/>
      <c r="C29" s="94"/>
      <c r="D29" s="35"/>
      <c r="E29" s="131" t="s">
        <v>662</v>
      </c>
      <c r="F29" s="70">
        <v>9.81</v>
      </c>
      <c r="G29" s="97" t="s">
        <v>372</v>
      </c>
      <c r="H29" s="31"/>
      <c r="J29" s="95" t="s">
        <v>373</v>
      </c>
    </row>
    <row r="30" spans="1:10" s="23" customFormat="1" ht="20.25">
      <c r="A30" s="123"/>
      <c r="B30" s="71"/>
      <c r="C30" s="94"/>
      <c r="D30" s="35"/>
      <c r="E30" s="131" t="s">
        <v>663</v>
      </c>
      <c r="F30" s="23">
        <v>3.1415999999999999</v>
      </c>
      <c r="G30" s="58"/>
    </row>
    <row r="31" spans="1:10" s="23" customFormat="1" ht="21">
      <c r="A31" s="123"/>
      <c r="B31" s="71"/>
      <c r="C31" s="94"/>
      <c r="D31" s="35"/>
      <c r="E31" s="131" t="s">
        <v>409</v>
      </c>
      <c r="F31" s="70">
        <v>900</v>
      </c>
      <c r="G31" s="97" t="s">
        <v>369</v>
      </c>
      <c r="H31" s="31"/>
      <c r="I31" s="30"/>
      <c r="J31" s="95" t="s">
        <v>370</v>
      </c>
    </row>
    <row r="32" spans="1:10" s="23" customFormat="1" ht="20.25">
      <c r="A32" s="123"/>
      <c r="B32" s="71"/>
      <c r="C32" s="94"/>
      <c r="D32" s="35"/>
      <c r="E32" s="96" t="s">
        <v>427</v>
      </c>
      <c r="F32" s="117">
        <f>'TUULEKOORMUS 1'!F279*'TUULEKOORMUS 1'!F282*'TUULEKOORMUS 1'!F287*1.2</f>
        <v>720.05845652879236</v>
      </c>
      <c r="G32" s="97" t="s">
        <v>76</v>
      </c>
      <c r="H32" s="31"/>
      <c r="I32" s="30"/>
      <c r="J32" s="95" t="s">
        <v>426</v>
      </c>
    </row>
    <row r="33" spans="1:10" s="23" customFormat="1" ht="20.25">
      <c r="A33" s="123"/>
      <c r="B33" s="71"/>
      <c r="C33" s="94"/>
      <c r="D33" s="35"/>
      <c r="E33" s="131" t="s">
        <v>664</v>
      </c>
      <c r="F33" s="117">
        <v>2</v>
      </c>
      <c r="G33" s="97"/>
      <c r="H33" s="31"/>
      <c r="I33" s="30"/>
      <c r="J33" s="120" t="s">
        <v>585</v>
      </c>
    </row>
    <row r="34" spans="1:10" s="23" customFormat="1" ht="20.25">
      <c r="A34" s="123"/>
      <c r="B34" s="71"/>
      <c r="C34" s="94"/>
      <c r="D34" s="35"/>
      <c r="E34" s="66"/>
      <c r="G34" s="67"/>
      <c r="H34" s="31"/>
      <c r="I34" s="30"/>
    </row>
    <row r="35" spans="1:10" s="23" customFormat="1" ht="20.25">
      <c r="A35" s="123"/>
      <c r="B35" s="71"/>
      <c r="C35" s="35"/>
      <c r="D35" s="36" t="s">
        <v>413</v>
      </c>
      <c r="E35" s="66"/>
      <c r="F35" s="70"/>
      <c r="G35" s="67"/>
      <c r="H35" s="31"/>
      <c r="I35" s="30"/>
    </row>
    <row r="36" spans="1:10" s="23" customFormat="1" ht="21">
      <c r="A36" s="123"/>
      <c r="B36" s="71"/>
      <c r="C36" s="35"/>
      <c r="D36" s="94"/>
      <c r="E36" s="131" t="s">
        <v>422</v>
      </c>
      <c r="F36" s="70">
        <f>1.5</f>
        <v>1.5</v>
      </c>
      <c r="G36" s="67"/>
      <c r="H36" s="31"/>
      <c r="I36" s="30"/>
    </row>
    <row r="37" spans="1:10" s="23" customFormat="1" ht="21">
      <c r="A37" s="123"/>
      <c r="B37" s="71"/>
      <c r="C37" s="35"/>
      <c r="D37" s="35"/>
      <c r="E37" s="131" t="s">
        <v>415</v>
      </c>
      <c r="F37" s="70">
        <f>F36*F27</f>
        <v>11.203578131848809</v>
      </c>
      <c r="G37" s="97" t="s">
        <v>86</v>
      </c>
      <c r="H37" s="31"/>
      <c r="I37" s="30"/>
    </row>
    <row r="38" spans="1:10" s="23" customFormat="1" ht="20.25">
      <c r="A38" s="123"/>
      <c r="B38" s="71"/>
      <c r="C38" s="35"/>
      <c r="D38" s="95" t="s">
        <v>424</v>
      </c>
      <c r="E38" s="96"/>
      <c r="F38" s="70"/>
      <c r="G38" s="97"/>
      <c r="H38" s="31"/>
      <c r="I38" s="30"/>
    </row>
    <row r="39" spans="1:10" s="23" customFormat="1" ht="21">
      <c r="A39" s="123"/>
      <c r="B39" s="71"/>
      <c r="C39" s="35"/>
      <c r="D39" s="35"/>
      <c r="E39" s="131" t="s">
        <v>418</v>
      </c>
      <c r="F39" s="90">
        <f>SQRT(F28^2+((4*F37)/(F29*F30*F31)))</f>
        <v>4.572653739182729E-2</v>
      </c>
      <c r="G39" s="97" t="s">
        <v>51</v>
      </c>
      <c r="H39" s="31" t="str">
        <f>[3]!EQS(F39,"Units= ; EqnPrefix=Valem  ; EqnNo= 0; Multiplication= 1; ShowWorking= 0; EqnStyle= 2; Eqp$H$303_2")</f>
        <v/>
      </c>
      <c r="I39" s="30" t="s">
        <v>669</v>
      </c>
    </row>
    <row r="40" spans="1:10" s="23" customFormat="1" ht="20.25">
      <c r="A40" s="123"/>
      <c r="B40" s="71"/>
      <c r="C40" s="35"/>
      <c r="D40" s="95" t="s">
        <v>425</v>
      </c>
      <c r="E40" s="96"/>
      <c r="F40" s="90"/>
      <c r="G40" s="97"/>
      <c r="H40" s="31"/>
      <c r="I40" s="30"/>
    </row>
    <row r="41" spans="1:10" s="23" customFormat="1" ht="21">
      <c r="A41" s="123"/>
      <c r="B41" s="71"/>
      <c r="C41" s="35"/>
      <c r="D41" s="35"/>
      <c r="E41" s="131" t="s">
        <v>433</v>
      </c>
      <c r="F41" s="70">
        <f>F32*F39</f>
        <v>32.925779936765267</v>
      </c>
      <c r="G41" s="97" t="s">
        <v>86</v>
      </c>
      <c r="H41" s="31" t="str">
        <f>[3]!EQS(F41,"Units= ; EqnPrefix=Valem  ; EqnNo= 0; Multiplication= 1; ShowWorking= 0; EqnStyle= 2; Eqp$H$303_2")</f>
        <v/>
      </c>
      <c r="I41" s="30" t="s">
        <v>670</v>
      </c>
    </row>
    <row r="42" spans="1:10" s="23" customFormat="1" ht="20.25">
      <c r="A42" s="123"/>
      <c r="B42" s="71"/>
      <c r="C42" s="35"/>
      <c r="D42" s="95" t="s">
        <v>430</v>
      </c>
      <c r="F42" s="70"/>
      <c r="G42" s="97"/>
      <c r="H42" s="31"/>
      <c r="I42" s="30"/>
    </row>
    <row r="43" spans="1:10" s="23" customFormat="1" ht="21">
      <c r="A43" s="123"/>
      <c r="B43" s="71"/>
      <c r="C43" s="35"/>
      <c r="D43" s="35"/>
      <c r="E43" s="131" t="s">
        <v>434</v>
      </c>
      <c r="F43" s="70">
        <f>F41*F33</f>
        <v>65.851559873530533</v>
      </c>
      <c r="G43" s="97" t="s">
        <v>86</v>
      </c>
      <c r="H43" s="31" t="str">
        <f>[3]!EQS(F43,"Units= ; EqnPrefix=Valem  ; EqnNo= 0; Multiplication= 1; ShowWorking= 0; EqnStyle= 2; Eqp$H$303_2")</f>
        <v/>
      </c>
      <c r="I43" s="98" t="s">
        <v>673</v>
      </c>
    </row>
    <row r="44" spans="1:10" s="23" customFormat="1" ht="21">
      <c r="A44" s="123"/>
      <c r="B44" s="71"/>
      <c r="C44" s="35"/>
      <c r="D44" s="35"/>
      <c r="E44" s="131" t="s">
        <v>435</v>
      </c>
      <c r="F44" s="128">
        <f>COS(RADIANS(4))^2</f>
        <v>0.99513403437078507</v>
      </c>
      <c r="G44" s="67"/>
      <c r="H44" s="31"/>
      <c r="I44" s="95"/>
      <c r="J44" s="95" t="s">
        <v>428</v>
      </c>
    </row>
    <row r="45" spans="1:10" s="23" customFormat="1" ht="21">
      <c r="A45" s="123"/>
      <c r="B45" s="71"/>
      <c r="C45" s="36"/>
      <c r="D45" s="36"/>
      <c r="E45" s="102" t="s">
        <v>512</v>
      </c>
      <c r="F45" s="46">
        <f>F43*F44</f>
        <v>65.531128446555741</v>
      </c>
      <c r="G45" s="67"/>
      <c r="H45" s="31"/>
      <c r="I45" s="95"/>
      <c r="J45" s="95" t="s">
        <v>431</v>
      </c>
    </row>
    <row r="46" spans="1:10" s="23" customFormat="1" ht="21">
      <c r="A46" s="123"/>
      <c r="B46" s="71"/>
      <c r="C46" s="35"/>
      <c r="D46" s="35"/>
      <c r="E46" s="131" t="s">
        <v>436</v>
      </c>
      <c r="F46" s="128">
        <f>COS(RADIANS(4))^2</f>
        <v>0.99513403437078507</v>
      </c>
      <c r="G46" s="67"/>
      <c r="H46" s="31"/>
      <c r="I46" s="95"/>
      <c r="J46" s="95" t="s">
        <v>429</v>
      </c>
    </row>
    <row r="47" spans="1:10" s="23" customFormat="1" ht="21">
      <c r="A47" s="123"/>
      <c r="B47" s="71"/>
      <c r="C47" s="35"/>
      <c r="D47" s="35"/>
      <c r="E47" s="102" t="s">
        <v>513</v>
      </c>
      <c r="F47" s="46">
        <f>F46*F43</f>
        <v>65.531128446555741</v>
      </c>
      <c r="G47" s="67"/>
      <c r="H47" s="31"/>
      <c r="I47" s="95"/>
      <c r="J47" s="95" t="s">
        <v>432</v>
      </c>
    </row>
    <row r="48" spans="1:10" s="23" customFormat="1" ht="20.25">
      <c r="A48" s="123"/>
      <c r="B48" s="71"/>
      <c r="C48" s="35"/>
      <c r="D48" s="35"/>
      <c r="E48" s="96"/>
      <c r="F48" s="70"/>
      <c r="G48" s="67"/>
      <c r="H48" s="31"/>
      <c r="I48" s="95"/>
    </row>
    <row r="49" spans="1:10" s="23" customFormat="1" ht="20.25">
      <c r="A49" s="123"/>
      <c r="B49" s="71"/>
      <c r="C49" s="35"/>
      <c r="D49" s="35"/>
      <c r="E49" s="66"/>
      <c r="F49" s="70"/>
      <c r="G49" s="67"/>
      <c r="H49" s="31"/>
      <c r="I49" s="30"/>
    </row>
    <row r="50" spans="1:10" s="23" customFormat="1" ht="20.25">
      <c r="A50" s="123"/>
      <c r="B50" s="71"/>
      <c r="C50" s="35"/>
      <c r="D50" s="36" t="s">
        <v>414</v>
      </c>
      <c r="E50" s="66"/>
      <c r="F50" s="70"/>
      <c r="G50" s="67"/>
      <c r="H50" s="31"/>
      <c r="I50" s="30"/>
    </row>
    <row r="51" spans="1:10" s="23" customFormat="1" ht="21">
      <c r="A51" s="123"/>
      <c r="B51" s="71"/>
      <c r="C51" s="35"/>
      <c r="D51" s="94"/>
      <c r="E51" s="131" t="s">
        <v>421</v>
      </c>
      <c r="F51" s="70">
        <v>0.35</v>
      </c>
      <c r="G51" s="67"/>
      <c r="H51" s="31"/>
      <c r="I51" s="30"/>
    </row>
    <row r="52" spans="1:10" s="23" customFormat="1" ht="21">
      <c r="A52" s="123"/>
      <c r="B52" s="71"/>
      <c r="C52" s="35"/>
      <c r="D52" s="94"/>
      <c r="E52" s="131" t="s">
        <v>416</v>
      </c>
      <c r="F52" s="70">
        <f>F51*F27</f>
        <v>2.6141682307647223</v>
      </c>
      <c r="G52" s="97" t="s">
        <v>86</v>
      </c>
      <c r="H52" s="31"/>
      <c r="I52" s="30"/>
    </row>
    <row r="53" spans="1:10" s="23" customFormat="1" ht="21">
      <c r="A53" s="123"/>
      <c r="B53" s="71"/>
      <c r="C53" s="35"/>
      <c r="D53" s="94"/>
      <c r="E53" s="131" t="s">
        <v>417</v>
      </c>
      <c r="F53" s="90">
        <f>SQRT(F28^2+(4*F52)/(F29*F30*F31))</f>
        <v>2.9192997763689416E-2</v>
      </c>
      <c r="G53" s="97" t="s">
        <v>51</v>
      </c>
      <c r="H53" s="31"/>
      <c r="I53" s="30"/>
    </row>
    <row r="54" spans="1:10" s="23" customFormat="1" ht="20.25">
      <c r="A54" s="123"/>
      <c r="B54" s="71"/>
      <c r="C54" s="35"/>
      <c r="D54" s="95" t="s">
        <v>425</v>
      </c>
      <c r="E54" s="96"/>
      <c r="F54" s="90"/>
      <c r="G54" s="97"/>
      <c r="H54" s="31"/>
      <c r="I54" s="30"/>
    </row>
    <row r="55" spans="1:10" s="23" customFormat="1" ht="21">
      <c r="A55" s="123"/>
      <c r="B55" s="71"/>
      <c r="C55" s="35"/>
      <c r="D55" s="35"/>
      <c r="E55" s="131" t="s">
        <v>433</v>
      </c>
      <c r="F55" s="70">
        <f>F32*F53</f>
        <v>21.020664911170687</v>
      </c>
      <c r="G55" s="97" t="s">
        <v>86</v>
      </c>
      <c r="H55" s="31" t="str">
        <f>[3]!EQS(F55,"Units= ; EqnPrefix=Valem  ; EqnNo= 0; Multiplication= 1; ShowWorking= 0; EqnStyle= 2; Eqp$H$303_2")</f>
        <v/>
      </c>
      <c r="I55" s="30" t="s">
        <v>671</v>
      </c>
    </row>
    <row r="56" spans="1:10" s="23" customFormat="1" ht="20.25">
      <c r="A56" s="123"/>
      <c r="B56" s="71"/>
      <c r="C56" s="35"/>
      <c r="D56" s="95" t="s">
        <v>430</v>
      </c>
      <c r="F56" s="70"/>
      <c r="G56" s="97"/>
      <c r="H56" s="31"/>
      <c r="I56" s="30"/>
    </row>
    <row r="57" spans="1:10" s="23" customFormat="1" ht="21">
      <c r="A57" s="123"/>
      <c r="B57" s="71"/>
      <c r="C57" s="35"/>
      <c r="D57" s="35"/>
      <c r="E57" s="131" t="s">
        <v>434</v>
      </c>
      <c r="F57" s="70">
        <f>F55*F33</f>
        <v>42.041329822341375</v>
      </c>
      <c r="G57" s="97" t="s">
        <v>86</v>
      </c>
      <c r="H57" s="31" t="str">
        <f>[3]!EQS(F57,"Units= ; EqnPrefix=Valem  ; EqnNo= 0; Multiplication= 1; ShowWorking= 0; EqnStyle= 2; Eqp$H$303_2")</f>
        <v/>
      </c>
      <c r="I57" s="98" t="s">
        <v>673</v>
      </c>
    </row>
    <row r="58" spans="1:10" s="23" customFormat="1" ht="21">
      <c r="A58" s="123"/>
      <c r="B58" s="71"/>
      <c r="C58" s="35"/>
      <c r="D58" s="35"/>
      <c r="E58" s="131" t="s">
        <v>435</v>
      </c>
      <c r="F58" s="128">
        <f>COS(RADIANS(4))^2</f>
        <v>0.99513403437078507</v>
      </c>
      <c r="G58" s="97"/>
      <c r="H58" s="31"/>
      <c r="I58" s="95"/>
      <c r="J58" s="95" t="s">
        <v>428</v>
      </c>
    </row>
    <row r="59" spans="1:10" s="23" customFormat="1" ht="21">
      <c r="A59" s="123"/>
      <c r="B59" s="71"/>
      <c r="C59" s="35"/>
      <c r="D59" s="35"/>
      <c r="E59" s="102" t="s">
        <v>512</v>
      </c>
      <c r="F59" s="46">
        <f>F57*F58</f>
        <v>41.836758156419371</v>
      </c>
      <c r="G59" s="103" t="s">
        <v>86</v>
      </c>
      <c r="H59" s="31"/>
      <c r="I59" s="95"/>
      <c r="J59" s="95" t="s">
        <v>431</v>
      </c>
    </row>
    <row r="60" spans="1:10" s="23" customFormat="1" ht="21">
      <c r="A60" s="123"/>
      <c r="B60" s="71"/>
      <c r="C60" s="35"/>
      <c r="D60" s="35"/>
      <c r="E60" s="131" t="s">
        <v>436</v>
      </c>
      <c r="F60" s="128">
        <f>COS(RADIANS(4))^2</f>
        <v>0.99513403437078507</v>
      </c>
      <c r="G60" s="97"/>
      <c r="H60" s="31"/>
      <c r="I60" s="95"/>
      <c r="J60" s="95" t="s">
        <v>429</v>
      </c>
    </row>
    <row r="61" spans="1:10" s="23" customFormat="1" ht="21">
      <c r="A61" s="123"/>
      <c r="B61" s="71"/>
      <c r="C61" s="35"/>
      <c r="D61" s="35"/>
      <c r="E61" s="102" t="s">
        <v>513</v>
      </c>
      <c r="F61" s="46">
        <f>F60*F57</f>
        <v>41.836758156419371</v>
      </c>
      <c r="G61" s="103" t="s">
        <v>86</v>
      </c>
      <c r="H61" s="31"/>
      <c r="I61" s="95"/>
      <c r="J61" s="95" t="s">
        <v>432</v>
      </c>
    </row>
    <row r="62" spans="1:10" s="23" customFormat="1" ht="20.25">
      <c r="A62" s="123"/>
      <c r="B62" s="71"/>
      <c r="C62" s="35"/>
      <c r="D62" s="94"/>
      <c r="E62" s="96"/>
      <c r="F62" s="70"/>
      <c r="G62" s="67"/>
      <c r="H62" s="31"/>
      <c r="I62" s="30"/>
    </row>
    <row r="63" spans="1:10" s="23" customFormat="1" ht="20.25">
      <c r="A63" s="123"/>
      <c r="B63" s="71" t="s">
        <v>584</v>
      </c>
      <c r="C63" s="35"/>
      <c r="D63" s="35"/>
      <c r="E63" s="66"/>
      <c r="F63" s="70"/>
      <c r="G63" s="67"/>
      <c r="H63" s="31"/>
      <c r="I63" s="30"/>
    </row>
    <row r="64" spans="1:10" s="23" customFormat="1" ht="20.25">
      <c r="A64" s="123"/>
      <c r="B64" s="71"/>
      <c r="C64" s="36" t="s">
        <v>412</v>
      </c>
      <c r="D64" s="35"/>
      <c r="E64" s="66"/>
      <c r="F64" s="70"/>
      <c r="G64" s="67"/>
      <c r="H64" s="31"/>
      <c r="I64" s="30"/>
    </row>
    <row r="65" spans="1:10" s="23" customFormat="1" ht="20.25">
      <c r="A65" s="123"/>
      <c r="B65" s="71"/>
      <c r="C65" s="94"/>
      <c r="D65" s="94" t="s">
        <v>419</v>
      </c>
      <c r="E65" s="66"/>
      <c r="F65" s="70"/>
      <c r="G65" s="67"/>
      <c r="H65" s="31"/>
      <c r="I65" s="30"/>
    </row>
    <row r="66" spans="1:10" s="23" customFormat="1" ht="21">
      <c r="A66" s="123"/>
      <c r="B66" s="71"/>
      <c r="C66" s="94"/>
      <c r="D66" s="35"/>
      <c r="E66" s="131" t="s">
        <v>420</v>
      </c>
      <c r="F66" s="117">
        <f>Jäitekoormus!F120</f>
        <v>12.475780043184296</v>
      </c>
      <c r="G66" s="97" t="s">
        <v>86</v>
      </c>
      <c r="H66" s="31"/>
      <c r="J66" s="95" t="s">
        <v>423</v>
      </c>
    </row>
    <row r="67" spans="1:10" s="23" customFormat="1" ht="20.25">
      <c r="A67" s="123"/>
      <c r="B67" s="71"/>
      <c r="C67" s="94"/>
      <c r="D67" s="35"/>
      <c r="E67" s="131" t="s">
        <v>407</v>
      </c>
      <c r="F67" s="118">
        <f>Jäitekoormus!F115/1000</f>
        <v>2.7699999999999999E-2</v>
      </c>
      <c r="G67" s="97" t="s">
        <v>51</v>
      </c>
      <c r="H67" s="31"/>
      <c r="J67" s="95" t="s">
        <v>408</v>
      </c>
    </row>
    <row r="68" spans="1:10" s="23" customFormat="1" ht="20.25">
      <c r="A68" s="123"/>
      <c r="B68" s="71"/>
      <c r="C68" s="94"/>
      <c r="D68" s="35"/>
      <c r="E68" s="131" t="s">
        <v>371</v>
      </c>
      <c r="F68" s="70">
        <v>9.81</v>
      </c>
      <c r="G68" s="97" t="s">
        <v>372</v>
      </c>
      <c r="H68" s="31"/>
      <c r="J68" s="95" t="s">
        <v>373</v>
      </c>
    </row>
    <row r="69" spans="1:10" s="23" customFormat="1" ht="20.25">
      <c r="A69" s="123"/>
      <c r="B69" s="71"/>
      <c r="C69" s="94"/>
      <c r="D69" s="35"/>
      <c r="E69" s="131" t="s">
        <v>411</v>
      </c>
      <c r="F69" s="23">
        <v>3.1415999999999999</v>
      </c>
      <c r="G69" s="58"/>
    </row>
    <row r="70" spans="1:10" s="23" customFormat="1" ht="21">
      <c r="A70" s="123"/>
      <c r="B70" s="71"/>
      <c r="C70" s="94"/>
      <c r="D70" s="35"/>
      <c r="E70" s="131" t="s">
        <v>409</v>
      </c>
      <c r="F70" s="70">
        <v>900</v>
      </c>
      <c r="G70" s="97" t="s">
        <v>369</v>
      </c>
      <c r="H70" s="31"/>
      <c r="I70" s="30"/>
      <c r="J70" s="95" t="s">
        <v>370</v>
      </c>
    </row>
    <row r="71" spans="1:10" s="23" customFormat="1" ht="20.25">
      <c r="A71" s="123"/>
      <c r="B71" s="71"/>
      <c r="C71" s="94"/>
      <c r="D71" s="35"/>
      <c r="E71" s="96" t="s">
        <v>427</v>
      </c>
      <c r="F71" s="117">
        <f>'TUULEKOORMUS 1'!F334*'TUULEKOORMUS 1'!F337*'TUULEKOORMUS 1'!F342*1.2</f>
        <v>750.63642571246237</v>
      </c>
      <c r="G71" s="97" t="s">
        <v>76</v>
      </c>
      <c r="H71" s="31"/>
      <c r="I71" s="30"/>
      <c r="J71" s="95" t="s">
        <v>426</v>
      </c>
    </row>
    <row r="72" spans="1:10" s="23" customFormat="1" ht="20.25">
      <c r="A72" s="123"/>
      <c r="B72" s="71"/>
      <c r="C72" s="94"/>
      <c r="D72" s="35"/>
      <c r="E72" s="131" t="s">
        <v>664</v>
      </c>
      <c r="F72" s="119">
        <v>3</v>
      </c>
      <c r="G72" s="97"/>
      <c r="H72" s="31"/>
      <c r="I72" s="30"/>
      <c r="J72" s="120" t="s">
        <v>585</v>
      </c>
    </row>
    <row r="73" spans="1:10" s="23" customFormat="1" ht="20.25">
      <c r="A73" s="123"/>
      <c r="B73" s="71"/>
      <c r="C73" s="94"/>
      <c r="D73" s="35"/>
      <c r="E73" s="66"/>
      <c r="G73" s="67"/>
      <c r="H73" s="31"/>
      <c r="I73" s="30"/>
    </row>
    <row r="74" spans="1:10" s="23" customFormat="1" ht="20.25">
      <c r="A74" s="123"/>
      <c r="B74" s="71"/>
      <c r="C74" s="35"/>
      <c r="D74" s="36" t="s">
        <v>413</v>
      </c>
      <c r="E74" s="66"/>
      <c r="F74" s="70"/>
      <c r="G74" s="67"/>
      <c r="H74" s="31"/>
      <c r="I74" s="30"/>
    </row>
    <row r="75" spans="1:10" s="23" customFormat="1" ht="21">
      <c r="A75" s="123"/>
      <c r="B75" s="71"/>
      <c r="C75" s="35"/>
      <c r="D75" s="94"/>
      <c r="E75" s="131" t="s">
        <v>422</v>
      </c>
      <c r="F75" s="70">
        <f>1.5</f>
        <v>1.5</v>
      </c>
      <c r="G75" s="67"/>
      <c r="H75" s="31"/>
      <c r="I75" s="30"/>
    </row>
    <row r="76" spans="1:10" s="23" customFormat="1" ht="21">
      <c r="A76" s="123"/>
      <c r="B76" s="71"/>
      <c r="C76" s="35"/>
      <c r="D76" s="35"/>
      <c r="E76" s="131" t="s">
        <v>415</v>
      </c>
      <c r="F76" s="70">
        <f>F75*F66</f>
        <v>18.713670064776444</v>
      </c>
      <c r="G76" s="97" t="s">
        <v>86</v>
      </c>
      <c r="H76" s="31"/>
      <c r="I76" s="30"/>
    </row>
    <row r="77" spans="1:10" s="23" customFormat="1" ht="20.25">
      <c r="A77" s="123"/>
      <c r="B77" s="71"/>
      <c r="C77" s="35"/>
      <c r="D77" s="95" t="s">
        <v>424</v>
      </c>
      <c r="E77" s="96"/>
      <c r="F77" s="70"/>
      <c r="G77" s="97"/>
      <c r="H77" s="31"/>
      <c r="I77" s="30"/>
    </row>
    <row r="78" spans="1:10" s="23" customFormat="1" ht="21">
      <c r="A78" s="123"/>
      <c r="B78" s="71"/>
      <c r="C78" s="35"/>
      <c r="D78" s="35"/>
      <c r="E78" s="131" t="s">
        <v>418</v>
      </c>
      <c r="F78" s="90">
        <f>SQRT(F67^2+((4*F76)/(F68*F69*F70)))</f>
        <v>5.8872761861808419E-2</v>
      </c>
      <c r="G78" s="97" t="s">
        <v>51</v>
      </c>
      <c r="H78" s="31" t="str">
        <f>[3]!EQS(F78,"Units= ; EqnPrefix=Valem  ; EqnNo= 0; Multiplication= 1; ShowWorking= 0; EqnStyle= 2; Eqp$H$303_2")</f>
        <v/>
      </c>
      <c r="I78" s="30" t="s">
        <v>669</v>
      </c>
    </row>
    <row r="79" spans="1:10" s="23" customFormat="1" ht="20.25">
      <c r="A79" s="123"/>
      <c r="B79" s="71"/>
      <c r="C79" s="35"/>
      <c r="D79" s="95" t="s">
        <v>425</v>
      </c>
      <c r="E79" s="96"/>
      <c r="F79" s="90"/>
      <c r="G79" s="97"/>
      <c r="H79" s="31"/>
      <c r="I79" s="30"/>
    </row>
    <row r="80" spans="1:10" s="23" customFormat="1" ht="21">
      <c r="A80" s="123"/>
      <c r="B80" s="71"/>
      <c r="C80" s="35"/>
      <c r="D80" s="35"/>
      <c r="E80" s="131" t="s">
        <v>433</v>
      </c>
      <c r="F80" s="70">
        <f>F71*F78</f>
        <v>44.192039535768842</v>
      </c>
      <c r="G80" s="97" t="s">
        <v>86</v>
      </c>
      <c r="H80" s="31" t="str">
        <f>[3]!EQS(F80,"Units= ; EqnPrefix=Valem  ; EqnNo= 0; Multiplication= 1; ShowWorking= 0; EqnStyle= 2; Eqp$H$303_2")</f>
        <v/>
      </c>
      <c r="I80" s="30" t="s">
        <v>670</v>
      </c>
    </row>
    <row r="81" spans="1:10" s="23" customFormat="1" ht="20.25">
      <c r="A81" s="123"/>
      <c r="B81" s="71"/>
      <c r="C81" s="35"/>
      <c r="D81" s="95" t="s">
        <v>430</v>
      </c>
      <c r="F81" s="70"/>
      <c r="G81" s="97"/>
      <c r="H81" s="31"/>
      <c r="I81" s="30"/>
    </row>
    <row r="82" spans="1:10" s="23" customFormat="1" ht="21">
      <c r="A82" s="123"/>
      <c r="B82" s="71"/>
      <c r="C82" s="35"/>
      <c r="D82" s="35"/>
      <c r="E82" s="131" t="s">
        <v>434</v>
      </c>
      <c r="F82" s="70">
        <f>F80*F72</f>
        <v>132.57611860730651</v>
      </c>
      <c r="G82" s="97" t="s">
        <v>86</v>
      </c>
      <c r="H82" s="31" t="str">
        <f>[3]!EQS(F82,"Units= ; EqnPrefix=Valem  ; EqnNo= 0; Multiplication= 1; ShowWorking= 0; EqnStyle= 2; Eqp$H$303_2")</f>
        <v/>
      </c>
      <c r="I82" s="98" t="s">
        <v>673</v>
      </c>
    </row>
    <row r="83" spans="1:10" s="23" customFormat="1" ht="21">
      <c r="A83" s="123"/>
      <c r="B83" s="71"/>
      <c r="C83" s="35"/>
      <c r="D83" s="35"/>
      <c r="E83" s="131" t="s">
        <v>435</v>
      </c>
      <c r="F83" s="128">
        <f>COS(RADIANS(4))^2</f>
        <v>0.99513403437078507</v>
      </c>
      <c r="G83" s="97"/>
      <c r="H83" s="31"/>
      <c r="I83" s="95"/>
      <c r="J83" s="95" t="s">
        <v>428</v>
      </c>
    </row>
    <row r="84" spans="1:10" s="23" customFormat="1" ht="21">
      <c r="A84" s="123"/>
      <c r="B84" s="71"/>
      <c r="C84" s="36"/>
      <c r="D84" s="36"/>
      <c r="E84" s="102" t="s">
        <v>512</v>
      </c>
      <c r="F84" s="46">
        <f>F82*F83</f>
        <v>131.93100777090865</v>
      </c>
      <c r="G84" s="97" t="s">
        <v>86</v>
      </c>
      <c r="H84" s="31"/>
      <c r="I84" s="95"/>
      <c r="J84" s="95" t="s">
        <v>431</v>
      </c>
    </row>
    <row r="85" spans="1:10" s="23" customFormat="1" ht="21">
      <c r="A85" s="123"/>
      <c r="B85" s="71"/>
      <c r="C85" s="35"/>
      <c r="D85" s="35"/>
      <c r="E85" s="131" t="s">
        <v>436</v>
      </c>
      <c r="F85" s="128">
        <f>COS(RADIANS(4))^2</f>
        <v>0.99513403437078507</v>
      </c>
      <c r="G85" s="97"/>
      <c r="H85" s="31"/>
      <c r="I85" s="95"/>
      <c r="J85" s="95" t="s">
        <v>429</v>
      </c>
    </row>
    <row r="86" spans="1:10" s="23" customFormat="1" ht="21">
      <c r="A86" s="123"/>
      <c r="B86" s="71"/>
      <c r="C86" s="35"/>
      <c r="D86" s="35"/>
      <c r="E86" s="102" t="s">
        <v>513</v>
      </c>
      <c r="F86" s="46">
        <f>F85*F82</f>
        <v>131.93100777090865</v>
      </c>
      <c r="G86" s="97" t="s">
        <v>86</v>
      </c>
      <c r="H86" s="31"/>
      <c r="I86" s="95"/>
      <c r="J86" s="95" t="s">
        <v>432</v>
      </c>
    </row>
    <row r="87" spans="1:10" s="23" customFormat="1" ht="20.25">
      <c r="A87" s="123"/>
      <c r="B87" s="71"/>
      <c r="C87" s="35"/>
      <c r="D87" s="35"/>
      <c r="E87" s="96"/>
      <c r="F87" s="70"/>
      <c r="G87" s="67"/>
      <c r="H87" s="31"/>
      <c r="I87" s="95"/>
    </row>
    <row r="88" spans="1:10" s="23" customFormat="1" ht="20.25">
      <c r="A88" s="123"/>
      <c r="B88" s="71"/>
      <c r="C88" s="35"/>
      <c r="D88" s="35"/>
      <c r="E88" s="66"/>
      <c r="F88" s="70"/>
      <c r="G88" s="67"/>
      <c r="H88" s="31"/>
      <c r="I88" s="30"/>
    </row>
    <row r="89" spans="1:10" s="23" customFormat="1" ht="20.25">
      <c r="A89" s="123"/>
      <c r="B89" s="71"/>
      <c r="C89" s="35"/>
      <c r="D89" s="36" t="s">
        <v>414</v>
      </c>
      <c r="E89" s="66"/>
      <c r="F89" s="70"/>
      <c r="G89" s="67"/>
      <c r="H89" s="31"/>
      <c r="I89" s="30"/>
    </row>
    <row r="90" spans="1:10" s="23" customFormat="1" ht="21">
      <c r="A90" s="123"/>
      <c r="B90" s="71"/>
      <c r="C90" s="35"/>
      <c r="D90" s="94"/>
      <c r="E90" s="131" t="s">
        <v>421</v>
      </c>
      <c r="F90" s="70">
        <v>0.35</v>
      </c>
      <c r="G90" s="67"/>
      <c r="H90" s="31"/>
      <c r="I90" s="30"/>
    </row>
    <row r="91" spans="1:10" s="23" customFormat="1" ht="21">
      <c r="A91" s="123"/>
      <c r="B91" s="71"/>
      <c r="C91" s="35"/>
      <c r="D91" s="94"/>
      <c r="E91" s="131" t="s">
        <v>416</v>
      </c>
      <c r="F91" s="70">
        <f>F90*F66</f>
        <v>4.3665230151145034</v>
      </c>
      <c r="G91" s="97" t="s">
        <v>86</v>
      </c>
      <c r="H91" s="31"/>
      <c r="I91" s="30"/>
    </row>
    <row r="92" spans="1:10" s="23" customFormat="1" ht="21">
      <c r="A92" s="123"/>
      <c r="B92" s="71"/>
      <c r="C92" s="35"/>
      <c r="D92" s="94"/>
      <c r="E92" s="131" t="s">
        <v>417</v>
      </c>
      <c r="F92" s="90">
        <f>SQRT(F67^2+(4*F91)/(F68*F69*F70))</f>
        <v>3.7376322551699502E-2</v>
      </c>
      <c r="G92" s="97" t="s">
        <v>51</v>
      </c>
      <c r="H92" s="31"/>
      <c r="I92" s="30"/>
    </row>
    <row r="93" spans="1:10" s="23" customFormat="1" ht="20.25">
      <c r="A93" s="123"/>
      <c r="B93" s="71"/>
      <c r="C93" s="35"/>
      <c r="D93" s="95" t="s">
        <v>425</v>
      </c>
      <c r="E93" s="96"/>
      <c r="F93" s="90"/>
      <c r="G93" s="97"/>
      <c r="H93" s="31"/>
      <c r="I93" s="30"/>
    </row>
    <row r="94" spans="1:10" s="23" customFormat="1" ht="21">
      <c r="A94" s="123"/>
      <c r="B94" s="71"/>
      <c r="C94" s="35"/>
      <c r="D94" s="35"/>
      <c r="E94" s="131" t="s">
        <v>433</v>
      </c>
      <c r="F94" s="70">
        <f>F71*F92</f>
        <v>28.056029166483814</v>
      </c>
      <c r="G94" s="97" t="s">
        <v>86</v>
      </c>
      <c r="H94" s="31" t="str">
        <f>[3]!EQS(F94,"Units= ; EqnPrefix=Valem  ; EqnNo= 0; Multiplication= 1; ShowWorking= 0; EqnStyle= 2; Eqp$H$303_2")</f>
        <v/>
      </c>
      <c r="I94" s="30" t="s">
        <v>671</v>
      </c>
    </row>
    <row r="95" spans="1:10" s="23" customFormat="1" ht="20.25">
      <c r="A95" s="123"/>
      <c r="B95" s="71"/>
      <c r="C95" s="35"/>
      <c r="D95" s="95" t="s">
        <v>430</v>
      </c>
      <c r="F95" s="70"/>
      <c r="G95" s="97"/>
      <c r="H95" s="31"/>
      <c r="I95" s="30"/>
    </row>
    <row r="96" spans="1:10" s="23" customFormat="1" ht="21">
      <c r="A96" s="123"/>
      <c r="B96" s="71"/>
      <c r="C96" s="35"/>
      <c r="D96" s="35"/>
      <c r="E96" s="131" t="s">
        <v>434</v>
      </c>
      <c r="F96" s="70">
        <f>F94*F72</f>
        <v>84.168087499451445</v>
      </c>
      <c r="G96" s="97" t="s">
        <v>86</v>
      </c>
      <c r="H96" s="31" t="str">
        <f>[3]!EQS(F96,"Units= ; EqnPrefix=Valem  ; EqnNo= 0; Multiplication= 1; ShowWorking= 0; EqnStyle= 2; Eqp$H$303_2")</f>
        <v/>
      </c>
      <c r="I96" s="98" t="s">
        <v>673</v>
      </c>
    </row>
    <row r="97" spans="1:10" s="23" customFormat="1" ht="21">
      <c r="A97" s="123"/>
      <c r="B97" s="71"/>
      <c r="C97" s="35"/>
      <c r="D97" s="35"/>
      <c r="E97" s="131" t="s">
        <v>435</v>
      </c>
      <c r="F97" s="128">
        <f>COS(RADIANS(4))^2</f>
        <v>0.99513403437078507</v>
      </c>
      <c r="G97" s="97"/>
      <c r="H97" s="31"/>
      <c r="I97" s="95"/>
      <c r="J97" s="95" t="s">
        <v>428</v>
      </c>
    </row>
    <row r="98" spans="1:10" s="23" customFormat="1" ht="21">
      <c r="A98" s="123"/>
      <c r="B98" s="71"/>
      <c r="C98" s="35"/>
      <c r="D98" s="35"/>
      <c r="E98" s="102" t="s">
        <v>512</v>
      </c>
      <c r="F98" s="46">
        <f>F96*F97</f>
        <v>83.758528478602358</v>
      </c>
      <c r="G98" s="103" t="s">
        <v>86</v>
      </c>
      <c r="H98" s="31"/>
      <c r="I98" s="95"/>
      <c r="J98" s="95" t="s">
        <v>431</v>
      </c>
    </row>
    <row r="99" spans="1:10" s="23" customFormat="1" ht="21">
      <c r="A99" s="123"/>
      <c r="B99" s="71"/>
      <c r="C99" s="35"/>
      <c r="D99" s="35"/>
      <c r="E99" s="131" t="s">
        <v>436</v>
      </c>
      <c r="F99" s="128">
        <f>COS(RADIANS(4))^2</f>
        <v>0.99513403437078507</v>
      </c>
      <c r="G99" s="97"/>
      <c r="H99" s="31"/>
      <c r="I99" s="95"/>
      <c r="J99" s="95" t="s">
        <v>429</v>
      </c>
    </row>
    <row r="100" spans="1:10" s="23" customFormat="1" ht="21">
      <c r="A100" s="123"/>
      <c r="B100" s="71"/>
      <c r="C100" s="35"/>
      <c r="D100" s="35"/>
      <c r="E100" s="102" t="s">
        <v>513</v>
      </c>
      <c r="F100" s="46">
        <f>F99*F96</f>
        <v>83.758528478602358</v>
      </c>
      <c r="G100" s="103" t="s">
        <v>86</v>
      </c>
      <c r="H100" s="31"/>
      <c r="I100" s="95"/>
      <c r="J100" s="95" t="s">
        <v>432</v>
      </c>
    </row>
    <row r="102" spans="1:10" s="23" customFormat="1" ht="20.25">
      <c r="A102" s="123"/>
      <c r="B102" s="71" t="s">
        <v>586</v>
      </c>
      <c r="C102" s="35"/>
      <c r="D102" s="35"/>
      <c r="E102" s="66"/>
      <c r="F102" s="70"/>
      <c r="G102" s="67"/>
      <c r="H102" s="31"/>
      <c r="I102" s="30"/>
    </row>
    <row r="103" spans="1:10" s="23" customFormat="1" ht="20.25">
      <c r="A103" s="123"/>
      <c r="B103" s="71"/>
      <c r="C103" s="36" t="s">
        <v>412</v>
      </c>
      <c r="D103" s="35"/>
      <c r="E103" s="66"/>
      <c r="F103" s="70"/>
      <c r="G103" s="67"/>
      <c r="H103" s="31"/>
      <c r="I103" s="30"/>
    </row>
    <row r="104" spans="1:10" s="23" customFormat="1" ht="20.25">
      <c r="A104" s="123"/>
      <c r="B104" s="71"/>
      <c r="C104" s="94"/>
      <c r="D104" s="94" t="s">
        <v>419</v>
      </c>
      <c r="E104" s="66"/>
      <c r="F104" s="70"/>
      <c r="G104" s="67"/>
      <c r="H104" s="31"/>
      <c r="I104" s="30"/>
    </row>
    <row r="105" spans="1:10" s="23" customFormat="1" ht="21">
      <c r="A105" s="123"/>
      <c r="B105" s="71"/>
      <c r="C105" s="94"/>
      <c r="D105" s="35"/>
      <c r="E105" s="131" t="s">
        <v>420</v>
      </c>
      <c r="F105" s="117">
        <f>Jäitekoormus!F134</f>
        <v>12.142202324713148</v>
      </c>
      <c r="G105" s="97" t="s">
        <v>86</v>
      </c>
      <c r="H105" s="31"/>
      <c r="J105" s="95" t="s">
        <v>423</v>
      </c>
    </row>
    <row r="106" spans="1:10" s="23" customFormat="1" ht="20.25">
      <c r="A106" s="123"/>
      <c r="B106" s="71"/>
      <c r="C106" s="94"/>
      <c r="D106" s="35"/>
      <c r="E106" s="131" t="s">
        <v>407</v>
      </c>
      <c r="F106" s="118">
        <f>Jäitekoormus!F129/1000</f>
        <v>1.6E-2</v>
      </c>
      <c r="G106" s="97" t="s">
        <v>51</v>
      </c>
      <c r="H106" s="31"/>
      <c r="J106" s="95" t="s">
        <v>408</v>
      </c>
    </row>
    <row r="107" spans="1:10" s="23" customFormat="1" ht="20.25">
      <c r="A107" s="123"/>
      <c r="B107" s="71"/>
      <c r="C107" s="94"/>
      <c r="D107" s="35"/>
      <c r="E107" s="131" t="s">
        <v>371</v>
      </c>
      <c r="F107" s="70">
        <v>9.81</v>
      </c>
      <c r="G107" s="97" t="s">
        <v>372</v>
      </c>
      <c r="H107" s="31"/>
      <c r="J107" s="95" t="s">
        <v>373</v>
      </c>
    </row>
    <row r="108" spans="1:10" s="23" customFormat="1" ht="20.25">
      <c r="A108" s="123"/>
      <c r="B108" s="71"/>
      <c r="C108" s="94"/>
      <c r="D108" s="35"/>
      <c r="E108" s="131" t="s">
        <v>411</v>
      </c>
      <c r="F108" s="23">
        <v>3.1415999999999999</v>
      </c>
      <c r="G108" s="58"/>
    </row>
    <row r="109" spans="1:10" s="23" customFormat="1" ht="21">
      <c r="A109" s="123"/>
      <c r="B109" s="71"/>
      <c r="C109" s="94"/>
      <c r="D109" s="35"/>
      <c r="E109" s="131" t="s">
        <v>409</v>
      </c>
      <c r="F109" s="70">
        <v>900</v>
      </c>
      <c r="G109" s="97" t="s">
        <v>369</v>
      </c>
      <c r="H109" s="31"/>
      <c r="I109" s="30"/>
      <c r="J109" s="95" t="s">
        <v>370</v>
      </c>
    </row>
    <row r="110" spans="1:10" s="23" customFormat="1" ht="20.25">
      <c r="A110" s="123"/>
      <c r="B110" s="71"/>
      <c r="C110" s="94"/>
      <c r="D110" s="35"/>
      <c r="E110" s="96" t="s">
        <v>427</v>
      </c>
      <c r="F110" s="117">
        <f>'TUULEKOORMUS 1'!F390*'TUULEKOORMUS 1'!F393*'TUULEKOORMUS 1'!F398*1.2</f>
        <v>772.83675827785851</v>
      </c>
      <c r="G110" s="97" t="s">
        <v>76</v>
      </c>
      <c r="H110" s="31"/>
      <c r="I110" s="30"/>
      <c r="J110" s="95" t="s">
        <v>426</v>
      </c>
    </row>
    <row r="111" spans="1:10" s="23" customFormat="1" ht="20.25">
      <c r="A111" s="123"/>
      <c r="B111" s="71"/>
      <c r="C111" s="94"/>
      <c r="D111" s="35"/>
      <c r="E111" s="131" t="s">
        <v>664</v>
      </c>
      <c r="F111" s="119">
        <v>1</v>
      </c>
      <c r="G111" s="97"/>
      <c r="H111" s="31"/>
      <c r="I111" s="30"/>
      <c r="J111" s="120" t="s">
        <v>585</v>
      </c>
    </row>
    <row r="112" spans="1:10" s="23" customFormat="1" ht="20.25">
      <c r="A112" s="123"/>
      <c r="B112" s="71"/>
      <c r="C112" s="94"/>
      <c r="D112" s="35"/>
      <c r="E112" s="66"/>
      <c r="G112" s="67"/>
      <c r="H112" s="31"/>
      <c r="I112" s="30"/>
    </row>
    <row r="113" spans="1:10" s="23" customFormat="1" ht="20.25">
      <c r="A113" s="123"/>
      <c r="B113" s="71"/>
      <c r="C113" s="35"/>
      <c r="D113" s="36" t="s">
        <v>413</v>
      </c>
      <c r="E113" s="66"/>
      <c r="F113" s="70"/>
      <c r="G113" s="67"/>
      <c r="H113" s="31"/>
      <c r="I113" s="30"/>
    </row>
    <row r="114" spans="1:10" s="23" customFormat="1" ht="21">
      <c r="A114" s="123"/>
      <c r="B114" s="71"/>
      <c r="C114" s="35"/>
      <c r="D114" s="94"/>
      <c r="E114" s="131" t="s">
        <v>422</v>
      </c>
      <c r="F114" s="70">
        <f>1.5</f>
        <v>1.5</v>
      </c>
      <c r="G114" s="67"/>
      <c r="H114" s="31"/>
      <c r="I114" s="30"/>
    </row>
    <row r="115" spans="1:10" s="23" customFormat="1" ht="21">
      <c r="A115" s="123"/>
      <c r="B115" s="71"/>
      <c r="C115" s="35"/>
      <c r="D115" s="35"/>
      <c r="E115" s="131" t="s">
        <v>415</v>
      </c>
      <c r="F115" s="70">
        <f>F114*F105</f>
        <v>18.213303487069723</v>
      </c>
      <c r="G115" s="97" t="s">
        <v>86</v>
      </c>
      <c r="H115" s="31"/>
      <c r="I115" s="30"/>
    </row>
    <row r="116" spans="1:10" s="23" customFormat="1" ht="20.25">
      <c r="A116" s="123"/>
      <c r="B116" s="71"/>
      <c r="C116" s="35"/>
      <c r="D116" s="95" t="s">
        <v>424</v>
      </c>
      <c r="E116" s="96"/>
      <c r="F116" s="70"/>
      <c r="G116" s="97"/>
      <c r="H116" s="31"/>
      <c r="I116" s="30"/>
    </row>
    <row r="117" spans="1:10" s="23" customFormat="1" ht="21">
      <c r="A117" s="123"/>
      <c r="B117" s="71"/>
      <c r="C117" s="35"/>
      <c r="D117" s="35"/>
      <c r="E117" s="131" t="s">
        <v>418</v>
      </c>
      <c r="F117" s="90">
        <f>SQRT(F106^2+((4*F115)/(F107*F108*F109)))</f>
        <v>5.3689420354242401E-2</v>
      </c>
      <c r="G117" s="97" t="s">
        <v>51</v>
      </c>
      <c r="H117" s="31" t="str">
        <f>[3]!EQS(F117,"Units= ; EqnPrefix=Valem  ; EqnNo= 0; Multiplication= 1; ShowWorking= 0; EqnStyle= 2; Eqp$H$303_2")</f>
        <v/>
      </c>
      <c r="I117" s="30" t="s">
        <v>669</v>
      </c>
    </row>
    <row r="118" spans="1:10" s="23" customFormat="1" ht="20.25">
      <c r="A118" s="123"/>
      <c r="B118" s="71"/>
      <c r="C118" s="35"/>
      <c r="D118" s="95" t="s">
        <v>425</v>
      </c>
      <c r="E118" s="96"/>
      <c r="F118" s="90"/>
      <c r="G118" s="97"/>
      <c r="H118" s="31"/>
      <c r="I118" s="30"/>
    </row>
    <row r="119" spans="1:10" s="23" customFormat="1" ht="21">
      <c r="A119" s="123"/>
      <c r="B119" s="71"/>
      <c r="C119" s="35"/>
      <c r="D119" s="35"/>
      <c r="E119" s="131" t="s">
        <v>433</v>
      </c>
      <c r="F119" s="70">
        <f>F110*F117</f>
        <v>41.493157580389969</v>
      </c>
      <c r="G119" s="97" t="s">
        <v>86</v>
      </c>
      <c r="H119" s="31" t="str">
        <f>[3]!EQS(F119,"Units= ; EqnPrefix=Valem  ; EqnNo= 0; Multiplication= 1; ShowWorking= 0; EqnStyle= 2; Eqp$H$303_2")</f>
        <v/>
      </c>
      <c r="I119" s="30" t="s">
        <v>670</v>
      </c>
    </row>
    <row r="120" spans="1:10" s="23" customFormat="1" ht="20.25">
      <c r="A120" s="123"/>
      <c r="B120" s="71"/>
      <c r="C120" s="35"/>
      <c r="D120" s="95" t="s">
        <v>430</v>
      </c>
      <c r="F120" s="70"/>
      <c r="G120" s="97"/>
      <c r="H120" s="31"/>
      <c r="I120" s="30"/>
    </row>
    <row r="121" spans="1:10" s="23" customFormat="1" ht="21">
      <c r="A121" s="123"/>
      <c r="B121" s="71"/>
      <c r="C121" s="35"/>
      <c r="D121" s="35"/>
      <c r="E121" s="131" t="s">
        <v>434</v>
      </c>
      <c r="F121" s="70">
        <f>F119*F111</f>
        <v>41.493157580389969</v>
      </c>
      <c r="G121" s="97" t="s">
        <v>86</v>
      </c>
      <c r="H121" s="31" t="str">
        <f>[3]!EQS(F121,"Units= ; EqnPrefix=Valem  ; EqnNo= 0; Multiplication= 1; ShowWorking= 0; EqnStyle= 2; Eqp$H$303_2")</f>
        <v/>
      </c>
      <c r="I121" s="98" t="s">
        <v>673</v>
      </c>
    </row>
    <row r="122" spans="1:10" s="23" customFormat="1" ht="21">
      <c r="A122" s="123"/>
      <c r="B122" s="71"/>
      <c r="C122" s="35"/>
      <c r="D122" s="35"/>
      <c r="E122" s="131" t="s">
        <v>435</v>
      </c>
      <c r="F122" s="128">
        <f>COS(RADIANS(4))^2</f>
        <v>0.99513403437078507</v>
      </c>
      <c r="G122" s="67"/>
      <c r="H122" s="31"/>
      <c r="I122" s="95"/>
      <c r="J122" s="95" t="s">
        <v>428</v>
      </c>
    </row>
    <row r="123" spans="1:10" s="23" customFormat="1" ht="21">
      <c r="A123" s="123"/>
      <c r="B123" s="71"/>
      <c r="C123" s="36"/>
      <c r="D123" s="36"/>
      <c r="E123" s="102" t="s">
        <v>512</v>
      </c>
      <c r="F123" s="46">
        <f>F121*F122</f>
        <v>41.291253301756193</v>
      </c>
      <c r="G123" s="67"/>
      <c r="H123" s="31"/>
      <c r="I123" s="95"/>
      <c r="J123" s="95" t="s">
        <v>431</v>
      </c>
    </row>
    <row r="124" spans="1:10" s="23" customFormat="1" ht="21">
      <c r="A124" s="123"/>
      <c r="B124" s="71"/>
      <c r="C124" s="35"/>
      <c r="D124" s="35"/>
      <c r="E124" s="131" t="s">
        <v>436</v>
      </c>
      <c r="F124" s="128">
        <f>COS(RADIANS(4))^2</f>
        <v>0.99513403437078507</v>
      </c>
      <c r="G124" s="67"/>
      <c r="H124" s="31"/>
      <c r="I124" s="95"/>
      <c r="J124" s="95" t="s">
        <v>429</v>
      </c>
    </row>
    <row r="125" spans="1:10" s="23" customFormat="1" ht="21">
      <c r="A125" s="123"/>
      <c r="B125" s="71"/>
      <c r="C125" s="35"/>
      <c r="D125" s="35"/>
      <c r="E125" s="102" t="s">
        <v>513</v>
      </c>
      <c r="F125" s="46">
        <f>F124*F121</f>
        <v>41.291253301756193</v>
      </c>
      <c r="G125" s="67"/>
      <c r="H125" s="31"/>
      <c r="I125" s="95"/>
      <c r="J125" s="95" t="s">
        <v>432</v>
      </c>
    </row>
    <row r="126" spans="1:10" s="23" customFormat="1" ht="20.25">
      <c r="A126" s="123"/>
      <c r="B126" s="71"/>
      <c r="C126" s="35"/>
      <c r="D126" s="35"/>
      <c r="E126" s="96"/>
      <c r="F126" s="70"/>
      <c r="G126" s="67"/>
      <c r="H126" s="31"/>
      <c r="I126" s="95"/>
    </row>
    <row r="127" spans="1:10" s="23" customFormat="1" ht="20.25">
      <c r="A127" s="123"/>
      <c r="B127" s="71"/>
      <c r="C127" s="35"/>
      <c r="D127" s="35"/>
      <c r="E127" s="66"/>
      <c r="F127" s="70"/>
      <c r="G127" s="67"/>
      <c r="H127" s="31"/>
      <c r="I127" s="30"/>
    </row>
    <row r="128" spans="1:10" s="23" customFormat="1" ht="20.25">
      <c r="A128" s="123"/>
      <c r="B128" s="71"/>
      <c r="C128" s="35"/>
      <c r="D128" s="36" t="s">
        <v>414</v>
      </c>
      <c r="E128" s="66"/>
      <c r="F128" s="70"/>
      <c r="G128" s="67"/>
      <c r="H128" s="31"/>
      <c r="I128" s="30"/>
    </row>
    <row r="129" spans="1:10" s="23" customFormat="1" ht="21">
      <c r="A129" s="123"/>
      <c r="B129" s="71"/>
      <c r="C129" s="35"/>
      <c r="D129" s="94"/>
      <c r="E129" s="131" t="s">
        <v>421</v>
      </c>
      <c r="F129" s="70">
        <v>0.35</v>
      </c>
      <c r="G129" s="67"/>
      <c r="H129" s="31"/>
      <c r="I129" s="30"/>
    </row>
    <row r="130" spans="1:10" s="23" customFormat="1" ht="21">
      <c r="A130" s="123"/>
      <c r="B130" s="71"/>
      <c r="C130" s="35"/>
      <c r="D130" s="94"/>
      <c r="E130" s="131" t="s">
        <v>416</v>
      </c>
      <c r="F130" s="70">
        <f>F129*F105</f>
        <v>4.2497708136496017</v>
      </c>
      <c r="G130" s="97" t="s">
        <v>86</v>
      </c>
      <c r="H130" s="31"/>
      <c r="I130" s="30"/>
    </row>
    <row r="131" spans="1:10" s="23" customFormat="1" ht="21">
      <c r="A131" s="123"/>
      <c r="B131" s="71"/>
      <c r="C131" s="35"/>
      <c r="D131" s="94"/>
      <c r="E131" s="131" t="s">
        <v>417</v>
      </c>
      <c r="F131" s="90">
        <f>SQRT(F106^2+(4*F130)/(F107*F108*F109))</f>
        <v>2.9476474803828315E-2</v>
      </c>
      <c r="G131" s="97" t="s">
        <v>51</v>
      </c>
      <c r="H131" s="31"/>
      <c r="I131" s="30"/>
    </row>
    <row r="132" spans="1:10" s="23" customFormat="1" ht="20.25">
      <c r="A132" s="123"/>
      <c r="B132" s="71"/>
      <c r="C132" s="35"/>
      <c r="D132" s="95" t="s">
        <v>425</v>
      </c>
      <c r="E132" s="96"/>
      <c r="F132" s="90"/>
      <c r="G132" s="97"/>
      <c r="H132" s="31"/>
      <c r="I132" s="30"/>
    </row>
    <row r="133" spans="1:10" s="23" customFormat="1" ht="21">
      <c r="A133" s="123"/>
      <c r="B133" s="71"/>
      <c r="C133" s="35"/>
      <c r="D133" s="35"/>
      <c r="E133" s="131" t="s">
        <v>433</v>
      </c>
      <c r="F133" s="70">
        <f>F110*F131</f>
        <v>22.78050323284965</v>
      </c>
      <c r="G133" s="97" t="s">
        <v>86</v>
      </c>
      <c r="H133" s="31" t="str">
        <f>[3]!EQS(F133,"Units= ; EqnPrefix=Valem  ; EqnNo= 0; Multiplication= 1; ShowWorking= 0; EqnStyle= 2; Eqp$H$303_2")</f>
        <v/>
      </c>
      <c r="I133" s="30" t="s">
        <v>671</v>
      </c>
    </row>
    <row r="134" spans="1:10" s="23" customFormat="1" ht="20.25">
      <c r="A134" s="123"/>
      <c r="B134" s="71"/>
      <c r="C134" s="35"/>
      <c r="D134" s="95" t="s">
        <v>430</v>
      </c>
      <c r="F134" s="70"/>
      <c r="G134" s="97"/>
      <c r="H134" s="31"/>
      <c r="I134" s="30"/>
    </row>
    <row r="135" spans="1:10" s="23" customFormat="1" ht="21">
      <c r="A135" s="123"/>
      <c r="B135" s="71"/>
      <c r="C135" s="35"/>
      <c r="D135" s="35"/>
      <c r="E135" s="131" t="s">
        <v>434</v>
      </c>
      <c r="F135" s="70">
        <f>F133*F111</f>
        <v>22.78050323284965</v>
      </c>
      <c r="G135" s="97" t="s">
        <v>86</v>
      </c>
      <c r="H135" s="31" t="str">
        <f>[3]!EQS(F135,"Units= ; EqnPrefix=Valem  ; EqnNo= 0; Multiplication= 1; ShowWorking= 0; EqnStyle= 2; Eqp$H$303_2")</f>
        <v/>
      </c>
      <c r="I135" s="98" t="s">
        <v>673</v>
      </c>
    </row>
    <row r="136" spans="1:10" s="23" customFormat="1" ht="21">
      <c r="A136" s="123"/>
      <c r="B136" s="71"/>
      <c r="C136" s="35"/>
      <c r="D136" s="35"/>
      <c r="E136" s="131" t="s">
        <v>435</v>
      </c>
      <c r="F136" s="128">
        <f>COS(RADIANS(4))^2</f>
        <v>0.99513403437078507</v>
      </c>
      <c r="G136" s="97"/>
      <c r="H136" s="31"/>
      <c r="I136" s="95"/>
      <c r="J136" s="95" t="s">
        <v>428</v>
      </c>
    </row>
    <row r="137" spans="1:10" s="23" customFormat="1" ht="21">
      <c r="A137" s="123"/>
      <c r="B137" s="71"/>
      <c r="C137" s="35"/>
      <c r="D137" s="35"/>
      <c r="E137" s="102" t="s">
        <v>512</v>
      </c>
      <c r="F137" s="46">
        <f>F135*F136</f>
        <v>22.669654087102383</v>
      </c>
      <c r="G137" s="103" t="s">
        <v>86</v>
      </c>
      <c r="H137" s="31"/>
      <c r="I137" s="95"/>
      <c r="J137" s="95" t="s">
        <v>431</v>
      </c>
    </row>
    <row r="138" spans="1:10" s="23" customFormat="1" ht="21">
      <c r="A138" s="123"/>
      <c r="B138" s="71"/>
      <c r="C138" s="35"/>
      <c r="D138" s="35"/>
      <c r="E138" s="131" t="s">
        <v>436</v>
      </c>
      <c r="F138" s="128">
        <f>COS(RADIANS(4))^2</f>
        <v>0.99513403437078507</v>
      </c>
      <c r="G138" s="97"/>
      <c r="H138" s="31"/>
      <c r="I138" s="95"/>
      <c r="J138" s="95" t="s">
        <v>429</v>
      </c>
    </row>
    <row r="139" spans="1:10" s="23" customFormat="1" ht="21">
      <c r="A139" s="123"/>
      <c r="B139" s="71"/>
      <c r="C139" s="35"/>
      <c r="D139" s="35"/>
      <c r="E139" s="102" t="s">
        <v>513</v>
      </c>
      <c r="F139" s="46">
        <f>F138*F135</f>
        <v>22.669654087102383</v>
      </c>
      <c r="G139" s="103" t="s">
        <v>86</v>
      </c>
      <c r="H139" s="31"/>
      <c r="I139" s="95"/>
      <c r="J139" s="95" t="s">
        <v>432</v>
      </c>
    </row>
    <row r="141" spans="1:10" s="23" customFormat="1" ht="20.25">
      <c r="A141" s="123"/>
      <c r="B141" s="71"/>
      <c r="C141" s="35"/>
      <c r="D141" s="35"/>
      <c r="E141" s="102"/>
      <c r="F141" s="46"/>
      <c r="G141" s="103"/>
      <c r="H141" s="31"/>
      <c r="I141" s="95"/>
      <c r="J141" s="95"/>
    </row>
    <row r="142" spans="1:10" ht="16.5" customHeight="1">
      <c r="C142" t="s">
        <v>406</v>
      </c>
    </row>
    <row r="143" spans="1:10" s="23" customFormat="1" ht="19.5" outlineLevel="1">
      <c r="A143" s="71"/>
      <c r="B143" s="71"/>
      <c r="C143" s="35"/>
      <c r="D143" s="35"/>
      <c r="E143" s="24" t="s">
        <v>42</v>
      </c>
      <c r="F143" s="23">
        <v>21</v>
      </c>
      <c r="G143" s="58" t="s">
        <v>43</v>
      </c>
      <c r="I143" s="23" t="s">
        <v>44</v>
      </c>
    </row>
    <row r="144" spans="1:10" s="23" customFormat="1" ht="19.5" outlineLevel="1">
      <c r="A144" s="71"/>
      <c r="B144" s="71"/>
      <c r="C144" s="35"/>
      <c r="D144" s="35"/>
      <c r="E144" s="24" t="s">
        <v>45</v>
      </c>
      <c r="F144" s="23">
        <f>F143</f>
        <v>21</v>
      </c>
      <c r="G144" s="58" t="s">
        <v>43</v>
      </c>
      <c r="I144" s="23" t="s">
        <v>46</v>
      </c>
    </row>
    <row r="145" spans="1:12" s="23" customFormat="1" ht="18" outlineLevel="1">
      <c r="A145" s="71"/>
      <c r="B145" s="71"/>
      <c r="C145" s="35"/>
      <c r="D145" s="35"/>
      <c r="E145" s="25" t="s">
        <v>47</v>
      </c>
      <c r="F145" s="23">
        <v>1.2250000000000001</v>
      </c>
      <c r="G145" s="58" t="s">
        <v>48</v>
      </c>
      <c r="I145" s="23" t="s">
        <v>49</v>
      </c>
    </row>
    <row r="146" spans="1:12" s="23" customFormat="1" ht="19.5" outlineLevel="1">
      <c r="A146" s="71"/>
      <c r="B146" s="71"/>
      <c r="C146" s="35"/>
      <c r="D146" s="35"/>
      <c r="E146" s="25" t="s">
        <v>58</v>
      </c>
      <c r="F146" s="23">
        <v>0.19</v>
      </c>
      <c r="G146" s="58"/>
      <c r="I146" s="32" t="s">
        <v>59</v>
      </c>
    </row>
    <row r="147" spans="1:12" s="23" customFormat="1" ht="19.5" outlineLevel="1">
      <c r="A147" s="71"/>
      <c r="B147" s="71"/>
      <c r="C147" s="35"/>
      <c r="D147" s="35"/>
      <c r="E147" s="25" t="s">
        <v>60</v>
      </c>
      <c r="F147" s="23">
        <v>0.05</v>
      </c>
      <c r="G147" s="59" t="s">
        <v>51</v>
      </c>
      <c r="I147" s="32" t="s">
        <v>61</v>
      </c>
    </row>
    <row r="148" spans="1:12" s="23" customFormat="1" ht="19.5" outlineLevel="1">
      <c r="A148" s="71"/>
      <c r="B148" s="71"/>
      <c r="C148" s="35"/>
      <c r="D148" s="35"/>
      <c r="E148" s="25" t="s">
        <v>62</v>
      </c>
      <c r="F148" s="23">
        <v>10</v>
      </c>
      <c r="G148" s="59" t="s">
        <v>51</v>
      </c>
      <c r="I148" s="34" t="s">
        <v>63</v>
      </c>
    </row>
    <row r="149" spans="1:12" s="23" customFormat="1" ht="19.5" outlineLevel="1">
      <c r="A149" s="71"/>
      <c r="B149" s="71"/>
      <c r="C149" s="35"/>
      <c r="D149" s="35"/>
      <c r="E149" s="131" t="s">
        <v>502</v>
      </c>
      <c r="F149" s="23">
        <v>1.1499999999999999</v>
      </c>
      <c r="G149" s="58"/>
      <c r="I149" s="109" t="s">
        <v>503</v>
      </c>
    </row>
    <row r="150" spans="1:12" s="23" customFormat="1" ht="18" outlineLevel="1">
      <c r="A150" s="71"/>
      <c r="B150" s="71"/>
      <c r="C150" s="35"/>
      <c r="D150" s="35"/>
      <c r="E150" s="24"/>
      <c r="G150" s="58"/>
    </row>
    <row r="151" spans="1:12" s="23" customFormat="1" ht="18">
      <c r="A151" s="71"/>
      <c r="B151" s="71"/>
      <c r="C151" s="35"/>
      <c r="D151" s="35"/>
      <c r="E151" s="24"/>
      <c r="G151" s="58"/>
    </row>
    <row r="152" spans="1:12" s="23" customFormat="1" ht="18">
      <c r="A152" s="71"/>
      <c r="B152" s="72" t="s">
        <v>53</v>
      </c>
      <c r="C152" s="36"/>
      <c r="D152" s="36"/>
      <c r="E152" s="29"/>
      <c r="F152" s="29"/>
      <c r="G152" s="60"/>
      <c r="H152" s="29"/>
      <c r="I152" s="29"/>
      <c r="J152" s="29"/>
      <c r="K152" s="29"/>
      <c r="L152" s="29"/>
    </row>
    <row r="153" spans="1:12" s="23" customFormat="1" ht="18" outlineLevel="1">
      <c r="A153" s="71"/>
      <c r="B153" s="72"/>
      <c r="C153" s="35" t="s">
        <v>100</v>
      </c>
      <c r="D153" s="36"/>
      <c r="E153" s="29"/>
      <c r="F153" s="29"/>
      <c r="G153" s="60"/>
      <c r="H153" s="29"/>
      <c r="I153" s="29"/>
      <c r="J153" s="29"/>
      <c r="K153" s="29"/>
      <c r="L153" s="29"/>
    </row>
    <row r="154" spans="1:12" s="23" customFormat="1" ht="18" outlineLevel="1">
      <c r="A154" s="71"/>
      <c r="B154" s="71"/>
      <c r="C154" s="38" t="s">
        <v>101</v>
      </c>
      <c r="D154" s="35"/>
      <c r="E154" s="24"/>
      <c r="G154" s="58"/>
      <c r="K154" s="38"/>
    </row>
    <row r="155" spans="1:12" s="23" customFormat="1" ht="18" outlineLevel="1">
      <c r="A155" s="71"/>
      <c r="B155" s="71"/>
      <c r="C155" s="35"/>
      <c r="D155" s="35"/>
      <c r="E155" s="131" t="s">
        <v>651</v>
      </c>
      <c r="F155" s="33">
        <v>36</v>
      </c>
      <c r="G155" s="59" t="s">
        <v>51</v>
      </c>
      <c r="I155" s="32" t="s">
        <v>55</v>
      </c>
    </row>
    <row r="156" spans="1:12" s="23" customFormat="1" ht="18" outlineLevel="1">
      <c r="A156" s="71"/>
      <c r="B156" s="71"/>
      <c r="C156" s="35"/>
      <c r="D156" s="35"/>
      <c r="E156" s="131" t="s">
        <v>653</v>
      </c>
      <c r="F156" s="33">
        <f>0.324+0.02</f>
        <v>0.34400000000000003</v>
      </c>
      <c r="G156" s="59" t="s">
        <v>51</v>
      </c>
      <c r="I156" s="129" t="s">
        <v>610</v>
      </c>
    </row>
    <row r="157" spans="1:12" s="23" customFormat="1" ht="18" outlineLevel="1">
      <c r="A157" s="71"/>
      <c r="B157" s="71"/>
      <c r="C157" s="38" t="s">
        <v>82</v>
      </c>
      <c r="D157" s="38"/>
      <c r="E157" s="28"/>
      <c r="F157" s="27"/>
      <c r="G157" s="59"/>
      <c r="I157" s="32"/>
    </row>
    <row r="158" spans="1:12" s="23" customFormat="1" ht="19.5" outlineLevel="1">
      <c r="A158" s="71"/>
      <c r="B158" s="71"/>
      <c r="C158" s="35"/>
      <c r="D158" s="35"/>
      <c r="E158" s="131" t="s">
        <v>97</v>
      </c>
      <c r="F158" s="45">
        <f>F156*F155</f>
        <v>12.384</v>
      </c>
      <c r="G158" s="61" t="s">
        <v>81</v>
      </c>
      <c r="H158" s="31" t="str">
        <f>[3]!EQS(F158,"Units= ; EqnPrefix=Valem  ; EqnNo= 0; Multiplication= 1; ShowWorking= 1; EqnStyle=2; Eqp$G$17_0")</f>
        <v/>
      </c>
      <c r="I158" s="30" t="s">
        <v>652</v>
      </c>
      <c r="L158" s="26"/>
    </row>
    <row r="159" spans="1:12" s="23" customFormat="1" ht="18" outlineLevel="1">
      <c r="A159" s="71"/>
      <c r="B159" s="71"/>
      <c r="C159" s="35" t="s">
        <v>65</v>
      </c>
      <c r="D159" s="35"/>
      <c r="F159" s="27"/>
      <c r="G159" s="59"/>
      <c r="I159" s="32"/>
    </row>
    <row r="160" spans="1:12" s="23" customFormat="1" ht="16.5" customHeight="1" outlineLevel="1">
      <c r="A160" s="71"/>
      <c r="B160" s="71"/>
      <c r="C160" s="35"/>
      <c r="D160" s="35"/>
      <c r="E160" s="131" t="s">
        <v>57</v>
      </c>
      <c r="F160" s="42">
        <f>F146*LN(F155/F147)*F143</f>
        <v>26.251212335920307</v>
      </c>
      <c r="G160" s="59" t="s">
        <v>43</v>
      </c>
      <c r="H160" s="31" t="str">
        <f>[3]!EQS(F160,"Units= ; EqnPrefix=Valem  ; EqnNo= 0; Multiplication= 1; ShowWorking= 0; EqnStyle= 2; Eqp$H$21_2")</f>
        <v/>
      </c>
      <c r="I160" s="30" t="s">
        <v>611</v>
      </c>
      <c r="J160" s="31"/>
    </row>
    <row r="161" spans="1:13" s="23" customFormat="1" ht="12" customHeight="1" outlineLevel="1">
      <c r="A161" s="71"/>
      <c r="B161" s="71"/>
      <c r="C161" s="35"/>
      <c r="D161" s="35"/>
      <c r="E161" s="28"/>
      <c r="F161" s="42"/>
      <c r="G161" s="59"/>
      <c r="H161" s="31" t="str">
        <f>[3]!EQS(F160,"Units= ; EqnPrefix=Valem  ; EqnNo= 0; Multiplication= 1; ShowWorking= 1; EqnStyle= 2; Eqp$H$21_$H$22_3")</f>
        <v/>
      </c>
      <c r="I161" s="40" t="s">
        <v>64</v>
      </c>
      <c r="J161" s="31"/>
    </row>
    <row r="162" spans="1:13" s="23" customFormat="1" ht="18" outlineLevel="1">
      <c r="A162" s="71"/>
      <c r="B162" s="71"/>
      <c r="C162" s="41" t="s">
        <v>77</v>
      </c>
      <c r="D162" s="41"/>
      <c r="F162" s="42"/>
      <c r="G162" s="59"/>
      <c r="H162" s="31"/>
      <c r="I162" s="40"/>
      <c r="J162" s="31"/>
    </row>
    <row r="163" spans="1:13" s="23" customFormat="1" ht="19.5" outlineLevel="1">
      <c r="A163" s="71"/>
      <c r="B163" s="71"/>
      <c r="C163" s="35"/>
      <c r="D163" s="35"/>
      <c r="E163" s="131" t="s">
        <v>75</v>
      </c>
      <c r="F163" s="42">
        <f>1/2*F145*F160^2</f>
        <v>422.08976632716445</v>
      </c>
      <c r="G163" s="61" t="s">
        <v>76</v>
      </c>
      <c r="H163" s="31" t="str">
        <f>[3]!EQS(F163,"Units= ; EqnPrefix=Valem  ; EqnNo= 0; Multiplication= 1; ShowWorking= 0; EqnStyle= 2; Eqp$G$21_0")</f>
        <v/>
      </c>
      <c r="I163" s="40" t="s">
        <v>616</v>
      </c>
      <c r="J163" s="31"/>
      <c r="M163" s="40"/>
    </row>
    <row r="164" spans="1:13" s="23" customFormat="1" ht="18" outlineLevel="1">
      <c r="A164" s="71"/>
      <c r="B164" s="71"/>
      <c r="C164" s="35"/>
      <c r="D164" s="35"/>
      <c r="E164" s="37"/>
      <c r="F164" s="42"/>
      <c r="G164" s="61"/>
      <c r="H164" s="31" t="str">
        <f>[3]!EQS(F163,"Units= ; EqnPrefix=Valem  ; EqnNo= 0; Multiplication= 1; ShowWorking= 1; EqnStyle= 2; Eqp$G$21_$G$25_1")</f>
        <v/>
      </c>
      <c r="I164" s="40" t="s">
        <v>617</v>
      </c>
      <c r="J164" s="31"/>
    </row>
    <row r="165" spans="1:13" s="23" customFormat="1" ht="18" outlineLevel="1">
      <c r="A165" s="71"/>
      <c r="B165" s="71"/>
      <c r="C165" s="35" t="s">
        <v>79</v>
      </c>
      <c r="D165" s="35"/>
      <c r="E165" s="37"/>
      <c r="F165" s="42"/>
      <c r="G165" s="61"/>
      <c r="I165" s="40"/>
      <c r="J165" s="31"/>
    </row>
    <row r="166" spans="1:13" s="23" customFormat="1" ht="19.5" outlineLevel="1">
      <c r="A166" s="71"/>
      <c r="B166" s="71"/>
      <c r="C166" s="35"/>
      <c r="D166" s="35"/>
      <c r="E166" s="131" t="s">
        <v>80</v>
      </c>
      <c r="F166" s="42">
        <f>(1+2.28/LN(F155/F147))^2</f>
        <v>1.8131807308313552</v>
      </c>
      <c r="G166" s="61"/>
      <c r="H166" s="31" t="str">
        <f>[3]!EQS(F166,"Units= ; EqnPrefix=Valem  ; EqnNo= 0; Multiplication= 1; ShowWorking= 0; EqnStyle= 2; Eqp$G$24_0")</f>
        <v/>
      </c>
      <c r="I166" s="40" t="s">
        <v>612</v>
      </c>
      <c r="J166" s="31"/>
    </row>
    <row r="167" spans="1:13" s="23" customFormat="1" ht="18" outlineLevel="1">
      <c r="A167" s="71"/>
      <c r="B167" s="71"/>
      <c r="C167" s="35"/>
      <c r="D167" s="35"/>
      <c r="E167" s="37"/>
      <c r="F167" s="42"/>
      <c r="G167" s="61"/>
      <c r="H167" s="31" t="str">
        <f>[3]!EQS(F166,"Units= ; EqnPrefix=Valem  ; EqnNo= 0; Multiplication= 1; ShowWorking= 1; EqnStyle= 2; Eqp$G$24_$G$28_1")</f>
        <v/>
      </c>
      <c r="I167" s="40" t="s">
        <v>613</v>
      </c>
      <c r="J167" s="31"/>
    </row>
    <row r="168" spans="1:13" s="23" customFormat="1" ht="18" outlineLevel="1">
      <c r="A168" s="71"/>
      <c r="B168" s="71"/>
      <c r="C168" s="23" t="s">
        <v>50</v>
      </c>
      <c r="E168" s="37"/>
      <c r="F168" s="42"/>
      <c r="G168" s="61"/>
      <c r="J168" s="31"/>
    </row>
    <row r="169" spans="1:13" s="23" customFormat="1" ht="19.5" outlineLevel="1">
      <c r="A169" s="71"/>
      <c r="B169" s="71"/>
      <c r="C169" s="35"/>
      <c r="D169" s="35"/>
      <c r="E169" s="28" t="s">
        <v>52</v>
      </c>
      <c r="F169" s="23">
        <v>1.1499999999999999</v>
      </c>
      <c r="G169" s="58"/>
      <c r="J169" s="31"/>
    </row>
    <row r="170" spans="1:13" s="23" customFormat="1" ht="18" outlineLevel="1">
      <c r="A170" s="71"/>
      <c r="B170" s="71"/>
      <c r="D170" s="130" t="s">
        <v>614</v>
      </c>
      <c r="E170" s="37"/>
      <c r="F170" s="44"/>
      <c r="G170" s="58"/>
      <c r="H170" s="31"/>
      <c r="I170" s="41"/>
      <c r="J170" s="31"/>
    </row>
    <row r="171" spans="1:13" s="23" customFormat="1" ht="19.5" outlineLevel="1">
      <c r="A171" s="71"/>
      <c r="B171" s="71"/>
      <c r="D171" s="35"/>
      <c r="E171" s="131" t="s">
        <v>74</v>
      </c>
      <c r="F171" s="42">
        <v>0.88</v>
      </c>
      <c r="G171" s="58"/>
      <c r="H171" s="31"/>
      <c r="I171" s="129" t="s">
        <v>615</v>
      </c>
      <c r="J171" s="31"/>
    </row>
    <row r="172" spans="1:13" s="23" customFormat="1" ht="18" outlineLevel="1">
      <c r="A172" s="71"/>
      <c r="B172" s="71"/>
      <c r="D172" s="35"/>
      <c r="E172" s="31"/>
      <c r="F172" s="31"/>
      <c r="G172" s="58"/>
      <c r="H172" s="31"/>
      <c r="I172" s="40"/>
      <c r="J172" s="31"/>
    </row>
    <row r="173" spans="1:13" s="23" customFormat="1" ht="18">
      <c r="A173" s="71"/>
      <c r="B173" s="71"/>
      <c r="C173" s="35" t="s">
        <v>89</v>
      </c>
      <c r="D173" s="35"/>
      <c r="G173" s="58"/>
    </row>
    <row r="174" spans="1:13" s="23" customFormat="1" ht="19.5">
      <c r="A174" s="71"/>
      <c r="B174" s="71"/>
      <c r="C174" s="35"/>
      <c r="D174" s="35"/>
      <c r="E174" s="131" t="s">
        <v>85</v>
      </c>
      <c r="F174" s="46">
        <f>F163*F166*F169*F171*F156</f>
        <v>266.43107238692852</v>
      </c>
      <c r="G174" s="61" t="s">
        <v>86</v>
      </c>
      <c r="H174" s="31" t="str">
        <f>[3]!EQS(F174,"Units= ; EqnPrefix=Valem  ; EqnNo= 0; Multiplication= 1; ShowWorking= 0; EqnStyle= 2; Eqp$G$39_0")</f>
        <v/>
      </c>
      <c r="I174" s="30" t="s">
        <v>633</v>
      </c>
    </row>
    <row r="175" spans="1:13" s="23" customFormat="1" ht="18">
      <c r="A175" s="71"/>
      <c r="B175" s="71"/>
      <c r="C175" s="35"/>
      <c r="D175" s="35"/>
      <c r="G175" s="58"/>
      <c r="H175" s="23" t="str">
        <f>[3]!EQS(F174,"Units= ; EqnPrefix=Valem  ; EqnNo= 0; Multiplication= 1; ShowWorking= 1; EqnStyle= 2; Eqp$G$39_$G$40_1")</f>
        <v/>
      </c>
      <c r="I175" s="30" t="s">
        <v>618</v>
      </c>
    </row>
    <row r="176" spans="1:13" s="23" customFormat="1" ht="18">
      <c r="A176" s="71"/>
      <c r="B176" s="71"/>
      <c r="C176" s="35" t="s">
        <v>87</v>
      </c>
      <c r="D176" s="35"/>
      <c r="G176" s="58"/>
    </row>
    <row r="177" spans="1:12" s="23" customFormat="1" ht="19.5">
      <c r="A177" s="71"/>
      <c r="B177" s="71"/>
      <c r="C177" s="35"/>
      <c r="D177" s="35"/>
      <c r="E177" s="131" t="s">
        <v>221</v>
      </c>
      <c r="F177" s="70">
        <f>COS(RADIANS(0))*F174</f>
        <v>266.43107238692852</v>
      </c>
      <c r="G177" s="84" t="s">
        <v>86</v>
      </c>
    </row>
    <row r="178" spans="1:12" s="23" customFormat="1" ht="19.5">
      <c r="A178" s="71"/>
      <c r="B178" s="71"/>
      <c r="C178" s="35"/>
      <c r="D178" s="35"/>
      <c r="E178" s="131" t="s">
        <v>222</v>
      </c>
      <c r="F178" s="70">
        <f>SIN(RADIANS(0))*F174</f>
        <v>0</v>
      </c>
      <c r="G178" s="84" t="s">
        <v>86</v>
      </c>
    </row>
    <row r="179" spans="1:12" s="23" customFormat="1" ht="18">
      <c r="A179" s="71"/>
      <c r="B179" s="71"/>
      <c r="C179" s="35"/>
      <c r="D179" s="35"/>
      <c r="G179" s="58"/>
    </row>
    <row r="180" spans="1:12" s="23" customFormat="1" ht="18">
      <c r="A180" s="71"/>
      <c r="B180" s="72" t="s">
        <v>90</v>
      </c>
      <c r="C180" s="36"/>
      <c r="D180" s="36"/>
      <c r="E180" s="29"/>
      <c r="F180" s="29"/>
      <c r="G180" s="60"/>
      <c r="H180" s="29"/>
      <c r="I180" s="29"/>
      <c r="J180" s="29"/>
      <c r="K180" s="29"/>
      <c r="L180" s="29"/>
    </row>
    <row r="181" spans="1:12" s="23" customFormat="1" ht="18" outlineLevel="1">
      <c r="A181" s="71"/>
      <c r="B181" s="71"/>
      <c r="C181" s="35" t="s">
        <v>93</v>
      </c>
      <c r="D181" s="35"/>
      <c r="E181" s="24"/>
      <c r="G181" s="58"/>
    </row>
    <row r="182" spans="1:12" s="23" customFormat="1" ht="18" outlineLevel="1">
      <c r="A182" s="71"/>
      <c r="B182" s="71"/>
      <c r="C182" s="35"/>
      <c r="D182" s="35"/>
      <c r="E182" s="131" t="s">
        <v>246</v>
      </c>
      <c r="F182" s="33">
        <v>14</v>
      </c>
      <c r="G182" s="59" t="s">
        <v>51</v>
      </c>
      <c r="I182" s="38" t="s">
        <v>91</v>
      </c>
    </row>
    <row r="183" spans="1:12" s="23" customFormat="1" ht="18" outlineLevel="1">
      <c r="A183" s="71"/>
      <c r="B183" s="71"/>
      <c r="C183" s="35"/>
      <c r="D183" s="35"/>
      <c r="E183" s="131" t="s">
        <v>653</v>
      </c>
      <c r="F183" s="33">
        <f>0.273+0.02</f>
        <v>0.29300000000000004</v>
      </c>
      <c r="G183" s="59" t="s">
        <v>51</v>
      </c>
      <c r="I183" s="129" t="s">
        <v>620</v>
      </c>
    </row>
    <row r="184" spans="1:12" s="23" customFormat="1" ht="18" outlineLevel="1">
      <c r="A184" s="71"/>
      <c r="B184" s="71"/>
      <c r="C184" s="35"/>
      <c r="D184" s="35"/>
      <c r="E184" s="131" t="s">
        <v>126</v>
      </c>
      <c r="F184" s="33">
        <v>15.5</v>
      </c>
      <c r="G184" s="61" t="s">
        <v>51</v>
      </c>
      <c r="I184" s="38" t="s">
        <v>94</v>
      </c>
    </row>
    <row r="185" spans="1:12" s="23" customFormat="1" ht="18" outlineLevel="1">
      <c r="A185" s="71"/>
      <c r="B185" s="71"/>
      <c r="C185" s="38" t="s">
        <v>99</v>
      </c>
      <c r="D185" s="38"/>
      <c r="E185" s="28"/>
      <c r="F185" s="27"/>
      <c r="G185" s="59"/>
      <c r="I185" s="32"/>
    </row>
    <row r="186" spans="1:12" s="23" customFormat="1" ht="19.5" outlineLevel="1">
      <c r="A186" s="71"/>
      <c r="B186" s="71"/>
      <c r="C186" s="35"/>
      <c r="D186" s="35"/>
      <c r="E186" s="131" t="s">
        <v>140</v>
      </c>
      <c r="F186" s="45">
        <f>F183*F184</f>
        <v>4.541500000000001</v>
      </c>
      <c r="G186" s="61" t="s">
        <v>81</v>
      </c>
      <c r="H186" s="31" t="str">
        <f>[3]!EQS(F186,"Units= ; EqnPrefix=Valem  ; EqnNo= 0; Multiplication= 1; ShowWorking= 1; EqnStyle=2; Eqp$G$17_0")</f>
        <v/>
      </c>
      <c r="I186" s="30" t="s">
        <v>619</v>
      </c>
    </row>
    <row r="187" spans="1:12" s="23" customFormat="1" ht="18" outlineLevel="1">
      <c r="A187" s="71"/>
      <c r="B187" s="71"/>
      <c r="C187" s="35" t="s">
        <v>65</v>
      </c>
      <c r="D187" s="35"/>
      <c r="F187" s="27"/>
      <c r="G187" s="59"/>
      <c r="I187" s="32"/>
    </row>
    <row r="188" spans="1:12" s="23" customFormat="1" ht="18" outlineLevel="1">
      <c r="A188" s="71"/>
      <c r="B188" s="71"/>
      <c r="C188" s="35"/>
      <c r="D188" s="35"/>
      <c r="E188" s="28"/>
      <c r="F188" s="27"/>
      <c r="G188" s="59"/>
      <c r="I188" s="32"/>
    </row>
    <row r="189" spans="1:12" s="23" customFormat="1" ht="18" outlineLevel="1">
      <c r="A189" s="71"/>
      <c r="B189" s="71"/>
      <c r="C189" s="35"/>
      <c r="D189" s="35"/>
      <c r="G189" s="58"/>
    </row>
    <row r="190" spans="1:12" s="23" customFormat="1" ht="16.5" customHeight="1" outlineLevel="1">
      <c r="A190" s="71"/>
      <c r="B190" s="71"/>
      <c r="C190" s="35"/>
      <c r="D190" s="35"/>
      <c r="E190" s="131" t="s">
        <v>57</v>
      </c>
      <c r="F190" s="42">
        <f>F146*LN(F182/F147)*F143</f>
        <v>22.482810516645301</v>
      </c>
      <c r="G190" s="59" t="s">
        <v>43</v>
      </c>
      <c r="H190" s="31" t="str">
        <f>[3]!EQS(F190,"Units= ; EqnPrefix=Valem  ; EqnNo= 0; Multiplication= 1; ShowWorking= 0; EqnStyle= 2; Eqp$H$54_2")</f>
        <v/>
      </c>
      <c r="I190" s="40" t="s">
        <v>621</v>
      </c>
      <c r="J190" s="31"/>
    </row>
    <row r="191" spans="1:12" s="23" customFormat="1" ht="12" customHeight="1" outlineLevel="1">
      <c r="A191" s="71"/>
      <c r="B191" s="71"/>
      <c r="C191" s="35"/>
      <c r="D191" s="35"/>
      <c r="E191" s="28"/>
      <c r="F191" s="42"/>
      <c r="G191" s="59"/>
      <c r="H191" s="31" t="str">
        <f>[3]!EQS(F190,"Units= ; EqnPrefix=Valem  ; EqnNo= 0; Multiplication= 1; ShowWorking= 1; EqnStyle= 2; Eqp$H$54_$H$55_3")</f>
        <v/>
      </c>
      <c r="I191" s="40" t="s">
        <v>102</v>
      </c>
      <c r="J191" s="31"/>
    </row>
    <row r="192" spans="1:12" s="23" customFormat="1" ht="18" outlineLevel="1">
      <c r="A192" s="71"/>
      <c r="B192" s="71"/>
      <c r="C192" s="41" t="s">
        <v>77</v>
      </c>
      <c r="D192" s="41"/>
      <c r="F192" s="42"/>
      <c r="G192" s="59"/>
      <c r="H192" s="31"/>
      <c r="I192" s="40"/>
      <c r="J192" s="31"/>
    </row>
    <row r="193" spans="1:10" s="23" customFormat="1" ht="19.5" outlineLevel="1">
      <c r="A193" s="71"/>
      <c r="B193" s="71"/>
      <c r="C193" s="35"/>
      <c r="D193" s="35"/>
      <c r="E193" s="131" t="s">
        <v>75</v>
      </c>
      <c r="F193" s="42">
        <f>1/2*F145*F190^2</f>
        <v>309.60452084551815</v>
      </c>
      <c r="G193" s="61" t="s">
        <v>76</v>
      </c>
      <c r="H193" s="31" t="str">
        <f>[3]!EQS(F193,"Units= ; EqnPrefix=Valem  ; EqnNo= 0; Multiplication= 1; ShowWorking= 0; EqnStyle= 2; Eqp$G$21_0")</f>
        <v/>
      </c>
      <c r="I193" s="40" t="s">
        <v>616</v>
      </c>
      <c r="J193" s="31"/>
    </row>
    <row r="194" spans="1:10" s="23" customFormat="1" ht="18" outlineLevel="1">
      <c r="A194" s="71"/>
      <c r="B194" s="71"/>
      <c r="C194" s="35"/>
      <c r="D194" s="35"/>
      <c r="E194" s="37"/>
      <c r="F194" s="42"/>
      <c r="G194" s="61"/>
      <c r="H194" s="31" t="str">
        <f>[3]!EQS(F193,"Units= ; EqnPrefix=Valem  ; EqnNo= 0; Multiplication= 1; ShowWorking= 1; EqnStyle= 2; Eqp$G$21_$G$25_1")</f>
        <v/>
      </c>
      <c r="I194" s="40" t="s">
        <v>622</v>
      </c>
      <c r="J194" s="31"/>
    </row>
    <row r="195" spans="1:10" s="23" customFormat="1" ht="18" outlineLevel="1">
      <c r="A195" s="71"/>
      <c r="B195" s="71"/>
      <c r="C195" s="35" t="s">
        <v>79</v>
      </c>
      <c r="D195" s="35"/>
      <c r="E195" s="37"/>
      <c r="F195" s="42"/>
      <c r="G195" s="61"/>
      <c r="I195" s="40"/>
      <c r="J195" s="31"/>
    </row>
    <row r="196" spans="1:10" s="23" customFormat="1" ht="19.5" outlineLevel="1">
      <c r="A196" s="71"/>
      <c r="B196" s="71"/>
      <c r="C196" s="35"/>
      <c r="D196" s="35"/>
      <c r="E196" s="131" t="s">
        <v>80</v>
      </c>
      <c r="F196" s="42">
        <f>(1+2.28/LN(F182/F147))^2</f>
        <v>1.9729829854343099</v>
      </c>
      <c r="G196" s="61"/>
      <c r="H196" s="31" t="str">
        <f>[3]!EQS(F196,"Units= ; EqnPrefix=Valem  ; EqnNo= 0; Multiplication= 1; ShowWorking= 0; EqnStyle= 2; Eqp$G$24_0")</f>
        <v/>
      </c>
      <c r="I196" s="40" t="s">
        <v>623</v>
      </c>
      <c r="J196" s="31"/>
    </row>
    <row r="197" spans="1:10" s="23" customFormat="1" ht="18" outlineLevel="1">
      <c r="A197" s="71"/>
      <c r="B197" s="71"/>
      <c r="C197" s="35"/>
      <c r="D197" s="35"/>
      <c r="E197" s="37"/>
      <c r="F197" s="42"/>
      <c r="G197" s="61"/>
      <c r="H197" s="31" t="str">
        <f>[3]!EQS(F196,"Units= ; EqnPrefix=Valem  ; EqnNo= 0; Multiplication= 1; ShowWorking= 1; EqnStyle= 2; Eqp$G$24_$G$28_1")</f>
        <v/>
      </c>
      <c r="I197" s="40" t="s">
        <v>624</v>
      </c>
      <c r="J197" s="31"/>
    </row>
    <row r="198" spans="1:10" s="23" customFormat="1" ht="18" outlineLevel="1">
      <c r="A198" s="71"/>
      <c r="B198" s="71"/>
      <c r="C198" s="23" t="s">
        <v>50</v>
      </c>
      <c r="E198" s="37"/>
      <c r="F198" s="42"/>
      <c r="G198" s="61"/>
      <c r="J198" s="31"/>
    </row>
    <row r="199" spans="1:10" s="23" customFormat="1" ht="19.5" outlineLevel="1">
      <c r="A199" s="71"/>
      <c r="B199" s="71"/>
      <c r="C199" s="35"/>
      <c r="D199" s="35"/>
      <c r="E199" s="28" t="s">
        <v>52</v>
      </c>
      <c r="F199" s="23">
        <v>1.1499999999999999</v>
      </c>
      <c r="G199" s="58"/>
      <c r="J199" s="31"/>
    </row>
    <row r="200" spans="1:10" s="23" customFormat="1" ht="18" outlineLevel="1">
      <c r="A200" s="71"/>
      <c r="B200" s="71"/>
      <c r="D200" s="130" t="s">
        <v>634</v>
      </c>
      <c r="E200" s="37"/>
      <c r="F200" s="44"/>
      <c r="G200" s="58"/>
      <c r="H200" s="31"/>
      <c r="I200" s="41"/>
      <c r="J200" s="31"/>
    </row>
    <row r="201" spans="1:10" s="23" customFormat="1" ht="19.5" outlineLevel="1">
      <c r="A201" s="71"/>
      <c r="B201" s="71"/>
      <c r="C201" s="35"/>
      <c r="D201" s="35"/>
      <c r="E201" s="131" t="s">
        <v>138</v>
      </c>
      <c r="F201" s="127">
        <v>1.88</v>
      </c>
      <c r="G201" s="58"/>
      <c r="H201" s="31"/>
      <c r="I201" s="129" t="s">
        <v>615</v>
      </c>
      <c r="J201" s="31"/>
    </row>
    <row r="202" spans="1:10" s="23" customFormat="1" ht="18" outlineLevel="1">
      <c r="A202" s="71"/>
      <c r="B202" s="71"/>
      <c r="C202" s="35"/>
      <c r="D202" s="35"/>
      <c r="E202" s="31"/>
      <c r="F202" s="31"/>
      <c r="G202" s="58"/>
      <c r="H202" s="31"/>
      <c r="I202" s="40"/>
      <c r="J202" s="31"/>
    </row>
    <row r="203" spans="1:10" s="23" customFormat="1" ht="18" outlineLevel="1">
      <c r="A203" s="71"/>
      <c r="B203" s="71"/>
      <c r="C203" s="35" t="s">
        <v>104</v>
      </c>
      <c r="D203" s="35"/>
      <c r="E203" s="31"/>
      <c r="F203" s="31"/>
      <c r="G203" s="58"/>
      <c r="H203" s="31"/>
      <c r="I203" s="40"/>
      <c r="J203" s="31"/>
    </row>
    <row r="204" spans="1:10" s="23" customFormat="1" ht="19.5" outlineLevel="1">
      <c r="A204" s="71"/>
      <c r="B204" s="71"/>
      <c r="C204" s="35"/>
      <c r="D204" s="35"/>
      <c r="E204" s="132" t="s">
        <v>105</v>
      </c>
      <c r="F204" s="133">
        <f>COS(RADIANS(90))^2</f>
        <v>3.7524718414124473E-33</v>
      </c>
      <c r="G204" s="58"/>
      <c r="H204" s="31" t="str">
        <f>[3]!EQS(F204,"Units= ; EqnPrefix=Valem  ; EqnNo= 0; Multiplication= 1; ShowWorking= 0; EqnStyle= 2; Eqp$H$75_2")</f>
        <v/>
      </c>
      <c r="I204" s="40" t="s">
        <v>654</v>
      </c>
      <c r="J204" s="31"/>
    </row>
    <row r="205" spans="1:10" s="23" customFormat="1" ht="18">
      <c r="A205" s="71"/>
      <c r="B205" s="71"/>
      <c r="C205" s="35" t="s">
        <v>103</v>
      </c>
      <c r="D205" s="35"/>
      <c r="G205" s="58"/>
    </row>
    <row r="206" spans="1:10" s="23" customFormat="1" ht="19.5">
      <c r="A206" s="71"/>
      <c r="B206" s="71"/>
      <c r="C206" s="35"/>
      <c r="D206" s="35"/>
      <c r="E206" s="131" t="s">
        <v>137</v>
      </c>
      <c r="F206" s="46">
        <f>F193*F196*F199*F201*F183*F204</f>
        <v>1.4520159452750842E-30</v>
      </c>
      <c r="G206" s="61" t="s">
        <v>86</v>
      </c>
      <c r="H206" s="31" t="str">
        <f>[3]!EQS(F206,"Units= ; EqnPrefix=Valem  ; EqnNo= 0; Multiplication= 1; ShowWorking= 0; EqnStyle= 2; Eqp$G$39_0")</f>
        <v/>
      </c>
      <c r="I206" s="30" t="s">
        <v>625</v>
      </c>
    </row>
    <row r="207" spans="1:10" s="23" customFormat="1" ht="18">
      <c r="A207" s="71"/>
      <c r="B207" s="71"/>
      <c r="C207" s="35"/>
      <c r="D207" s="35"/>
      <c r="G207" s="58"/>
      <c r="H207" s="23" t="str">
        <f>[3]!EQS(F206,"Units= ; EqnPrefix=Valem  ; EqnNo= 0; Multiplication= 1; ShowWorking= 1; EqnStyle= 2; Eqp$G$39_$G$40_1")</f>
        <v/>
      </c>
      <c r="I207" s="30" t="s">
        <v>655</v>
      </c>
    </row>
    <row r="208" spans="1:10" s="23" customFormat="1" ht="18">
      <c r="A208" s="71"/>
      <c r="B208" s="71"/>
      <c r="C208" s="35"/>
      <c r="D208" s="35"/>
      <c r="G208" s="58"/>
    </row>
    <row r="209" spans="1:12" s="23" customFormat="1" ht="18">
      <c r="A209" s="71"/>
      <c r="B209" s="71"/>
      <c r="C209" s="35"/>
      <c r="D209" s="35"/>
      <c r="G209" s="58"/>
    </row>
    <row r="210" spans="1:12" s="23" customFormat="1" ht="18">
      <c r="A210" s="71"/>
      <c r="B210" s="73" t="s">
        <v>107</v>
      </c>
      <c r="C210" s="36"/>
      <c r="D210" s="36"/>
      <c r="E210" s="29"/>
      <c r="F210" s="29"/>
      <c r="G210" s="60"/>
      <c r="H210" s="29"/>
      <c r="I210" s="29"/>
      <c r="J210" s="29"/>
      <c r="K210" s="29"/>
      <c r="L210" s="29"/>
    </row>
    <row r="211" spans="1:12" s="23" customFormat="1" ht="18" outlineLevel="1">
      <c r="A211" s="71"/>
      <c r="B211" s="71"/>
      <c r="C211" s="35" t="s">
        <v>108</v>
      </c>
      <c r="D211" s="35"/>
      <c r="E211" s="24"/>
      <c r="G211" s="58"/>
    </row>
    <row r="212" spans="1:12" s="23" customFormat="1" ht="18" outlineLevel="1">
      <c r="A212" s="71"/>
      <c r="B212" s="71"/>
      <c r="C212" s="35"/>
      <c r="D212" s="35"/>
      <c r="E212" s="131" t="s">
        <v>246</v>
      </c>
      <c r="F212" s="33">
        <v>28</v>
      </c>
      <c r="G212" s="59" t="s">
        <v>51</v>
      </c>
      <c r="I212" s="38" t="s">
        <v>109</v>
      </c>
    </row>
    <row r="213" spans="1:12" s="23" customFormat="1" ht="18" outlineLevel="1">
      <c r="A213" s="71"/>
      <c r="B213" s="71"/>
      <c r="C213" s="35"/>
      <c r="D213" s="35"/>
      <c r="E213" s="131" t="s">
        <v>54</v>
      </c>
      <c r="F213" s="33">
        <f>0.22+0.02</f>
        <v>0.24</v>
      </c>
      <c r="G213" s="59" t="s">
        <v>51</v>
      </c>
      <c r="I213" s="38" t="s">
        <v>110</v>
      </c>
    </row>
    <row r="214" spans="1:12" s="23" customFormat="1" ht="18" outlineLevel="1">
      <c r="A214" s="71"/>
      <c r="B214" s="71"/>
      <c r="C214" s="35"/>
      <c r="D214" s="35"/>
      <c r="E214" s="131" t="s">
        <v>126</v>
      </c>
      <c r="F214" s="33">
        <v>23</v>
      </c>
      <c r="G214" s="61" t="s">
        <v>51</v>
      </c>
      <c r="I214" s="38" t="s">
        <v>94</v>
      </c>
    </row>
    <row r="215" spans="1:12" s="23" customFormat="1" ht="18" outlineLevel="1">
      <c r="A215" s="71"/>
      <c r="B215" s="71"/>
      <c r="C215" s="38" t="s">
        <v>99</v>
      </c>
      <c r="D215" s="38"/>
      <c r="E215" s="28"/>
      <c r="F215" s="27"/>
      <c r="G215" s="59"/>
      <c r="I215" s="32"/>
    </row>
    <row r="216" spans="1:12" s="23" customFormat="1" ht="19.5" outlineLevel="1">
      <c r="A216" s="71"/>
      <c r="B216" s="71"/>
      <c r="C216" s="35"/>
      <c r="D216" s="35"/>
      <c r="E216" s="131" t="s">
        <v>98</v>
      </c>
      <c r="F216" s="45">
        <f>F213*F214</f>
        <v>5.52</v>
      </c>
      <c r="G216" s="61" t="s">
        <v>81</v>
      </c>
      <c r="H216" s="31" t="str">
        <f>[3]!EQS(F216,"Units= ; EqnPrefix=Valem  ; EqnNo= 0; Multiplication= 1; ShowWorking= 1; EqnStyle=2; Eqp$G$17_0")</f>
        <v/>
      </c>
      <c r="I216" s="30" t="s">
        <v>636</v>
      </c>
    </row>
    <row r="217" spans="1:12" s="23" customFormat="1" ht="18" outlineLevel="1">
      <c r="A217" s="71"/>
      <c r="B217" s="71"/>
      <c r="C217" s="48" t="s">
        <v>112</v>
      </c>
      <c r="D217" s="35"/>
      <c r="E217" s="37"/>
      <c r="F217" s="45"/>
      <c r="G217" s="61"/>
      <c r="H217" s="31"/>
      <c r="I217" s="30"/>
    </row>
    <row r="218" spans="1:12" s="23" customFormat="1" ht="18" outlineLevel="1">
      <c r="A218" s="71"/>
      <c r="B218" s="71"/>
      <c r="C218" s="35" t="s">
        <v>65</v>
      </c>
      <c r="D218" s="35"/>
      <c r="F218" s="27"/>
      <c r="G218" s="59"/>
      <c r="I218" s="32"/>
    </row>
    <row r="219" spans="1:12" s="23" customFormat="1" ht="18" outlineLevel="1">
      <c r="A219" s="71"/>
      <c r="B219" s="71"/>
      <c r="C219" s="35"/>
      <c r="D219" s="35"/>
      <c r="E219" s="28"/>
      <c r="F219" s="27"/>
      <c r="G219" s="59"/>
      <c r="I219" s="32"/>
    </row>
    <row r="220" spans="1:12" s="23" customFormat="1" ht="18" outlineLevel="1">
      <c r="A220" s="71"/>
      <c r="B220" s="71"/>
      <c r="C220" s="35"/>
      <c r="D220" s="35"/>
      <c r="G220" s="58"/>
    </row>
    <row r="221" spans="1:12" s="23" customFormat="1" ht="16.5" customHeight="1" outlineLevel="1">
      <c r="A221" s="71"/>
      <c r="B221" s="71"/>
      <c r="C221" s="35"/>
      <c r="D221" s="35"/>
      <c r="E221" s="131" t="s">
        <v>57</v>
      </c>
      <c r="F221" s="42">
        <f>F146*LN(F212/F147)*F143</f>
        <v>25.248467767079489</v>
      </c>
      <c r="G221" s="59" t="s">
        <v>43</v>
      </c>
      <c r="H221" s="31" t="str">
        <f>[3]!EQS(F221,"Units= ; EqnPrefix=Valem  ; EqnNo= 0; Multiplication= 1; ShowWorking= 0; EqnStyle= 2; Eqp$H$54_2")</f>
        <v/>
      </c>
      <c r="I221" s="40" t="s">
        <v>621</v>
      </c>
      <c r="J221" s="31"/>
    </row>
    <row r="222" spans="1:12" s="23" customFormat="1" ht="12" customHeight="1" outlineLevel="1">
      <c r="A222" s="71"/>
      <c r="B222" s="71"/>
      <c r="C222" s="35"/>
      <c r="D222" s="35"/>
      <c r="E222" s="28"/>
      <c r="F222" s="42"/>
      <c r="G222" s="59"/>
      <c r="H222" s="31" t="str">
        <f>[3]!EQS(F221,"Units= ; EqnPrefix=Valem  ; EqnNo= 0; Multiplication= 1; ShowWorking= 1; EqnStyle= 2; Eqp$H$54_$H$55_3")</f>
        <v/>
      </c>
      <c r="I222" s="40" t="s">
        <v>111</v>
      </c>
      <c r="J222" s="31"/>
    </row>
    <row r="223" spans="1:12" s="23" customFormat="1" ht="18" outlineLevel="1">
      <c r="A223" s="71"/>
      <c r="B223" s="71"/>
      <c r="C223" s="41" t="s">
        <v>77</v>
      </c>
      <c r="D223" s="41"/>
      <c r="F223" s="42"/>
      <c r="G223" s="59"/>
      <c r="H223" s="31"/>
      <c r="I223" s="40"/>
      <c r="J223" s="31"/>
    </row>
    <row r="224" spans="1:12" s="23" customFormat="1" ht="19.5" outlineLevel="1">
      <c r="A224" s="71"/>
      <c r="B224" s="71"/>
      <c r="C224" s="35"/>
      <c r="D224" s="35"/>
      <c r="E224" s="131" t="s">
        <v>75</v>
      </c>
      <c r="F224" s="42">
        <f>1/2*F145*F221^2</f>
        <v>390.45963880846682</v>
      </c>
      <c r="G224" s="61" t="s">
        <v>76</v>
      </c>
      <c r="H224" s="31" t="str">
        <f>[3]!EQS(F224,"Units= ; EqnPrefix=Valem  ; EqnNo= 0; Multiplication= 1; ShowWorking= 0; EqnStyle= 2; Eqp$G$21_0")</f>
        <v/>
      </c>
      <c r="I224" s="40" t="s">
        <v>616</v>
      </c>
      <c r="J224" s="31"/>
    </row>
    <row r="225" spans="1:17" s="23" customFormat="1" ht="18" outlineLevel="1">
      <c r="A225" s="71"/>
      <c r="B225" s="71"/>
      <c r="C225" s="35"/>
      <c r="D225" s="35"/>
      <c r="E225" s="37"/>
      <c r="F225" s="42"/>
      <c r="G225" s="61"/>
      <c r="H225" s="31" t="str">
        <f>[3]!EQS(F224,"Units= ; EqnPrefix=Valem  ; EqnNo= 0; Multiplication= 1; ShowWorking= 1; EqnStyle= 2; Eqp$G$21_$G$25_1")</f>
        <v/>
      </c>
      <c r="I225" s="40" t="s">
        <v>637</v>
      </c>
      <c r="J225" s="31"/>
    </row>
    <row r="226" spans="1:17" s="23" customFormat="1" ht="18" outlineLevel="1">
      <c r="A226" s="71"/>
      <c r="B226" s="71"/>
      <c r="C226" s="35" t="s">
        <v>79</v>
      </c>
      <c r="D226" s="35"/>
      <c r="E226" s="37"/>
      <c r="F226" s="42"/>
      <c r="G226" s="61"/>
      <c r="I226" s="40"/>
      <c r="J226" s="31"/>
    </row>
    <row r="227" spans="1:17" s="23" customFormat="1" ht="19.5" outlineLevel="1">
      <c r="A227" s="71"/>
      <c r="B227" s="71"/>
      <c r="C227" s="35"/>
      <c r="D227" s="35"/>
      <c r="E227" s="131" t="s">
        <v>80</v>
      </c>
      <c r="F227" s="42">
        <f>(1+2.28/LN(F212/F147))^2</f>
        <v>1.8504351691877789</v>
      </c>
      <c r="G227" s="61"/>
      <c r="H227" s="31" t="str">
        <f>[3]!EQS(F227,"Units= ; EqnPrefix=Valem  ; EqnNo= 0; Multiplication= 1; ShowWorking= 0; EqnStyle= 2; Eqp$G$24_0")</f>
        <v/>
      </c>
      <c r="I227" s="40" t="s">
        <v>623</v>
      </c>
      <c r="J227" s="31"/>
    </row>
    <row r="228" spans="1:17" s="23" customFormat="1" ht="18" outlineLevel="1">
      <c r="A228" s="71"/>
      <c r="B228" s="71"/>
      <c r="C228" s="35"/>
      <c r="D228" s="35"/>
      <c r="E228" s="37"/>
      <c r="F228" s="42"/>
      <c r="G228" s="61"/>
      <c r="H228" s="31" t="str">
        <f>[3]!EQS(F227,"Units= ; EqnPrefix=Valem  ; EqnNo= 0; Multiplication= 1; ShowWorking= 1; EqnStyle= 2; Eqp$G$24_$G$28_1")</f>
        <v/>
      </c>
      <c r="I228" s="40" t="s">
        <v>638</v>
      </c>
      <c r="J228" s="31"/>
    </row>
    <row r="229" spans="1:17" s="23" customFormat="1" ht="18" outlineLevel="1">
      <c r="A229" s="71"/>
      <c r="B229" s="71"/>
      <c r="C229" s="23" t="s">
        <v>50</v>
      </c>
      <c r="E229" s="37"/>
      <c r="F229" s="42"/>
      <c r="G229" s="61"/>
      <c r="J229" s="31"/>
    </row>
    <row r="230" spans="1:17" s="23" customFormat="1" ht="19.5" outlineLevel="1">
      <c r="A230" s="71"/>
      <c r="B230" s="71"/>
      <c r="C230" s="35"/>
      <c r="D230" s="35"/>
      <c r="E230" s="28" t="s">
        <v>52</v>
      </c>
      <c r="F230" s="23">
        <v>1.1499999999999999</v>
      </c>
      <c r="G230" s="58"/>
      <c r="J230" s="31"/>
    </row>
    <row r="231" spans="1:17" s="23" customFormat="1" ht="18" outlineLevel="1">
      <c r="A231" s="71"/>
      <c r="B231" s="71"/>
      <c r="C231" s="48" t="s">
        <v>120</v>
      </c>
      <c r="D231" s="35"/>
      <c r="E231" s="31"/>
      <c r="F231" s="50"/>
      <c r="G231" s="58"/>
      <c r="H231" s="31"/>
      <c r="I231" s="40"/>
      <c r="J231" s="31"/>
    </row>
    <row r="232" spans="1:17" s="23" customFormat="1" ht="19.5" outlineLevel="1">
      <c r="A232" s="71"/>
      <c r="B232" s="71"/>
      <c r="C232" s="35"/>
      <c r="D232" s="35"/>
      <c r="E232" s="131" t="s">
        <v>114</v>
      </c>
      <c r="F232" s="134">
        <v>1.75</v>
      </c>
      <c r="G232" s="58"/>
      <c r="H232" s="31"/>
      <c r="I232" s="23">
        <v>1.75</v>
      </c>
      <c r="J232" s="23">
        <v>1.84</v>
      </c>
      <c r="K232" s="23">
        <v>2</v>
      </c>
      <c r="L232" s="129" t="s">
        <v>639</v>
      </c>
    </row>
    <row r="233" spans="1:17" s="23" customFormat="1" ht="18" outlineLevel="1">
      <c r="A233" s="71"/>
      <c r="B233" s="71"/>
      <c r="C233" s="35"/>
      <c r="D233" s="35"/>
      <c r="E233" s="31"/>
      <c r="F233" s="50"/>
      <c r="G233" s="58"/>
      <c r="H233" s="31"/>
      <c r="I233" s="23">
        <v>1.68</v>
      </c>
      <c r="J233" s="46">
        <f>(J232-I232)/(K232-I232)*(K233-I233)+I233</f>
        <v>1.752</v>
      </c>
      <c r="K233" s="23">
        <v>1.88</v>
      </c>
      <c r="Q233" s="70"/>
    </row>
    <row r="234" spans="1:17" s="23" customFormat="1" ht="18" outlineLevel="1">
      <c r="A234" s="71"/>
      <c r="B234" s="71"/>
      <c r="C234" s="35" t="s">
        <v>104</v>
      </c>
      <c r="D234" s="35"/>
      <c r="E234" s="31"/>
      <c r="F234" s="31"/>
      <c r="G234" s="58"/>
      <c r="H234" s="31"/>
      <c r="I234" s="40"/>
      <c r="J234" s="31"/>
    </row>
    <row r="235" spans="1:17" s="23" customFormat="1" ht="19.5" outlineLevel="1">
      <c r="A235" s="71"/>
      <c r="B235" s="71"/>
      <c r="C235" s="35"/>
      <c r="D235" s="35"/>
      <c r="E235" s="132" t="s">
        <v>105</v>
      </c>
      <c r="F235" s="125">
        <f>COS(RADIANS(90))^2</f>
        <v>3.7524718414124473E-33</v>
      </c>
      <c r="G235" s="58"/>
      <c r="H235" s="31" t="str">
        <f>[3]!EQS(F235,"Units= ; EqnPrefix=Valem  ; EqnNo= 0; Multiplication= 1; ShowWorking= 0; EqnStyle= 2; Eqp$H$75_2")</f>
        <v/>
      </c>
      <c r="I235" s="40" t="s">
        <v>654</v>
      </c>
      <c r="J235" s="31"/>
    </row>
    <row r="236" spans="1:17" s="23" customFormat="1" ht="18" outlineLevel="1">
      <c r="A236" s="71"/>
      <c r="B236" s="71"/>
      <c r="C236" s="48" t="s">
        <v>122</v>
      </c>
      <c r="D236" s="35"/>
      <c r="G236" s="58"/>
    </row>
    <row r="237" spans="1:17" s="23" customFormat="1" ht="19.5">
      <c r="A237" s="71"/>
      <c r="B237" s="71"/>
      <c r="C237" s="35"/>
      <c r="D237" s="35"/>
      <c r="E237" s="131" t="s">
        <v>136</v>
      </c>
      <c r="F237" s="46">
        <f>F224*F227*F230*F232*F213*F235</f>
        <v>1.3095274153188585E-30</v>
      </c>
      <c r="G237" s="61" t="s">
        <v>86</v>
      </c>
      <c r="H237" s="31" t="str">
        <f>[3]!EQS(F237,"Units= ; EqnPrefix=Valem  ; EqnNo= 0; Multiplication= 1; ShowWorking= 0; EqnStyle= 2; Eqp$G$39_0")</f>
        <v/>
      </c>
      <c r="I237" s="30" t="s">
        <v>628</v>
      </c>
    </row>
    <row r="238" spans="1:17" s="23" customFormat="1" ht="18">
      <c r="A238" s="71"/>
      <c r="B238" s="71"/>
      <c r="C238" s="35"/>
      <c r="D238" s="35"/>
      <c r="G238" s="58"/>
      <c r="H238" s="23" t="str">
        <f>[3]!EQS(F237,"Units= ; EqnPrefix=Valem  ; EqnNo= 0; Multiplication= 1; ShowWorking= 1; EqnStyle= 2; Eqp$G$39_$G$40_1")</f>
        <v/>
      </c>
      <c r="I238" s="30" t="s">
        <v>656</v>
      </c>
    </row>
    <row r="239" spans="1:17" s="23" customFormat="1" ht="18">
      <c r="A239" s="71"/>
      <c r="B239" s="71"/>
      <c r="C239" s="35"/>
      <c r="D239" s="35"/>
      <c r="G239" s="58"/>
    </row>
    <row r="240" spans="1:17" s="23" customFormat="1" ht="18">
      <c r="A240" s="71"/>
      <c r="B240" s="71"/>
      <c r="C240" s="35"/>
      <c r="D240" s="35"/>
      <c r="G240" s="58"/>
    </row>
    <row r="241" spans="1:12" s="23" customFormat="1" ht="18">
      <c r="A241" s="71"/>
      <c r="B241" s="73" t="s">
        <v>123</v>
      </c>
      <c r="C241" s="36"/>
      <c r="D241" s="36"/>
      <c r="E241" s="29"/>
      <c r="F241" s="29"/>
      <c r="G241" s="60"/>
      <c r="H241" s="29"/>
      <c r="I241" s="29"/>
      <c r="J241" s="29"/>
      <c r="K241" s="29"/>
      <c r="L241" s="29"/>
    </row>
    <row r="242" spans="1:12" s="23" customFormat="1" ht="18" outlineLevel="1">
      <c r="A242" s="71"/>
      <c r="B242" s="71"/>
      <c r="C242" s="57" t="s">
        <v>141</v>
      </c>
      <c r="D242" s="35"/>
      <c r="E242" s="24"/>
      <c r="G242" s="58"/>
    </row>
    <row r="243" spans="1:12" s="23" customFormat="1" ht="18" outlineLevel="1">
      <c r="A243" s="71"/>
      <c r="B243" s="71"/>
      <c r="C243" s="35"/>
      <c r="D243" s="35"/>
      <c r="E243" s="131" t="s">
        <v>246</v>
      </c>
      <c r="F243" s="33">
        <v>36</v>
      </c>
      <c r="G243" s="59" t="s">
        <v>51</v>
      </c>
      <c r="I243" s="38" t="s">
        <v>109</v>
      </c>
    </row>
    <row r="244" spans="1:12" s="23" customFormat="1" ht="18" outlineLevel="1">
      <c r="A244" s="71"/>
      <c r="B244" s="71"/>
      <c r="C244" s="35"/>
      <c r="D244" s="35"/>
      <c r="E244" s="131" t="s">
        <v>54</v>
      </c>
      <c r="F244" s="33">
        <v>0.25</v>
      </c>
      <c r="G244" s="59" t="s">
        <v>51</v>
      </c>
    </row>
    <row r="245" spans="1:12" s="23" customFormat="1" ht="18" outlineLevel="1">
      <c r="A245" s="71"/>
      <c r="B245" s="71"/>
      <c r="C245" s="35"/>
      <c r="D245" s="35"/>
      <c r="E245" s="131" t="s">
        <v>245</v>
      </c>
      <c r="F245" s="33">
        <v>0.25</v>
      </c>
      <c r="G245" s="62" t="s">
        <v>51</v>
      </c>
      <c r="I245" s="54" t="s">
        <v>124</v>
      </c>
    </row>
    <row r="246" spans="1:12" s="23" customFormat="1" ht="18" outlineLevel="1">
      <c r="A246" s="71"/>
      <c r="B246" s="71"/>
      <c r="C246" s="35"/>
      <c r="D246" s="35"/>
      <c r="E246" s="131" t="s">
        <v>126</v>
      </c>
      <c r="F246" s="33">
        <v>23</v>
      </c>
      <c r="G246" s="61" t="s">
        <v>51</v>
      </c>
      <c r="I246" s="38" t="s">
        <v>94</v>
      </c>
    </row>
    <row r="247" spans="1:12" s="23" customFormat="1" ht="18" outlineLevel="1">
      <c r="A247" s="71"/>
      <c r="B247" s="71"/>
      <c r="C247" s="38" t="s">
        <v>99</v>
      </c>
      <c r="D247" s="38"/>
      <c r="E247" s="28"/>
      <c r="F247" s="27"/>
      <c r="G247" s="59"/>
      <c r="I247" s="32"/>
    </row>
    <row r="248" spans="1:12" s="23" customFormat="1" ht="19.5" outlineLevel="1">
      <c r="A248" s="71"/>
      <c r="B248" s="71"/>
      <c r="C248" s="35"/>
      <c r="D248" s="35"/>
      <c r="E248" s="131" t="s">
        <v>98</v>
      </c>
      <c r="F248" s="45">
        <f>F244*F246</f>
        <v>5.75</v>
      </c>
      <c r="G248" s="61" t="s">
        <v>81</v>
      </c>
      <c r="H248" s="31" t="str">
        <f>[3]!EQS(F248,"Units= ; EqnPrefix=Valem  ; EqnNo= 0; Multiplication= 1; ShowWorking= 1; EqnStyle=2; Eqp$G$17_0")</f>
        <v/>
      </c>
      <c r="I248" s="30" t="s">
        <v>127</v>
      </c>
    </row>
    <row r="249" spans="1:12" s="23" customFormat="1" ht="18" outlineLevel="1">
      <c r="A249" s="71"/>
      <c r="B249" s="71"/>
      <c r="C249" s="57" t="s">
        <v>165</v>
      </c>
      <c r="D249" s="35"/>
      <c r="E249" s="37"/>
      <c r="F249" s="45"/>
      <c r="G249" s="61"/>
      <c r="H249" s="31"/>
      <c r="I249" s="30"/>
    </row>
    <row r="250" spans="1:12" s="23" customFormat="1" ht="19.5" outlineLevel="1">
      <c r="A250" s="71"/>
      <c r="B250" s="71"/>
      <c r="C250" s="48"/>
      <c r="D250" s="35"/>
      <c r="E250" s="131" t="s">
        <v>125</v>
      </c>
      <c r="F250" s="45">
        <f>F245*F244</f>
        <v>6.25E-2</v>
      </c>
      <c r="G250" s="61" t="s">
        <v>81</v>
      </c>
      <c r="H250" s="31" t="str">
        <f>[3]!EQS(F250,"Units= ; EqnPrefix=Valem  ; EqnNo= 0; Multiplication= 1; ShowWorking= 1; EqnStyle= 2; Eqp$H$137_2")</f>
        <v/>
      </c>
      <c r="I250" s="30" t="s">
        <v>128</v>
      </c>
    </row>
    <row r="251" spans="1:12" s="23" customFormat="1" ht="18" outlineLevel="1">
      <c r="A251" s="71"/>
      <c r="B251" s="71"/>
      <c r="C251" s="35" t="s">
        <v>65</v>
      </c>
      <c r="D251" s="35"/>
      <c r="F251" s="27"/>
      <c r="G251" s="59"/>
      <c r="I251" s="32"/>
    </row>
    <row r="252" spans="1:12" s="23" customFormat="1" ht="18" outlineLevel="1">
      <c r="A252" s="71"/>
      <c r="B252" s="71"/>
      <c r="C252" s="35"/>
      <c r="D252" s="35"/>
      <c r="E252" s="28"/>
      <c r="F252" s="27"/>
      <c r="G252" s="59"/>
      <c r="I252" s="32"/>
    </row>
    <row r="253" spans="1:12" s="23" customFormat="1" ht="18" outlineLevel="1">
      <c r="A253" s="71"/>
      <c r="B253" s="71"/>
      <c r="C253" s="35"/>
      <c r="D253" s="35"/>
      <c r="G253" s="58"/>
    </row>
    <row r="254" spans="1:12" s="23" customFormat="1" ht="19.5" outlineLevel="1">
      <c r="A254" s="71"/>
      <c r="B254" s="71"/>
      <c r="C254" s="35"/>
      <c r="D254" s="35"/>
      <c r="E254" s="131" t="s">
        <v>57</v>
      </c>
      <c r="F254" s="42">
        <f>F146*LN(F243/F147)*F143</f>
        <v>26.251212335920307</v>
      </c>
      <c r="G254" s="59" t="s">
        <v>43</v>
      </c>
      <c r="H254" s="31" t="str">
        <f>[3]!EQS(F254,"Units= ; EqnPrefix=Valem  ; EqnNo= 0; Multiplication= 1; ShowWorking= 0; EqnStyle= 2; Eqp$H$54_2")</f>
        <v/>
      </c>
      <c r="I254" s="40" t="s">
        <v>621</v>
      </c>
      <c r="J254" s="31"/>
    </row>
    <row r="255" spans="1:12" s="23" customFormat="1" ht="18" outlineLevel="1">
      <c r="A255" s="71"/>
      <c r="B255" s="71"/>
      <c r="C255" s="35"/>
      <c r="D255" s="35"/>
      <c r="E255" s="28"/>
      <c r="F255" s="42"/>
      <c r="G255" s="59"/>
      <c r="H255" s="31" t="str">
        <f>[3]!EQS(F254,"Units= ; EqnPrefix=Valem  ; EqnNo= 0; Multiplication= 1; ShowWorking= 1; EqnStyle= 2; Eqp$H$54_$H$55_3")</f>
        <v/>
      </c>
      <c r="I255" s="40" t="s">
        <v>64</v>
      </c>
      <c r="J255" s="31"/>
    </row>
    <row r="256" spans="1:12" s="23" customFormat="1" ht="18" outlineLevel="1">
      <c r="A256" s="71"/>
      <c r="B256" s="71"/>
      <c r="C256" s="41" t="s">
        <v>77</v>
      </c>
      <c r="D256" s="41"/>
      <c r="F256" s="42"/>
      <c r="G256" s="59"/>
      <c r="H256" s="31"/>
      <c r="I256" s="40"/>
      <c r="J256" s="31"/>
    </row>
    <row r="257" spans="1:13" s="23" customFormat="1" ht="19.5" outlineLevel="1">
      <c r="A257" s="71"/>
      <c r="B257" s="71"/>
      <c r="C257" s="35"/>
      <c r="D257" s="35"/>
      <c r="E257" s="131" t="s">
        <v>75</v>
      </c>
      <c r="F257" s="42">
        <f>1/2*F145*F254^2</f>
        <v>422.08976632716445</v>
      </c>
      <c r="G257" s="61" t="s">
        <v>76</v>
      </c>
      <c r="H257" s="31" t="str">
        <f>[3]!EQS(F257,"Units= ; EqnPrefix=Valem  ; EqnNo= 0; Multiplication= 1; ShowWorking= 0; EqnStyle= 2; Eqp$G$21_0")</f>
        <v/>
      </c>
      <c r="I257" s="40" t="s">
        <v>616</v>
      </c>
      <c r="J257" s="31"/>
    </row>
    <row r="258" spans="1:13" s="23" customFormat="1" ht="18" outlineLevel="1">
      <c r="A258" s="71"/>
      <c r="B258" s="71"/>
      <c r="C258" s="35"/>
      <c r="D258" s="35"/>
      <c r="E258" s="37"/>
      <c r="F258" s="42"/>
      <c r="G258" s="61"/>
      <c r="H258" s="31" t="str">
        <f>[3]!EQS(F257,"Units= ; EqnPrefix=Valem  ; EqnNo= 0; Multiplication= 1; ShowWorking= 1; EqnStyle= 2; Eqp$G$21_$G$25_1")</f>
        <v/>
      </c>
      <c r="I258" s="40" t="s">
        <v>617</v>
      </c>
      <c r="J258" s="31"/>
    </row>
    <row r="259" spans="1:13" s="23" customFormat="1" ht="18" outlineLevel="1">
      <c r="A259" s="71"/>
      <c r="B259" s="71"/>
      <c r="C259" s="35" t="s">
        <v>79</v>
      </c>
      <c r="D259" s="35"/>
      <c r="E259" s="37"/>
      <c r="F259" s="42"/>
      <c r="G259" s="61"/>
      <c r="I259" s="40"/>
      <c r="J259" s="31"/>
    </row>
    <row r="260" spans="1:13" s="23" customFormat="1" ht="19.5" outlineLevel="1">
      <c r="A260" s="71"/>
      <c r="B260" s="71"/>
      <c r="C260" s="35"/>
      <c r="D260" s="35"/>
      <c r="E260" s="131" t="s">
        <v>80</v>
      </c>
      <c r="F260" s="42">
        <f>(1+2.28/LN(F243/F147))^2</f>
        <v>1.8131807308313552</v>
      </c>
      <c r="G260" s="61"/>
      <c r="H260" s="31" t="str">
        <f>[3]!EQS(F260,"Units= ; EqnPrefix=Valem  ; EqnNo= 0; Multiplication= 1; ShowWorking= 0; EqnStyle= 2; Eqp$G$24_0")</f>
        <v/>
      </c>
      <c r="I260" s="40" t="s">
        <v>623</v>
      </c>
      <c r="J260" s="31"/>
    </row>
    <row r="261" spans="1:13" s="23" customFormat="1" ht="18" outlineLevel="1">
      <c r="A261" s="71"/>
      <c r="B261" s="71"/>
      <c r="C261" s="35"/>
      <c r="D261" s="35"/>
      <c r="E261" s="37"/>
      <c r="F261" s="42"/>
      <c r="G261" s="61"/>
      <c r="H261" s="31" t="str">
        <f>[3]!EQS(F260,"Units= ; EqnPrefix=Valem  ; EqnNo= 0; Multiplication= 1; ShowWorking= 1; EqnStyle= 2; Eqp$G$24_$G$28_1")</f>
        <v/>
      </c>
      <c r="I261" s="40" t="s">
        <v>613</v>
      </c>
      <c r="J261" s="31"/>
    </row>
    <row r="262" spans="1:13" s="23" customFormat="1" ht="18" outlineLevel="1">
      <c r="A262" s="71"/>
      <c r="B262" s="71"/>
      <c r="C262" s="23" t="s">
        <v>50</v>
      </c>
      <c r="E262" s="37"/>
      <c r="F262" s="42"/>
      <c r="G262" s="61"/>
      <c r="J262" s="31"/>
    </row>
    <row r="263" spans="1:13" s="23" customFormat="1" ht="19.5" outlineLevel="1">
      <c r="A263" s="71"/>
      <c r="B263" s="71"/>
      <c r="C263" s="35"/>
      <c r="D263" s="35"/>
      <c r="E263" s="28" t="s">
        <v>52</v>
      </c>
      <c r="F263" s="23">
        <v>1.1499999999999999</v>
      </c>
      <c r="G263" s="58"/>
      <c r="J263" s="31"/>
    </row>
    <row r="264" spans="1:13" s="23" customFormat="1" ht="18" outlineLevel="1">
      <c r="A264" s="71"/>
      <c r="B264" s="71"/>
      <c r="C264" s="57" t="s">
        <v>145</v>
      </c>
      <c r="D264" s="35"/>
      <c r="E264" s="31"/>
      <c r="F264" s="50"/>
      <c r="G264" s="58"/>
      <c r="H264" s="31"/>
      <c r="I264" s="40"/>
      <c r="J264" s="31"/>
    </row>
    <row r="265" spans="1:13" s="23" customFormat="1" ht="19.5" outlineLevel="1">
      <c r="A265" s="71"/>
      <c r="B265" s="71"/>
      <c r="C265" s="35"/>
      <c r="D265" s="35"/>
      <c r="E265" s="131" t="s">
        <v>149</v>
      </c>
      <c r="F265" s="134">
        <v>1.58</v>
      </c>
      <c r="G265" s="58"/>
      <c r="H265" s="31"/>
      <c r="I265" s="131" t="s">
        <v>640</v>
      </c>
      <c r="J265" s="23">
        <v>1.5</v>
      </c>
      <c r="K265" s="23">
        <v>1.62</v>
      </c>
      <c r="L265" s="23">
        <v>1.75</v>
      </c>
      <c r="M265" s="129" t="s">
        <v>639</v>
      </c>
    </row>
    <row r="266" spans="1:13" s="23" customFormat="1" ht="19.5" outlineLevel="1">
      <c r="A266" s="71"/>
      <c r="B266" s="71"/>
      <c r="C266" s="35"/>
      <c r="D266" s="35"/>
      <c r="E266" s="31"/>
      <c r="F266" s="50"/>
      <c r="G266" s="58"/>
      <c r="H266" s="31"/>
      <c r="I266" s="131" t="s">
        <v>641</v>
      </c>
      <c r="J266" s="23">
        <v>1.48</v>
      </c>
      <c r="K266" s="46">
        <f>(K265-J265)/(L265-J265)*(L266-J266)+J266</f>
        <v>1.5760000000000001</v>
      </c>
      <c r="L266" s="23">
        <v>1.68</v>
      </c>
    </row>
    <row r="267" spans="1:13" s="23" customFormat="1" ht="18" outlineLevel="1">
      <c r="A267" s="71"/>
      <c r="B267" s="71"/>
      <c r="C267" s="57" t="s">
        <v>146</v>
      </c>
      <c r="D267" s="35"/>
      <c r="E267" s="31"/>
      <c r="F267" s="50"/>
      <c r="G267" s="58"/>
      <c r="H267" s="31"/>
      <c r="J267" s="40"/>
      <c r="K267" s="31"/>
    </row>
    <row r="268" spans="1:13" s="23" customFormat="1" ht="19.5" outlineLevel="1">
      <c r="A268" s="71"/>
      <c r="B268" s="71"/>
      <c r="C268" s="57"/>
      <c r="D268" s="35"/>
      <c r="E268" s="131" t="s">
        <v>150</v>
      </c>
      <c r="F268" s="134">
        <v>1.75</v>
      </c>
      <c r="G268" s="58"/>
      <c r="H268" s="31"/>
      <c r="I268" s="131" t="s">
        <v>640</v>
      </c>
      <c r="J268" s="23">
        <v>1.75</v>
      </c>
      <c r="K268" s="23">
        <v>1.84</v>
      </c>
      <c r="L268" s="23">
        <v>2</v>
      </c>
      <c r="M268" s="129" t="s">
        <v>639</v>
      </c>
    </row>
    <row r="269" spans="1:13" s="23" customFormat="1" ht="19.5" outlineLevel="1">
      <c r="A269" s="71"/>
      <c r="B269" s="71"/>
      <c r="C269" s="35"/>
      <c r="D269" s="35"/>
      <c r="E269" s="31"/>
      <c r="F269" s="50"/>
      <c r="G269" s="58"/>
      <c r="H269" s="31"/>
      <c r="I269" s="131" t="s">
        <v>641</v>
      </c>
      <c r="J269" s="23">
        <v>1.68</v>
      </c>
      <c r="K269" s="46">
        <f>(K268-J268)/(L268-J268)*(L269-J269)+J269</f>
        <v>1.752</v>
      </c>
      <c r="L269" s="23">
        <v>1.88</v>
      </c>
    </row>
    <row r="270" spans="1:13" s="23" customFormat="1" ht="18" outlineLevel="1">
      <c r="A270" s="71"/>
      <c r="B270" s="71"/>
      <c r="C270" s="57" t="s">
        <v>134</v>
      </c>
      <c r="D270" s="35"/>
      <c r="E270" s="31"/>
      <c r="F270" s="31"/>
      <c r="G270" s="58"/>
      <c r="H270" s="31"/>
      <c r="I270" s="40"/>
      <c r="J270" s="31"/>
    </row>
    <row r="271" spans="1:13" s="23" customFormat="1" ht="19.5" outlineLevel="1">
      <c r="A271" s="71"/>
      <c r="B271" s="71"/>
      <c r="C271" s="35"/>
      <c r="D271" s="35"/>
      <c r="E271" s="132" t="s">
        <v>155</v>
      </c>
      <c r="F271" s="125">
        <f>COS(RADIANS(90))^2</f>
        <v>3.7524718414124473E-33</v>
      </c>
      <c r="G271" s="58"/>
      <c r="H271" s="31" t="str">
        <f>[3]!EQS(F271,"Units= ; EqnPrefix=Valem  ; EqnNo= 0; Multiplication= 1; ShowWorking= 0; EqnStyle= 2; Eqp$H$75_2")</f>
        <v/>
      </c>
      <c r="I271" s="40" t="s">
        <v>654</v>
      </c>
      <c r="J271" s="31"/>
    </row>
    <row r="272" spans="1:13" s="23" customFormat="1" ht="18" outlineLevel="1">
      <c r="A272" s="71"/>
      <c r="B272" s="71"/>
      <c r="C272" s="57" t="s">
        <v>151</v>
      </c>
      <c r="D272" s="35"/>
      <c r="E272" s="55"/>
      <c r="F272" s="53"/>
      <c r="G272" s="58"/>
      <c r="H272" s="31"/>
      <c r="I272" s="40"/>
      <c r="J272" s="31"/>
    </row>
    <row r="273" spans="1:12" s="23" customFormat="1" ht="19.5" outlineLevel="1">
      <c r="A273" s="71"/>
      <c r="B273" s="71"/>
      <c r="C273" s="35"/>
      <c r="D273" s="35"/>
      <c r="E273" s="132" t="s">
        <v>156</v>
      </c>
      <c r="F273" s="125">
        <f>COS(RADIANS(0))^2</f>
        <v>1</v>
      </c>
      <c r="G273" s="58"/>
      <c r="H273" s="31" t="str">
        <f>[3]!EQS(F273,"Units= ; EqnPrefix=Valem  ; EqnNo= 0; Multiplication= 1; ShowWorking= 0; EqnStyle= 2; Eqp$H$75_2")</f>
        <v/>
      </c>
      <c r="I273" s="40" t="s">
        <v>654</v>
      </c>
      <c r="J273" s="31"/>
    </row>
    <row r="274" spans="1:12" s="23" customFormat="1" ht="18">
      <c r="A274" s="71"/>
      <c r="B274" s="71"/>
      <c r="C274" s="57" t="s">
        <v>135</v>
      </c>
      <c r="D274" s="35"/>
      <c r="G274" s="58"/>
    </row>
    <row r="275" spans="1:12" s="23" customFormat="1" ht="19.5">
      <c r="A275" s="71"/>
      <c r="B275" s="71"/>
      <c r="C275" s="35"/>
      <c r="D275" s="35"/>
      <c r="E275" s="131" t="s">
        <v>152</v>
      </c>
      <c r="F275" s="46">
        <f>F257*F260*F263*F265*F244*F271</f>
        <v>1.30454269040586E-30</v>
      </c>
      <c r="G275" s="61" t="s">
        <v>86</v>
      </c>
      <c r="H275" s="31" t="str">
        <f>[3]!EQS(F275,"Units= ; EqnPrefix=Valem  ; EqnNo= 0; Multiplication= 1; ShowWorking= 0; EqnStyle= 2; Eqp$G$39_0")</f>
        <v/>
      </c>
      <c r="I275" s="30" t="s">
        <v>629</v>
      </c>
    </row>
    <row r="276" spans="1:12" s="23" customFormat="1" ht="18">
      <c r="A276" s="71"/>
      <c r="B276" s="71"/>
      <c r="C276" s="35"/>
      <c r="D276" s="35"/>
      <c r="G276" s="58"/>
      <c r="H276" s="23" t="str">
        <f>[3]!EQS(F275,"Units= ; EqnPrefix=Valem  ; EqnNo= 0; Multiplication= 1; ShowWorking= 1; EqnStyle= 2; Eqp$G$39_$G$40_1")</f>
        <v/>
      </c>
      <c r="I276" s="30" t="s">
        <v>657</v>
      </c>
    </row>
    <row r="277" spans="1:12" s="23" customFormat="1" ht="18">
      <c r="A277" s="71"/>
      <c r="B277" s="71"/>
      <c r="C277" s="57" t="s">
        <v>158</v>
      </c>
      <c r="D277" s="35"/>
      <c r="G277" s="58"/>
    </row>
    <row r="278" spans="1:12" s="23" customFormat="1" ht="19.5">
      <c r="A278" s="71"/>
      <c r="B278" s="71"/>
      <c r="C278" s="35"/>
      <c r="D278" s="35"/>
      <c r="E278" s="131" t="s">
        <v>153</v>
      </c>
      <c r="F278" s="46">
        <f>F257*F260*F263*F268*F245*F244*F273</f>
        <v>96.263539053647932</v>
      </c>
      <c r="G278" s="62" t="s">
        <v>154</v>
      </c>
      <c r="H278" s="31" t="str">
        <f>[3]!EQS(F278,"Units= ; EqnPrefix=Valem  ; EqnNo= 0; Multiplication= 1; ShowWorking= 0; EqnStyle= 2; Eqp$G$39_0")</f>
        <v/>
      </c>
      <c r="I278" s="30" t="s">
        <v>630</v>
      </c>
    </row>
    <row r="279" spans="1:12" s="23" customFormat="1" ht="18">
      <c r="A279" s="71"/>
      <c r="B279" s="71"/>
      <c r="C279" s="35"/>
      <c r="D279" s="35"/>
      <c r="G279" s="58"/>
      <c r="H279" s="23" t="str">
        <f>[3]!EQS(F278,"Units= ; EqnPrefix=Valem  ; EqnNo= 0; Multiplication= 1; ShowWorking= 1; EqnStyle= 2; Eqp$G$39_$G$40_1")</f>
        <v/>
      </c>
      <c r="I279" s="30" t="s">
        <v>658</v>
      </c>
    </row>
    <row r="280" spans="1:12" s="23" customFormat="1" ht="18">
      <c r="A280" s="71"/>
      <c r="B280" s="73" t="s">
        <v>159</v>
      </c>
      <c r="C280" s="36"/>
      <c r="D280" s="36"/>
      <c r="E280" s="29"/>
      <c r="F280" s="29"/>
      <c r="G280" s="60"/>
      <c r="H280" s="29"/>
      <c r="I280" s="29"/>
      <c r="J280" s="29"/>
      <c r="K280" s="29"/>
      <c r="L280" s="29"/>
    </row>
    <row r="281" spans="1:12" s="23" customFormat="1" ht="18" outlineLevel="1">
      <c r="A281" s="71"/>
      <c r="B281" s="71"/>
      <c r="C281" s="57" t="s">
        <v>160</v>
      </c>
      <c r="D281" s="35"/>
      <c r="E281" s="24"/>
      <c r="G281" s="58"/>
    </row>
    <row r="282" spans="1:12" s="23" customFormat="1" ht="18" outlineLevel="1">
      <c r="A282" s="71"/>
      <c r="B282" s="71"/>
      <c r="C282" s="35"/>
      <c r="D282" s="35"/>
      <c r="E282" s="131" t="s">
        <v>246</v>
      </c>
      <c r="F282" s="33">
        <v>41</v>
      </c>
      <c r="G282" s="59" t="s">
        <v>51</v>
      </c>
      <c r="I282" s="38" t="s">
        <v>109</v>
      </c>
    </row>
    <row r="283" spans="1:12" s="23" customFormat="1" ht="18" outlineLevel="1">
      <c r="A283" s="71"/>
      <c r="B283" s="71"/>
      <c r="C283" s="35"/>
      <c r="D283" s="35"/>
      <c r="E283" s="131" t="s">
        <v>54</v>
      </c>
      <c r="F283" s="33">
        <f>0.25+0.02</f>
        <v>0.27</v>
      </c>
      <c r="G283" s="59" t="s">
        <v>51</v>
      </c>
    </row>
    <row r="284" spans="1:12" s="23" customFormat="1" ht="18" outlineLevel="1">
      <c r="A284" s="71"/>
      <c r="B284" s="71"/>
      <c r="C284" s="35"/>
      <c r="D284" s="35"/>
      <c r="E284" s="131" t="s">
        <v>245</v>
      </c>
      <c r="F284" s="33">
        <f>0.15+0.2</f>
        <v>0.35</v>
      </c>
      <c r="G284" s="62" t="s">
        <v>51</v>
      </c>
      <c r="I284" s="54" t="s">
        <v>124</v>
      </c>
    </row>
    <row r="285" spans="1:12" s="23" customFormat="1" ht="18" outlineLevel="1">
      <c r="A285" s="71"/>
      <c r="B285" s="71"/>
      <c r="C285" s="35"/>
      <c r="D285" s="35"/>
      <c r="E285" s="131" t="s">
        <v>126</v>
      </c>
      <c r="F285" s="33">
        <v>5</v>
      </c>
      <c r="G285" s="61" t="s">
        <v>51</v>
      </c>
      <c r="I285" s="38" t="s">
        <v>94</v>
      </c>
    </row>
    <row r="286" spans="1:12" s="23" customFormat="1" ht="18" outlineLevel="1">
      <c r="A286" s="71"/>
      <c r="B286" s="71"/>
      <c r="C286" s="38" t="s">
        <v>99</v>
      </c>
      <c r="D286" s="38"/>
      <c r="E286" s="28"/>
      <c r="F286" s="27"/>
      <c r="G286" s="59"/>
      <c r="I286" s="32"/>
    </row>
    <row r="287" spans="1:12" s="23" customFormat="1" ht="19.5" outlineLevel="1">
      <c r="A287" s="71"/>
      <c r="B287" s="71"/>
      <c r="C287" s="35"/>
      <c r="D287" s="35"/>
      <c r="E287" s="131" t="s">
        <v>98</v>
      </c>
      <c r="F287" s="45">
        <f>F284*F285</f>
        <v>1.75</v>
      </c>
      <c r="G287" s="61" t="s">
        <v>81</v>
      </c>
      <c r="H287" s="31" t="str">
        <f>[3]!EQS(F287,"Units= ; EqnPrefix=Valem  ; EqnNo= 0; Multiplication= 1; ShowWorking= 1; EqnStyle=2; Eqp$G$17_0")</f>
        <v/>
      </c>
      <c r="I287" s="30" t="s">
        <v>643</v>
      </c>
    </row>
    <row r="288" spans="1:12" s="23" customFormat="1" ht="18" outlineLevel="1">
      <c r="A288" s="71"/>
      <c r="B288" s="71"/>
      <c r="C288" s="57" t="s">
        <v>165</v>
      </c>
      <c r="D288" s="35"/>
      <c r="E288" s="37"/>
      <c r="F288" s="45"/>
      <c r="G288" s="61"/>
      <c r="H288" s="31"/>
      <c r="I288" s="30"/>
    </row>
    <row r="289" spans="1:13" s="23" customFormat="1" ht="19.5" outlineLevel="1">
      <c r="A289" s="71"/>
      <c r="B289" s="71"/>
      <c r="C289" s="48"/>
      <c r="D289" s="35"/>
      <c r="E289" s="131" t="s">
        <v>125</v>
      </c>
      <c r="F289" s="45">
        <f>F285*F283</f>
        <v>1.35</v>
      </c>
      <c r="G289" s="61" t="s">
        <v>81</v>
      </c>
      <c r="H289" s="31" t="str">
        <f>[3]!EQS(F289,"Units= ; EqnPrefix=Valem  ; EqnNo= 0; Multiplication= 1; ShowWorking= 1; EqnStyle= 2; Eqp$H$137_2")</f>
        <v/>
      </c>
      <c r="I289" s="30" t="s">
        <v>642</v>
      </c>
    </row>
    <row r="290" spans="1:13" s="23" customFormat="1" ht="18" outlineLevel="1">
      <c r="A290" s="71"/>
      <c r="B290" s="71"/>
      <c r="C290" s="35" t="s">
        <v>65</v>
      </c>
      <c r="D290" s="35"/>
      <c r="F290" s="27"/>
      <c r="G290" s="59"/>
      <c r="I290" s="32"/>
    </row>
    <row r="291" spans="1:13" s="23" customFormat="1" ht="18" outlineLevel="1">
      <c r="A291" s="71"/>
      <c r="B291" s="71"/>
      <c r="C291" s="35"/>
      <c r="D291" s="35"/>
      <c r="E291" s="28"/>
      <c r="F291" s="27"/>
      <c r="G291" s="59"/>
      <c r="I291" s="32"/>
    </row>
    <row r="292" spans="1:13" s="23" customFormat="1" ht="18" outlineLevel="1">
      <c r="A292" s="71"/>
      <c r="B292" s="71"/>
      <c r="C292" s="35"/>
      <c r="D292" s="35"/>
      <c r="G292" s="58"/>
    </row>
    <row r="293" spans="1:13" s="23" customFormat="1" ht="19.5" outlineLevel="1">
      <c r="A293" s="71"/>
      <c r="B293" s="71"/>
      <c r="C293" s="35"/>
      <c r="D293" s="35"/>
      <c r="E293" s="131" t="s">
        <v>57</v>
      </c>
      <c r="F293" s="42">
        <f>F146*LN(F282/F147)*F143</f>
        <v>26.770124317630611</v>
      </c>
      <c r="G293" s="59" t="s">
        <v>43</v>
      </c>
      <c r="H293" s="31" t="str">
        <f>[3]!EQS(F293,"Units= ; EqnPrefix=Valem  ; EqnNo= 0; Multiplication= 1; ShowWorking= 0; EqnStyle= 2; Eqp$H$54_2")</f>
        <v/>
      </c>
      <c r="I293" s="40" t="s">
        <v>621</v>
      </c>
      <c r="J293" s="31"/>
    </row>
    <row r="294" spans="1:13" s="23" customFormat="1" ht="18" outlineLevel="1">
      <c r="A294" s="71"/>
      <c r="B294" s="71"/>
      <c r="C294" s="35"/>
      <c r="D294" s="35"/>
      <c r="E294" s="28"/>
      <c r="F294" s="42"/>
      <c r="G294" s="59"/>
      <c r="H294" s="31" t="str">
        <f>[3]!EQS(F293,"Units= ; EqnPrefix=Valem  ; EqnNo= 0; Multiplication= 1; ShowWorking= 1; EqnStyle= 2; Eqp$H$54_$H$55_3")</f>
        <v/>
      </c>
      <c r="I294" s="40" t="s">
        <v>161</v>
      </c>
      <c r="J294" s="31"/>
    </row>
    <row r="295" spans="1:13" s="23" customFormat="1" ht="18" outlineLevel="1">
      <c r="A295" s="71"/>
      <c r="B295" s="71"/>
      <c r="C295" s="41" t="s">
        <v>77</v>
      </c>
      <c r="D295" s="41"/>
      <c r="F295" s="42"/>
      <c r="G295" s="59"/>
      <c r="H295" s="31"/>
      <c r="I295" s="40"/>
      <c r="J295" s="31"/>
    </row>
    <row r="296" spans="1:13" s="23" customFormat="1" ht="19.5" outlineLevel="1">
      <c r="A296" s="71"/>
      <c r="B296" s="71"/>
      <c r="C296" s="35"/>
      <c r="D296" s="35"/>
      <c r="E296" s="131" t="s">
        <v>75</v>
      </c>
      <c r="F296" s="42">
        <f>1/2*F145*F293^2</f>
        <v>438.94172803860613</v>
      </c>
      <c r="G296" s="61" t="s">
        <v>76</v>
      </c>
      <c r="H296" s="31" t="str">
        <f>[3]!EQS(F296,"Units= ; EqnPrefix=Valem  ; EqnNo= 0; Multiplication= 1; ShowWorking= 0; EqnStyle= 2; Eqp$G$21_0")</f>
        <v/>
      </c>
      <c r="I296" s="40" t="s">
        <v>616</v>
      </c>
      <c r="J296" s="31"/>
    </row>
    <row r="297" spans="1:13" s="23" customFormat="1" ht="18" outlineLevel="1">
      <c r="A297" s="71"/>
      <c r="B297" s="71"/>
      <c r="C297" s="35"/>
      <c r="D297" s="35"/>
      <c r="E297" s="37"/>
      <c r="F297" s="42"/>
      <c r="G297" s="61"/>
      <c r="H297" s="31" t="str">
        <f>[3]!EQS(F296,"Units= ; EqnPrefix=Valem  ; EqnNo= 0; Multiplication= 1; ShowWorking= 1; EqnStyle= 2; Eqp$G$21_$G$25_1")</f>
        <v/>
      </c>
      <c r="I297" s="40" t="s">
        <v>644</v>
      </c>
      <c r="J297" s="31"/>
    </row>
    <row r="298" spans="1:13" s="23" customFormat="1" ht="18" outlineLevel="1">
      <c r="A298" s="71"/>
      <c r="B298" s="71"/>
      <c r="C298" s="35" t="s">
        <v>79</v>
      </c>
      <c r="D298" s="35"/>
      <c r="E298" s="37"/>
      <c r="F298" s="42"/>
      <c r="G298" s="61"/>
      <c r="I298" s="40"/>
      <c r="J298" s="31"/>
    </row>
    <row r="299" spans="1:13" s="23" customFormat="1" ht="19.5" outlineLevel="1">
      <c r="A299" s="71"/>
      <c r="B299" s="71"/>
      <c r="C299" s="35"/>
      <c r="D299" s="35"/>
      <c r="E299" s="131" t="s">
        <v>80</v>
      </c>
      <c r="F299" s="42">
        <f>(1+2.28/LN(F282/F147))^2</f>
        <v>1.7951352851913878</v>
      </c>
      <c r="G299" s="61"/>
      <c r="H299" s="31" t="str">
        <f>[3]!EQS(F299,"Units= ; EqnPrefix=Valem  ; EqnNo= 0; Multiplication= 1; ShowWorking= 0; EqnStyle= 2; Eqp$G$24_0")</f>
        <v/>
      </c>
      <c r="I299" s="40" t="s">
        <v>623</v>
      </c>
      <c r="J299" s="31"/>
    </row>
    <row r="300" spans="1:13" s="23" customFormat="1" ht="18" outlineLevel="1">
      <c r="A300" s="71"/>
      <c r="B300" s="71"/>
      <c r="C300" s="35"/>
      <c r="D300" s="35"/>
      <c r="E300" s="37"/>
      <c r="F300" s="42"/>
      <c r="G300" s="61"/>
      <c r="H300" s="31" t="str">
        <f>[3]!EQS(F299,"Units= ; EqnPrefix=Valem  ; EqnNo= 0; Multiplication= 1; ShowWorking= 1; EqnStyle= 2; Eqp$G$24_$G$28_1")</f>
        <v/>
      </c>
      <c r="I300" s="40" t="s">
        <v>645</v>
      </c>
      <c r="J300" s="31"/>
    </row>
    <row r="301" spans="1:13" s="23" customFormat="1" ht="18" outlineLevel="1">
      <c r="A301" s="71"/>
      <c r="B301" s="71"/>
      <c r="C301" s="23" t="s">
        <v>50</v>
      </c>
      <c r="E301" s="37"/>
      <c r="F301" s="42"/>
      <c r="G301" s="61"/>
      <c r="J301" s="31"/>
    </row>
    <row r="302" spans="1:13" s="23" customFormat="1" ht="19.5" outlineLevel="1">
      <c r="A302" s="71"/>
      <c r="B302" s="71"/>
      <c r="C302" s="35"/>
      <c r="D302" s="35"/>
      <c r="E302" s="28" t="s">
        <v>52</v>
      </c>
      <c r="F302" s="23">
        <v>1.1499999999999999</v>
      </c>
      <c r="G302" s="58"/>
      <c r="J302" s="31"/>
    </row>
    <row r="303" spans="1:13" s="23" customFormat="1" ht="18" outlineLevel="1">
      <c r="A303" s="71"/>
      <c r="B303" s="71"/>
      <c r="C303" s="57" t="s">
        <v>145</v>
      </c>
      <c r="D303" s="35"/>
      <c r="E303" s="31"/>
      <c r="F303" s="50"/>
      <c r="G303" s="58"/>
      <c r="H303" s="31"/>
      <c r="I303" s="40"/>
      <c r="J303" s="31"/>
    </row>
    <row r="304" spans="1:13" s="23" customFormat="1" ht="19.5" outlineLevel="1">
      <c r="A304" s="71"/>
      <c r="B304" s="71"/>
      <c r="C304" s="35"/>
      <c r="D304" s="35"/>
      <c r="E304" s="131" t="s">
        <v>170</v>
      </c>
      <c r="F304" s="134">
        <v>1.5</v>
      </c>
      <c r="G304" s="58"/>
      <c r="H304" s="31"/>
      <c r="I304" s="131" t="s">
        <v>640</v>
      </c>
      <c r="J304" s="23">
        <v>1.5</v>
      </c>
      <c r="K304" s="23">
        <v>1.53</v>
      </c>
      <c r="L304" s="23">
        <v>1.75</v>
      </c>
      <c r="M304" s="129" t="s">
        <v>639</v>
      </c>
    </row>
    <row r="305" spans="1:13" s="23" customFormat="1" ht="19.5" outlineLevel="1">
      <c r="A305" s="71"/>
      <c r="B305" s="71"/>
      <c r="C305" s="35"/>
      <c r="D305" s="35"/>
      <c r="E305" s="31"/>
      <c r="F305" s="50"/>
      <c r="G305" s="58"/>
      <c r="H305" s="31"/>
      <c r="I305" s="131" t="s">
        <v>641</v>
      </c>
      <c r="J305" s="23">
        <v>1.48</v>
      </c>
      <c r="K305" s="46">
        <f>(K304-J304)/(L304-J304)*(L305-J305)+J305</f>
        <v>1.504</v>
      </c>
      <c r="L305" s="23">
        <v>1.68</v>
      </c>
    </row>
    <row r="306" spans="1:13" s="23" customFormat="1" ht="18" outlineLevel="1">
      <c r="A306" s="71"/>
      <c r="B306" s="71"/>
      <c r="C306" s="57" t="s">
        <v>146</v>
      </c>
      <c r="D306" s="35"/>
      <c r="E306" s="31"/>
      <c r="F306" s="50"/>
      <c r="G306" s="58"/>
      <c r="H306" s="31"/>
      <c r="J306" s="40"/>
      <c r="K306" s="31"/>
    </row>
    <row r="307" spans="1:13" s="23" customFormat="1" ht="19.5" outlineLevel="1">
      <c r="A307" s="71"/>
      <c r="B307" s="71"/>
      <c r="C307" s="57"/>
      <c r="D307" s="35"/>
      <c r="E307" s="131" t="s">
        <v>171</v>
      </c>
      <c r="F307" s="134">
        <v>1.5</v>
      </c>
      <c r="G307" s="58"/>
      <c r="H307" s="31"/>
      <c r="I307" s="131" t="s">
        <v>640</v>
      </c>
      <c r="J307" s="23">
        <v>1.75</v>
      </c>
      <c r="K307" s="23">
        <v>1.53</v>
      </c>
      <c r="L307" s="23">
        <v>2</v>
      </c>
      <c r="M307" s="129" t="s">
        <v>639</v>
      </c>
    </row>
    <row r="308" spans="1:13" s="23" customFormat="1" ht="19.5" outlineLevel="1">
      <c r="A308" s="71"/>
      <c r="B308" s="71"/>
      <c r="C308" s="35"/>
      <c r="D308" s="35"/>
      <c r="E308" s="31"/>
      <c r="F308" s="50"/>
      <c r="G308" s="58"/>
      <c r="H308" s="31"/>
      <c r="I308" s="131" t="s">
        <v>641</v>
      </c>
      <c r="J308" s="23">
        <v>1.68</v>
      </c>
      <c r="K308" s="46">
        <f>(K307-J307)/(L307-J307)*(L308-J308)+J308</f>
        <v>1.504</v>
      </c>
      <c r="L308" s="23">
        <v>1.88</v>
      </c>
    </row>
    <row r="309" spans="1:13" s="23" customFormat="1" ht="18" outlineLevel="1">
      <c r="A309" s="71"/>
      <c r="B309" s="71"/>
      <c r="C309" s="57" t="s">
        <v>134</v>
      </c>
      <c r="D309" s="35"/>
      <c r="E309" s="31"/>
      <c r="F309" s="31"/>
      <c r="G309" s="58"/>
      <c r="H309" s="31"/>
      <c r="I309" s="40"/>
      <c r="J309" s="31"/>
    </row>
    <row r="310" spans="1:13" s="23" customFormat="1" ht="19.5" outlineLevel="1">
      <c r="A310" s="71"/>
      <c r="B310" s="71"/>
      <c r="C310" s="35"/>
      <c r="D310" s="35"/>
      <c r="E310" s="132" t="s">
        <v>155</v>
      </c>
      <c r="F310" s="125">
        <f>COS(RADIANS(90))^2</f>
        <v>3.7524718414124473E-33</v>
      </c>
      <c r="G310" s="58"/>
      <c r="H310" s="31" t="str">
        <f>[3]!EQS(F310,"Units= ; EqnPrefix=Valem  ; EqnNo= 0; Multiplication= 1; ShowWorking= 0; EqnStyle= 2; Eqp$H$75_2")</f>
        <v/>
      </c>
      <c r="I310" s="40" t="s">
        <v>654</v>
      </c>
      <c r="J310" s="31"/>
    </row>
    <row r="311" spans="1:13" s="23" customFormat="1" ht="18" outlineLevel="1">
      <c r="A311" s="71"/>
      <c r="B311" s="71"/>
      <c r="C311" s="57" t="s">
        <v>151</v>
      </c>
      <c r="D311" s="35"/>
      <c r="E311" s="55"/>
      <c r="F311" s="53"/>
      <c r="G311" s="58"/>
      <c r="H311" s="31"/>
      <c r="I311" s="40"/>
      <c r="J311" s="31"/>
    </row>
    <row r="312" spans="1:13" s="23" customFormat="1" ht="19.5" outlineLevel="1">
      <c r="A312" s="71"/>
      <c r="B312" s="71"/>
      <c r="C312" s="35"/>
      <c r="D312" s="35"/>
      <c r="E312" s="132" t="s">
        <v>156</v>
      </c>
      <c r="F312" s="125">
        <f>COS(RADIANS(0))^2</f>
        <v>1</v>
      </c>
      <c r="G312" s="58"/>
      <c r="H312" s="31" t="str">
        <f>[3]!EQS(F312,"Units= ; EqnPrefix=Valem  ; EqnNo= 0; Multiplication= 1; ShowWorking= 0; EqnStyle= 2; Eqp$H$75_2")</f>
        <v/>
      </c>
      <c r="I312" s="40" t="s">
        <v>654</v>
      </c>
      <c r="J312" s="31"/>
    </row>
    <row r="313" spans="1:13" s="23" customFormat="1" ht="18">
      <c r="A313" s="71"/>
      <c r="B313" s="71"/>
      <c r="C313" s="57" t="s">
        <v>173</v>
      </c>
      <c r="D313" s="35"/>
      <c r="G313" s="58"/>
    </row>
    <row r="314" spans="1:13" s="23" customFormat="1" ht="19.5">
      <c r="A314" s="71"/>
      <c r="B314" s="71"/>
      <c r="C314" s="35"/>
      <c r="D314" s="35"/>
      <c r="E314" s="131" t="s">
        <v>152</v>
      </c>
      <c r="F314" s="46">
        <f>F296*F299*F302*F304*F284*F310</f>
        <v>1.7851661296848244E-30</v>
      </c>
      <c r="G314" s="61" t="s">
        <v>86</v>
      </c>
      <c r="H314" s="31" t="str">
        <f>[3]!EQS(F314,"Units= ; EqnPrefix=Valem  ; EqnNo= 0; Multiplication= 1; ShowWorking= 0; EqnStyle= 2; Eqp$G$39_0")</f>
        <v/>
      </c>
      <c r="I314" s="30" t="s">
        <v>631</v>
      </c>
    </row>
    <row r="315" spans="1:13" s="23" customFormat="1" ht="18">
      <c r="A315" s="71"/>
      <c r="B315" s="71"/>
      <c r="C315" s="35"/>
      <c r="D315" s="35"/>
      <c r="G315" s="58"/>
      <c r="H315" s="23" t="str">
        <f>[3]!EQS(F314,"Units= ; EqnPrefix=Valem  ; EqnNo= 0; Multiplication= 1; ShowWorking= 1; EqnStyle= 2; Eqp$G$39_$G$40_1")</f>
        <v/>
      </c>
      <c r="I315" s="30" t="s">
        <v>659</v>
      </c>
    </row>
    <row r="316" spans="1:13" s="23" customFormat="1" ht="18">
      <c r="A316" s="71"/>
      <c r="B316" s="71"/>
      <c r="C316" s="57" t="s">
        <v>174</v>
      </c>
      <c r="D316" s="35"/>
      <c r="G316" s="58"/>
    </row>
    <row r="317" spans="1:13" s="23" customFormat="1" ht="19.5">
      <c r="A317" s="71"/>
      <c r="B317" s="71"/>
      <c r="C317" s="35"/>
      <c r="D317" s="35"/>
      <c r="E317" s="131" t="s">
        <v>153</v>
      </c>
      <c r="F317" s="46">
        <f>F296*F299*F302*F307*F283*F312</f>
        <v>366.99226946552619</v>
      </c>
      <c r="G317" s="62" t="s">
        <v>86</v>
      </c>
      <c r="H317" s="31" t="str">
        <f>[3]!EQS(F317,"Units= ; EqnPrefix=Valem  ; EqnNo= 0; Multiplication= 1; ShowWorking= 0; EqnStyle= 2; Eqp$G$39_0")</f>
        <v/>
      </c>
      <c r="I317" s="30" t="s">
        <v>632</v>
      </c>
    </row>
    <row r="318" spans="1:13" s="23" customFormat="1" ht="18">
      <c r="A318" s="71"/>
      <c r="B318" s="71"/>
      <c r="C318" s="35"/>
      <c r="D318" s="35"/>
      <c r="G318" s="58"/>
      <c r="H318" s="23" t="str">
        <f>[3]!EQS(F317,"Units= ; EqnPrefix=Valem  ; EqnNo= 0; Multiplication= 1; ShowWorking= 1; EqnStyle= 2; Eqp$G$39_$G$40_1")</f>
        <v/>
      </c>
      <c r="I318" s="30" t="s">
        <v>660</v>
      </c>
    </row>
    <row r="321" spans="1:10" s="23" customFormat="1" ht="20.25">
      <c r="A321" s="123"/>
      <c r="B321" s="71" t="s">
        <v>682</v>
      </c>
      <c r="C321" s="35"/>
      <c r="D321" s="35"/>
      <c r="E321" s="66"/>
      <c r="F321" s="70"/>
      <c r="G321" s="67"/>
      <c r="H321" s="31"/>
      <c r="I321" s="30"/>
    </row>
    <row r="322" spans="1:10" s="23" customFormat="1" ht="20.25">
      <c r="A322" s="123"/>
      <c r="B322" s="71"/>
      <c r="C322" s="36" t="s">
        <v>412</v>
      </c>
      <c r="D322" s="35"/>
      <c r="E322" s="66"/>
      <c r="F322" s="70"/>
      <c r="G322" s="67"/>
      <c r="H322" s="31"/>
      <c r="I322" s="30"/>
    </row>
    <row r="323" spans="1:10" s="23" customFormat="1" ht="20.25">
      <c r="A323" s="123"/>
      <c r="B323" s="71"/>
      <c r="C323" s="94"/>
      <c r="D323" s="94" t="s">
        <v>419</v>
      </c>
      <c r="E323" s="66"/>
      <c r="F323" s="70"/>
      <c r="G323" s="67"/>
      <c r="H323" s="31"/>
      <c r="I323" s="30"/>
    </row>
    <row r="324" spans="1:10" s="23" customFormat="1" ht="21">
      <c r="A324" s="123"/>
      <c r="B324" s="71"/>
      <c r="C324" s="94"/>
      <c r="D324" s="35"/>
      <c r="E324" s="135" t="s">
        <v>420</v>
      </c>
      <c r="F324" s="117">
        <f>Jäitekoormus!F76</f>
        <v>11.428248816311019</v>
      </c>
      <c r="G324" s="97" t="s">
        <v>86</v>
      </c>
      <c r="H324" s="31"/>
      <c r="J324" s="95" t="s">
        <v>423</v>
      </c>
    </row>
    <row r="325" spans="1:10" s="23" customFormat="1" ht="20.25">
      <c r="A325" s="123"/>
      <c r="B325" s="71"/>
      <c r="C325" s="94"/>
      <c r="D325" s="35"/>
      <c r="E325" s="135" t="s">
        <v>407</v>
      </c>
      <c r="F325" s="118">
        <f>Jäitekoormus!F71</f>
        <v>2.01E-2</v>
      </c>
      <c r="G325" s="97" t="s">
        <v>51</v>
      </c>
      <c r="H325" s="31"/>
      <c r="J325" s="95" t="s">
        <v>408</v>
      </c>
    </row>
    <row r="326" spans="1:10" s="23" customFormat="1" ht="20.25">
      <c r="A326" s="123"/>
      <c r="B326" s="71"/>
      <c r="C326" s="94"/>
      <c r="D326" s="35"/>
      <c r="E326" s="135" t="s">
        <v>371</v>
      </c>
      <c r="F326" s="70">
        <v>9.81</v>
      </c>
      <c r="G326" s="97" t="s">
        <v>372</v>
      </c>
      <c r="H326" s="31"/>
      <c r="J326" s="95" t="s">
        <v>373</v>
      </c>
    </row>
    <row r="327" spans="1:10" s="23" customFormat="1" ht="20.25">
      <c r="A327" s="123"/>
      <c r="B327" s="71"/>
      <c r="C327" s="94"/>
      <c r="D327" s="35"/>
      <c r="E327" s="135" t="s">
        <v>411</v>
      </c>
      <c r="F327" s="23">
        <v>3.1415999999999999</v>
      </c>
      <c r="G327" s="58"/>
    </row>
    <row r="328" spans="1:10" s="23" customFormat="1" ht="21">
      <c r="A328" s="123"/>
      <c r="B328" s="71"/>
      <c r="C328" s="94"/>
      <c r="D328" s="35"/>
      <c r="E328" s="135" t="s">
        <v>409</v>
      </c>
      <c r="F328" s="70">
        <v>900</v>
      </c>
      <c r="G328" s="97" t="s">
        <v>369</v>
      </c>
      <c r="H328" s="31"/>
      <c r="I328" s="30"/>
      <c r="J328" s="95" t="s">
        <v>370</v>
      </c>
    </row>
    <row r="329" spans="1:10" s="23" customFormat="1" ht="20.25">
      <c r="A329" s="123"/>
      <c r="B329" s="71"/>
      <c r="C329" s="94"/>
      <c r="D329" s="35"/>
      <c r="E329" s="96" t="s">
        <v>427</v>
      </c>
      <c r="F329" s="117">
        <f>'TUULEKOORMUS 2'!F240*'TUULEKOORMUS 2'!F243*'TUULEKOORMUS 2'!F246*1.2</f>
        <v>1056.148542760023</v>
      </c>
      <c r="G329" s="97" t="s">
        <v>76</v>
      </c>
      <c r="H329" s="31"/>
      <c r="I329" s="30"/>
      <c r="J329" s="95" t="s">
        <v>426</v>
      </c>
    </row>
    <row r="330" spans="1:10" s="23" customFormat="1" ht="20.25">
      <c r="A330" s="123"/>
      <c r="B330" s="71"/>
      <c r="C330" s="94"/>
      <c r="D330" s="35"/>
      <c r="E330" s="135" t="s">
        <v>672</v>
      </c>
      <c r="F330" s="119">
        <v>1</v>
      </c>
      <c r="G330" s="97"/>
      <c r="H330" s="31"/>
      <c r="I330" s="30"/>
      <c r="J330" s="120" t="s">
        <v>585</v>
      </c>
    </row>
    <row r="331" spans="1:10" s="23" customFormat="1" ht="20.25">
      <c r="A331" s="123"/>
      <c r="B331" s="71"/>
      <c r="C331" s="94"/>
      <c r="D331" s="35"/>
      <c r="E331" s="66"/>
      <c r="G331" s="67"/>
      <c r="H331" s="31"/>
      <c r="I331" s="30"/>
    </row>
    <row r="332" spans="1:10" s="23" customFormat="1" ht="20.25">
      <c r="A332" s="123"/>
      <c r="B332" s="71"/>
      <c r="C332" s="35"/>
      <c r="D332" s="36" t="s">
        <v>413</v>
      </c>
      <c r="E332" s="66"/>
      <c r="F332" s="70"/>
      <c r="G332" s="67"/>
      <c r="H332" s="31"/>
      <c r="I332" s="30"/>
    </row>
    <row r="333" spans="1:10" s="23" customFormat="1" ht="21">
      <c r="A333" s="123"/>
      <c r="B333" s="71"/>
      <c r="C333" s="35"/>
      <c r="D333" s="94"/>
      <c r="E333" s="135" t="s">
        <v>422</v>
      </c>
      <c r="F333" s="70">
        <f>1.5</f>
        <v>1.5</v>
      </c>
      <c r="G333" s="67"/>
      <c r="H333" s="31"/>
      <c r="I333" s="30"/>
    </row>
    <row r="334" spans="1:10" s="23" customFormat="1" ht="21">
      <c r="A334" s="123"/>
      <c r="B334" s="71"/>
      <c r="C334" s="35"/>
      <c r="D334" s="35"/>
      <c r="E334" s="135" t="s">
        <v>415</v>
      </c>
      <c r="F334" s="70">
        <f>F333*F324</f>
        <v>17.142373224466528</v>
      </c>
      <c r="G334" s="97" t="s">
        <v>86</v>
      </c>
      <c r="H334" s="31"/>
      <c r="I334" s="30"/>
    </row>
    <row r="335" spans="1:10" s="23" customFormat="1" ht="20.25">
      <c r="A335" s="123"/>
      <c r="B335" s="71"/>
      <c r="C335" s="35"/>
      <c r="D335" s="95" t="s">
        <v>424</v>
      </c>
      <c r="E335" s="96"/>
      <c r="F335" s="70"/>
      <c r="G335" s="97"/>
      <c r="H335" s="31"/>
      <c r="I335" s="30"/>
    </row>
    <row r="336" spans="1:10" s="23" customFormat="1" ht="21">
      <c r="A336" s="123"/>
      <c r="B336" s="71"/>
      <c r="C336" s="35"/>
      <c r="D336" s="35"/>
      <c r="E336" s="135" t="s">
        <v>418</v>
      </c>
      <c r="F336" s="90">
        <f>SQRT(F325^2+((4*F334)/(F326*F327*F328)))</f>
        <v>5.3629508846544494E-2</v>
      </c>
      <c r="G336" s="97" t="s">
        <v>51</v>
      </c>
      <c r="H336" s="31" t="str">
        <f>[3]!EQS(F336,"Units= ; EqnPrefix=Valem  ; EqnNo= 0; Multiplication= 1; ShowWorking= 0; EqnStyle= 2; Eqp$H$303_2")</f>
        <v/>
      </c>
      <c r="I336" s="30" t="s">
        <v>669</v>
      </c>
    </row>
    <row r="337" spans="1:10" s="23" customFormat="1" ht="20.25">
      <c r="A337" s="123"/>
      <c r="B337" s="71"/>
      <c r="C337" s="35"/>
      <c r="D337" s="95" t="s">
        <v>425</v>
      </c>
      <c r="E337" s="96"/>
      <c r="F337" s="90"/>
      <c r="G337" s="97"/>
      <c r="H337" s="31"/>
      <c r="I337" s="30"/>
    </row>
    <row r="338" spans="1:10" s="23" customFormat="1" ht="21">
      <c r="A338" s="123"/>
      <c r="B338" s="71"/>
      <c r="C338" s="35"/>
      <c r="D338" s="35"/>
      <c r="E338" s="135" t="s">
        <v>433</v>
      </c>
      <c r="F338" s="70">
        <f>F329*F336</f>
        <v>56.640727617213727</v>
      </c>
      <c r="G338" s="97" t="s">
        <v>86</v>
      </c>
      <c r="H338" s="31" t="str">
        <f>[3]!EQS(F338,"Units= ; EqnPrefix=Valem  ; EqnNo= 0; Multiplication= 1; ShowWorking= 0; EqnStyle= 2; Eqp$H$303_2")</f>
        <v/>
      </c>
      <c r="I338" s="30" t="s">
        <v>670</v>
      </c>
    </row>
    <row r="339" spans="1:10" s="23" customFormat="1" ht="20.25">
      <c r="A339" s="123"/>
      <c r="B339" s="71"/>
      <c r="C339" s="35"/>
      <c r="D339" s="95" t="s">
        <v>430</v>
      </c>
      <c r="F339" s="70"/>
      <c r="G339" s="97"/>
      <c r="H339" s="31"/>
      <c r="I339" s="30"/>
    </row>
    <row r="340" spans="1:10" s="23" customFormat="1" ht="21">
      <c r="A340" s="123"/>
      <c r="B340" s="71"/>
      <c r="C340" s="35"/>
      <c r="D340" s="35"/>
      <c r="E340" s="135" t="s">
        <v>434</v>
      </c>
      <c r="F340" s="70">
        <f>F338*F330</f>
        <v>56.640727617213727</v>
      </c>
      <c r="G340" s="97" t="s">
        <v>86</v>
      </c>
      <c r="H340" s="31" t="str">
        <f>[3]!EQS(F340,"Units= ; EqnPrefix=Valem  ; EqnNo= 0; Multiplication= 1; ShowWorking= 0; EqnStyle= 2; Eqp$H$303_2")</f>
        <v/>
      </c>
      <c r="I340" s="98" t="s">
        <v>673</v>
      </c>
    </row>
    <row r="341" spans="1:10" s="23" customFormat="1" ht="21">
      <c r="A341" s="123"/>
      <c r="B341" s="71"/>
      <c r="C341" s="35"/>
      <c r="D341" s="35"/>
      <c r="E341" s="135" t="s">
        <v>678</v>
      </c>
      <c r="F341" s="117">
        <f>'TUULEKOORMUS 3'!F255</f>
        <v>0.50000000000000011</v>
      </c>
      <c r="G341" s="67"/>
      <c r="H341" s="31"/>
      <c r="I341" s="95"/>
      <c r="J341" s="136" t="s">
        <v>674</v>
      </c>
    </row>
    <row r="342" spans="1:10" s="23" customFormat="1" ht="21">
      <c r="A342" s="123"/>
      <c r="B342" s="71"/>
      <c r="C342" s="36"/>
      <c r="D342" s="36"/>
      <c r="E342" s="102" t="s">
        <v>681</v>
      </c>
      <c r="F342" s="46">
        <f>F340*F341</f>
        <v>28.320363808606871</v>
      </c>
      <c r="G342" s="67"/>
      <c r="H342" s="31"/>
      <c r="I342" s="95"/>
      <c r="J342" s="136" t="s">
        <v>675</v>
      </c>
    </row>
    <row r="343" spans="1:10" s="23" customFormat="1" ht="21">
      <c r="A343" s="123"/>
      <c r="B343" s="71"/>
      <c r="C343" s="35"/>
      <c r="D343" s="35"/>
      <c r="E343" s="135" t="s">
        <v>679</v>
      </c>
      <c r="F343" s="117">
        <f>'TUULEKOORMUS 3'!F257</f>
        <v>0.50000000000000011</v>
      </c>
      <c r="G343" s="67"/>
      <c r="H343" s="31"/>
      <c r="I343" s="95"/>
      <c r="J343" s="136" t="s">
        <v>676</v>
      </c>
    </row>
    <row r="344" spans="1:10" s="23" customFormat="1" ht="21">
      <c r="A344" s="123"/>
      <c r="B344" s="71"/>
      <c r="C344" s="35"/>
      <c r="D344" s="35"/>
      <c r="E344" s="102" t="s">
        <v>680</v>
      </c>
      <c r="F344" s="46">
        <f>F343*F340</f>
        <v>28.320363808606871</v>
      </c>
      <c r="G344" s="67"/>
      <c r="H344" s="31"/>
      <c r="I344" s="95"/>
      <c r="J344" s="136" t="s">
        <v>677</v>
      </c>
    </row>
    <row r="345" spans="1:10" s="23" customFormat="1" ht="20.25">
      <c r="A345" s="123"/>
      <c r="B345" s="71"/>
      <c r="C345" s="35"/>
      <c r="D345" s="35"/>
      <c r="E345" s="96"/>
      <c r="F345" s="70"/>
      <c r="G345" s="67"/>
      <c r="H345" s="31"/>
      <c r="I345" s="95"/>
    </row>
    <row r="346" spans="1:10" s="23" customFormat="1" ht="20.25">
      <c r="A346" s="123"/>
      <c r="B346" s="71"/>
      <c r="C346" s="35"/>
      <c r="D346" s="35"/>
      <c r="E346" s="66"/>
      <c r="F346" s="70"/>
      <c r="G346" s="67"/>
      <c r="H346" s="31"/>
      <c r="I346" s="30"/>
    </row>
    <row r="347" spans="1:10" s="23" customFormat="1" ht="20.25">
      <c r="A347" s="123"/>
      <c r="B347" s="71"/>
      <c r="C347" s="35"/>
      <c r="D347" s="36" t="s">
        <v>414</v>
      </c>
      <c r="E347" s="66"/>
      <c r="F347" s="70"/>
      <c r="G347" s="67"/>
      <c r="H347" s="31"/>
      <c r="I347" s="30"/>
    </row>
    <row r="348" spans="1:10" s="23" customFormat="1" ht="21">
      <c r="A348" s="123"/>
      <c r="B348" s="71"/>
      <c r="C348" s="35"/>
      <c r="D348" s="94"/>
      <c r="E348" s="135" t="s">
        <v>421</v>
      </c>
      <c r="F348" s="70">
        <v>0.35</v>
      </c>
      <c r="G348" s="67"/>
      <c r="H348" s="31"/>
      <c r="I348" s="30"/>
    </row>
    <row r="349" spans="1:10" s="23" customFormat="1" ht="21">
      <c r="A349" s="123"/>
      <c r="B349" s="71"/>
      <c r="C349" s="35"/>
      <c r="D349" s="94"/>
      <c r="E349" s="135" t="s">
        <v>416</v>
      </c>
      <c r="F349" s="70">
        <f>F348*F324</f>
        <v>3.9998870857088562</v>
      </c>
      <c r="G349" s="97" t="s">
        <v>86</v>
      </c>
      <c r="H349" s="31"/>
      <c r="I349" s="30"/>
    </row>
    <row r="350" spans="1:10" s="23" customFormat="1" ht="21">
      <c r="A350" s="123"/>
      <c r="B350" s="71"/>
      <c r="C350" s="35"/>
      <c r="D350" s="94"/>
      <c r="E350" s="135" t="s">
        <v>417</v>
      </c>
      <c r="F350" s="90">
        <f>SQRT(F325^2+(4*F349)/(F326*F327*F328))</f>
        <v>3.1318311754121933E-2</v>
      </c>
      <c r="G350" s="97" t="s">
        <v>51</v>
      </c>
      <c r="H350" s="31"/>
      <c r="I350" s="30"/>
    </row>
    <row r="351" spans="1:10" s="23" customFormat="1" ht="20.25">
      <c r="A351" s="123"/>
      <c r="B351" s="71"/>
      <c r="C351" s="35"/>
      <c r="D351" s="95" t="s">
        <v>425</v>
      </c>
      <c r="E351" s="96"/>
      <c r="F351" s="90"/>
      <c r="G351" s="97"/>
      <c r="H351" s="31"/>
      <c r="I351" s="30"/>
    </row>
    <row r="352" spans="1:10" s="23" customFormat="1" ht="21">
      <c r="A352" s="123"/>
      <c r="B352" s="71"/>
      <c r="C352" s="35"/>
      <c r="D352" s="35"/>
      <c r="E352" s="135" t="s">
        <v>433</v>
      </c>
      <c r="F352" s="70">
        <f>F329*F350</f>
        <v>33.076789320819977</v>
      </c>
      <c r="G352" s="97" t="s">
        <v>86</v>
      </c>
      <c r="H352" s="31" t="str">
        <f>[3]!EQS(F352,"Units= ; EqnPrefix=Valem  ; EqnNo= 0; Multiplication= 1; ShowWorking= 0; EqnStyle= 2; Eqp$H$303_2")</f>
        <v/>
      </c>
      <c r="I352" s="30" t="s">
        <v>671</v>
      </c>
    </row>
    <row r="353" spans="1:10" s="23" customFormat="1" ht="20.25">
      <c r="A353" s="123"/>
      <c r="B353" s="71"/>
      <c r="C353" s="35"/>
      <c r="D353" s="95" t="s">
        <v>430</v>
      </c>
      <c r="F353" s="70"/>
      <c r="G353" s="97"/>
      <c r="H353" s="31"/>
      <c r="I353" s="30"/>
    </row>
    <row r="354" spans="1:10" s="23" customFormat="1" ht="21">
      <c r="A354" s="123"/>
      <c r="B354" s="71"/>
      <c r="C354" s="35"/>
      <c r="D354" s="35"/>
      <c r="E354" s="135" t="s">
        <v>434</v>
      </c>
      <c r="F354" s="70">
        <f>F352*F330</f>
        <v>33.076789320819977</v>
      </c>
      <c r="G354" s="97" t="s">
        <v>86</v>
      </c>
      <c r="H354" s="31" t="str">
        <f>[3]!EQS(F354,"Units= ; EqnPrefix=Valem  ; EqnNo= 0; Multiplication= 1; ShowWorking= 0; EqnStyle= 2; Eqp$H$303_2")</f>
        <v/>
      </c>
      <c r="I354" s="98" t="s">
        <v>673</v>
      </c>
    </row>
    <row r="355" spans="1:10" s="23" customFormat="1" ht="21">
      <c r="A355" s="123"/>
      <c r="B355" s="71"/>
      <c r="C355" s="35"/>
      <c r="D355" s="35"/>
      <c r="E355" s="135" t="s">
        <v>678</v>
      </c>
      <c r="F355" s="117">
        <f>'TUULEKOORMUS 3'!F255</f>
        <v>0.50000000000000011</v>
      </c>
      <c r="G355" s="97"/>
      <c r="H355" s="31"/>
      <c r="I355" s="95"/>
      <c r="J355" s="136" t="s">
        <v>674</v>
      </c>
    </row>
    <row r="356" spans="1:10" s="23" customFormat="1" ht="21">
      <c r="A356" s="123"/>
      <c r="B356" s="71"/>
      <c r="C356" s="35"/>
      <c r="D356" s="35"/>
      <c r="E356" s="102" t="s">
        <v>681</v>
      </c>
      <c r="F356" s="46">
        <f>F354*F355</f>
        <v>16.538394660409992</v>
      </c>
      <c r="G356" s="103" t="s">
        <v>86</v>
      </c>
      <c r="H356" s="31"/>
      <c r="I356" s="95"/>
      <c r="J356" s="136" t="s">
        <v>675</v>
      </c>
    </row>
    <row r="357" spans="1:10" s="23" customFormat="1" ht="21">
      <c r="A357" s="123"/>
      <c r="B357" s="71"/>
      <c r="C357" s="35"/>
      <c r="D357" s="35"/>
      <c r="E357" s="135" t="s">
        <v>679</v>
      </c>
      <c r="F357" s="117">
        <f>'TUULEKOORMUS 3'!F257</f>
        <v>0.50000000000000011</v>
      </c>
      <c r="G357" s="97"/>
      <c r="H357" s="31"/>
      <c r="I357" s="95"/>
      <c r="J357" s="136" t="s">
        <v>676</v>
      </c>
    </row>
    <row r="358" spans="1:10" s="23" customFormat="1" ht="21">
      <c r="A358" s="123"/>
      <c r="B358" s="71"/>
      <c r="C358" s="35"/>
      <c r="D358" s="35"/>
      <c r="E358" s="102" t="s">
        <v>680</v>
      </c>
      <c r="F358" s="46">
        <f>F357*F354</f>
        <v>16.538394660409992</v>
      </c>
      <c r="G358" s="103" t="s">
        <v>86</v>
      </c>
      <c r="H358" s="31"/>
      <c r="I358" s="95"/>
      <c r="J358" s="136" t="s">
        <v>677</v>
      </c>
    </row>
  </sheetData>
  <pageMargins left="0.7" right="0.7" top="0.75" bottom="0.75" header="0.3" footer="0.3"/>
  <pageSetup paperSize="9" orientation="portrait" horizontalDpi="300" verticalDpi="0" copies="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T54"/>
  <sheetViews>
    <sheetView topLeftCell="A2" workbookViewId="0">
      <selection activeCell="T14" sqref="T14"/>
    </sheetView>
  </sheetViews>
  <sheetFormatPr defaultRowHeight="15"/>
  <cols>
    <col min="1" max="1" width="3.5" style="85" customWidth="1"/>
    <col min="2" max="2" width="14.75" style="86" customWidth="1"/>
    <col min="3" max="3" width="6.5" style="82" customWidth="1"/>
    <col min="4" max="4" width="7.625" style="82" bestFit="1" customWidth="1"/>
    <col min="5" max="8" width="6.5" style="82" customWidth="1"/>
    <col min="9" max="15" width="11.625" style="82" customWidth="1"/>
    <col min="16" max="18" width="9" style="82"/>
    <col min="19" max="19" width="14.25" style="82" bestFit="1" customWidth="1"/>
    <col min="20" max="20" width="14" style="82" bestFit="1" customWidth="1"/>
    <col min="21" max="16384" width="9" style="82"/>
  </cols>
  <sheetData>
    <row r="1" spans="1:20">
      <c r="A1" s="85" t="s">
        <v>683</v>
      </c>
    </row>
    <row r="2" spans="1:20" ht="15.75" thickBot="1">
      <c r="D2" s="82" t="s">
        <v>343</v>
      </c>
    </row>
    <row r="3" spans="1:20">
      <c r="D3" s="156"/>
      <c r="E3" s="162" t="s">
        <v>684</v>
      </c>
      <c r="F3" s="139"/>
      <c r="G3" s="141"/>
      <c r="H3" s="167" t="s">
        <v>4</v>
      </c>
      <c r="I3" s="167" t="s">
        <v>352</v>
      </c>
      <c r="J3" s="139"/>
      <c r="K3" s="141"/>
      <c r="L3" s="139" t="s">
        <v>353</v>
      </c>
      <c r="M3" s="139"/>
      <c r="N3" s="141"/>
      <c r="O3" s="162" t="s">
        <v>685</v>
      </c>
      <c r="P3" s="139"/>
      <c r="Q3" s="139"/>
      <c r="R3" s="141"/>
      <c r="S3" s="171" t="s">
        <v>686</v>
      </c>
      <c r="T3" s="171" t="s">
        <v>687</v>
      </c>
    </row>
    <row r="4" spans="1:20">
      <c r="D4" s="157" t="s">
        <v>5</v>
      </c>
      <c r="E4" s="163" t="s">
        <v>344</v>
      </c>
      <c r="F4" s="144" t="s">
        <v>347</v>
      </c>
      <c r="G4" s="147" t="s">
        <v>348</v>
      </c>
      <c r="H4" s="163"/>
      <c r="I4" s="163" t="s">
        <v>350</v>
      </c>
      <c r="J4" s="144" t="s">
        <v>351</v>
      </c>
      <c r="K4" s="168" t="s">
        <v>609</v>
      </c>
      <c r="L4" s="144" t="s">
        <v>350</v>
      </c>
      <c r="M4" s="144" t="s">
        <v>351</v>
      </c>
      <c r="N4" s="168" t="s">
        <v>609</v>
      </c>
      <c r="O4" s="163">
        <v>-40</v>
      </c>
      <c r="P4" s="144">
        <v>-15</v>
      </c>
      <c r="Q4" s="144">
        <v>-5</v>
      </c>
      <c r="R4" s="170" t="s">
        <v>41</v>
      </c>
      <c r="S4" s="157"/>
      <c r="T4" s="157"/>
    </row>
    <row r="5" spans="1:20">
      <c r="C5" s="82" t="s">
        <v>346</v>
      </c>
      <c r="D5" s="157" t="s">
        <v>349</v>
      </c>
      <c r="E5" s="163" t="s">
        <v>345</v>
      </c>
      <c r="F5" s="144" t="s">
        <v>345</v>
      </c>
      <c r="G5" s="147" t="s">
        <v>345</v>
      </c>
      <c r="H5" s="163" t="s">
        <v>345</v>
      </c>
      <c r="I5" s="163" t="s">
        <v>345</v>
      </c>
      <c r="J5" s="144" t="s">
        <v>345</v>
      </c>
      <c r="K5" s="147" t="s">
        <v>345</v>
      </c>
      <c r="L5" s="144" t="s">
        <v>345</v>
      </c>
      <c r="M5" s="144" t="s">
        <v>345</v>
      </c>
      <c r="N5" s="147" t="s">
        <v>345</v>
      </c>
      <c r="O5" s="163"/>
      <c r="P5" s="144"/>
      <c r="Q5" s="144"/>
      <c r="R5" s="147"/>
      <c r="S5" s="157"/>
      <c r="T5" s="157"/>
    </row>
    <row r="6" spans="1:20">
      <c r="A6" s="85" t="s">
        <v>327</v>
      </c>
      <c r="D6" s="157"/>
      <c r="E6" s="163"/>
      <c r="F6" s="144"/>
      <c r="G6" s="147"/>
      <c r="H6" s="163"/>
      <c r="I6" s="163"/>
      <c r="J6" s="144"/>
      <c r="K6" s="147"/>
      <c r="L6" s="144"/>
      <c r="M6" s="144"/>
      <c r="N6" s="147"/>
      <c r="O6" s="163"/>
      <c r="P6" s="144"/>
      <c r="Q6" s="144"/>
      <c r="R6" s="147"/>
      <c r="S6" s="157"/>
      <c r="T6" s="157"/>
    </row>
    <row r="7" spans="1:20" ht="15.75" thickBot="1">
      <c r="B7" s="185" t="s">
        <v>722</v>
      </c>
      <c r="D7" s="157"/>
      <c r="E7" s="163"/>
      <c r="F7" s="144"/>
      <c r="G7" s="147"/>
      <c r="H7" s="169"/>
      <c r="I7" s="169"/>
      <c r="J7" s="150"/>
      <c r="K7" s="152"/>
      <c r="L7" s="150"/>
      <c r="M7" s="150"/>
      <c r="N7" s="152"/>
      <c r="O7" s="169"/>
      <c r="P7" s="150"/>
      <c r="Q7" s="150"/>
      <c r="R7" s="152"/>
      <c r="S7" s="158"/>
      <c r="T7" s="158"/>
    </row>
    <row r="8" spans="1:20" ht="15.75" thickBot="1">
      <c r="A8" s="137" t="s">
        <v>328</v>
      </c>
      <c r="B8" s="138"/>
      <c r="C8" s="139" t="str">
        <f>'TUULEKOORMUS 1'!G40</f>
        <v>N/m</v>
      </c>
      <c r="D8" s="156"/>
      <c r="E8" s="164">
        <f>'TUULEKOORMUS 1'!F40</f>
        <v>216.38914697938665</v>
      </c>
      <c r="F8" s="140">
        <f>$E8</f>
        <v>216.38914697938665</v>
      </c>
      <c r="G8" s="186">
        <f>$E8</f>
        <v>216.38914697938665</v>
      </c>
      <c r="H8" s="191">
        <f>Jäitekoormus!F22</f>
        <v>89.868273784883485</v>
      </c>
      <c r="I8" s="200">
        <f>'Tuul 1+jää'!F178</f>
        <v>266.43107238692852</v>
      </c>
      <c r="J8" s="191">
        <f>'Tuul 2+jää'!F175</f>
        <v>266.43107238692852</v>
      </c>
      <c r="K8" s="201">
        <f>'Tuul 3+jää'!F174</f>
        <v>266.43107238692852</v>
      </c>
      <c r="L8" s="191">
        <f>I8</f>
        <v>266.43107238692852</v>
      </c>
      <c r="M8" s="191">
        <f t="shared" ref="M8:N12" si="0">J8</f>
        <v>266.43107238692852</v>
      </c>
      <c r="N8" s="186">
        <f t="shared" si="0"/>
        <v>266.43107238692852</v>
      </c>
    </row>
    <row r="9" spans="1:20" hidden="1">
      <c r="A9" s="142"/>
      <c r="B9" s="146" t="s">
        <v>337</v>
      </c>
      <c r="C9" s="144" t="s">
        <v>86</v>
      </c>
      <c r="D9" s="157"/>
      <c r="E9" s="165">
        <f>'TUULEKOORMUS 1'!F43</f>
        <v>215.86203389302534</v>
      </c>
      <c r="F9" s="145">
        <f t="shared" ref="F9:G10" si="1">$E9</f>
        <v>215.86203389302534</v>
      </c>
      <c r="G9" s="187">
        <f t="shared" si="1"/>
        <v>215.86203389302534</v>
      </c>
      <c r="H9" s="192"/>
      <c r="I9" s="202">
        <f>'Tuul 1+jää'!F181</f>
        <v>265.78205968537281</v>
      </c>
      <c r="J9" s="203">
        <f>'Tuul 2+jää'!F178</f>
        <v>188.39521800360109</v>
      </c>
      <c r="K9" s="204">
        <f>'Tuul 3+jää'!F177</f>
        <v>266.43107238692852</v>
      </c>
      <c r="L9" s="203">
        <f t="shared" ref="L9:L12" si="2">I9</f>
        <v>265.78205968537281</v>
      </c>
      <c r="M9" s="203">
        <f t="shared" si="0"/>
        <v>188.39521800360109</v>
      </c>
      <c r="N9" s="187">
        <f t="shared" si="0"/>
        <v>266.43107238692852</v>
      </c>
    </row>
    <row r="10" spans="1:20" ht="15.75" hidden="1" thickBot="1">
      <c r="A10" s="148"/>
      <c r="B10" s="149" t="s">
        <v>338</v>
      </c>
      <c r="C10" s="150" t="s">
        <v>86</v>
      </c>
      <c r="D10" s="158"/>
      <c r="E10" s="166">
        <f>'TUULEKOORMUS 1'!F44</f>
        <v>15.094543849781257</v>
      </c>
      <c r="F10" s="151">
        <f t="shared" si="1"/>
        <v>15.094543849781257</v>
      </c>
      <c r="G10" s="188">
        <f t="shared" si="1"/>
        <v>15.094543849781257</v>
      </c>
      <c r="H10" s="193"/>
      <c r="I10" s="205">
        <f>'Tuul 1+jää'!F182</f>
        <v>18.585292105577928</v>
      </c>
      <c r="J10" s="206">
        <f>'Tuul 2+jää'!F179</f>
        <v>188.39521800360106</v>
      </c>
      <c r="K10" s="207">
        <f>'Tuul 3+jää'!F178</f>
        <v>0</v>
      </c>
      <c r="L10" s="206">
        <f t="shared" si="2"/>
        <v>18.585292105577928</v>
      </c>
      <c r="M10" s="206">
        <f t="shared" si="0"/>
        <v>188.39521800360106</v>
      </c>
      <c r="N10" s="188">
        <f t="shared" si="0"/>
        <v>0</v>
      </c>
    </row>
    <row r="11" spans="1:20">
      <c r="A11" s="137" t="s">
        <v>329</v>
      </c>
      <c r="B11" s="138"/>
      <c r="C11" s="139" t="s">
        <v>86</v>
      </c>
      <c r="D11" s="156"/>
      <c r="E11" s="167"/>
      <c r="F11" s="139"/>
      <c r="G11" s="189"/>
      <c r="H11" s="191">
        <f>Jäitekoormus!F33</f>
        <v>77.075955878754428</v>
      </c>
      <c r="I11" s="208"/>
      <c r="J11" s="194"/>
      <c r="K11" s="209"/>
      <c r="L11" s="191"/>
      <c r="M11" s="191"/>
      <c r="N11" s="186"/>
      <c r="S11" s="222" t="s">
        <v>731</v>
      </c>
    </row>
    <row r="12" spans="1:20" ht="15.75" thickBot="1">
      <c r="A12" s="148"/>
      <c r="B12" s="184" t="s">
        <v>720</v>
      </c>
      <c r="C12" s="150" t="s">
        <v>86</v>
      </c>
      <c r="D12" s="158"/>
      <c r="E12" s="166">
        <f>'TUULEKOORMUS 1'!F79</f>
        <v>1.8882768045303107</v>
      </c>
      <c r="F12" s="151">
        <f>'TUULEKOORMUS 2'!F79</f>
        <v>194.02899120302681</v>
      </c>
      <c r="G12" s="188">
        <f>'TUULEKOORMUS 3'!F79</f>
        <v>1.4561766518140426E-30</v>
      </c>
      <c r="H12" s="193"/>
      <c r="I12" s="205">
        <f>'Tuul 1+jää'!F210</f>
        <v>1.8828814662393241</v>
      </c>
      <c r="J12" s="206">
        <f>'Tuul 2+jää'!F207</f>
        <v>193.4745957651929</v>
      </c>
      <c r="K12" s="207">
        <f>'Tuul 3+jää'!F206</f>
        <v>1.4520159452750842E-30</v>
      </c>
      <c r="L12" s="206">
        <f t="shared" si="2"/>
        <v>1.8828814662393241</v>
      </c>
      <c r="M12" s="206">
        <f t="shared" si="0"/>
        <v>193.4745957651929</v>
      </c>
      <c r="N12" s="188">
        <f t="shared" si="0"/>
        <v>1.4520159452750842E-30</v>
      </c>
    </row>
    <row r="13" spans="1:20">
      <c r="A13" s="137" t="s">
        <v>330</v>
      </c>
      <c r="B13" s="138"/>
      <c r="C13" s="139" t="s">
        <v>86</v>
      </c>
      <c r="D13" s="156"/>
      <c r="E13" s="167"/>
      <c r="F13" s="139"/>
      <c r="G13" s="189"/>
      <c r="H13" s="191">
        <f>Jäitekoormus!F43</f>
        <v>133.49448000000001</v>
      </c>
      <c r="I13" s="208"/>
      <c r="J13" s="194"/>
      <c r="K13" s="209"/>
      <c r="L13" s="194"/>
      <c r="M13" s="194"/>
      <c r="N13" s="189"/>
      <c r="S13" s="222" t="s">
        <v>731</v>
      </c>
    </row>
    <row r="14" spans="1:20" ht="15.75" thickBot="1">
      <c r="A14" s="148"/>
      <c r="B14" s="184" t="s">
        <v>720</v>
      </c>
      <c r="C14" s="150" t="s">
        <v>86</v>
      </c>
      <c r="D14" s="158"/>
      <c r="E14" s="166">
        <f>'TUULEKOORMUS 1'!F119</f>
        <v>1.6366559863949766</v>
      </c>
      <c r="F14" s="151">
        <f>'TUULEKOORMUS 2'!F119</f>
        <v>168.17381287782194</v>
      </c>
      <c r="G14" s="188">
        <f>'TUULEKOORMUS 3'!F119</f>
        <v>1.2621349945739855E-30</v>
      </c>
      <c r="H14" s="193"/>
      <c r="I14" s="205">
        <f>'Tuul 1+jää'!F241</f>
        <v>1.6981114483347088</v>
      </c>
      <c r="J14" s="206">
        <f>'Tuul 2+jää'!F238</f>
        <v>174.48863984358997</v>
      </c>
      <c r="K14" s="207">
        <f>'Tuul 3+jää'!F237</f>
        <v>1.3095274153188585E-30</v>
      </c>
      <c r="L14" s="206">
        <f>I14</f>
        <v>1.6981114483347088</v>
      </c>
      <c r="M14" s="206">
        <f t="shared" ref="M14:N14" si="3">J14</f>
        <v>174.48863984358997</v>
      </c>
      <c r="N14" s="206">
        <f t="shared" si="3"/>
        <v>1.3095274153188585E-30</v>
      </c>
    </row>
    <row r="15" spans="1:20" ht="15.75" thickBot="1">
      <c r="A15" s="137" t="s">
        <v>331</v>
      </c>
      <c r="B15" s="138"/>
      <c r="C15" s="153" t="s">
        <v>154</v>
      </c>
      <c r="D15" s="159">
        <f>Omakaal!E10</f>
        <v>274.68</v>
      </c>
      <c r="E15" s="164">
        <f>'TUULEKOORMUS 1'!F319</f>
        <v>81.151329655142234</v>
      </c>
      <c r="F15" s="140">
        <f>$E15</f>
        <v>81.151329655142234</v>
      </c>
      <c r="G15" s="186">
        <f>$E15</f>
        <v>81.151329655142234</v>
      </c>
      <c r="H15" s="194">
        <v>0</v>
      </c>
      <c r="I15" s="200">
        <f>$E15</f>
        <v>81.151329655142234</v>
      </c>
      <c r="J15" s="191">
        <f t="shared" ref="J15:K15" si="4">$E15</f>
        <v>81.151329655142234</v>
      </c>
      <c r="K15" s="201">
        <f t="shared" si="4"/>
        <v>81.151329655142234</v>
      </c>
      <c r="L15" s="191">
        <f>I15</f>
        <v>81.151329655142234</v>
      </c>
      <c r="M15" s="191">
        <f t="shared" ref="M15:N16" si="5">J15</f>
        <v>81.151329655142234</v>
      </c>
      <c r="N15" s="186">
        <f t="shared" si="5"/>
        <v>81.151329655142234</v>
      </c>
    </row>
    <row r="16" spans="1:20" hidden="1">
      <c r="A16" s="142"/>
      <c r="B16" s="146" t="s">
        <v>339</v>
      </c>
      <c r="C16" s="154" t="s">
        <v>154</v>
      </c>
      <c r="D16" s="160"/>
      <c r="E16" s="165">
        <f>'TUULEKOORMUS 1'!F322</f>
        <v>80.953649094753871</v>
      </c>
      <c r="F16" s="145">
        <f>'TUULEKOORMUS 2'!F322</f>
        <v>57.38265550145605</v>
      </c>
      <c r="G16" s="187">
        <f>'TUULEKOORMUS 3'!F322</f>
        <v>81.151329655142234</v>
      </c>
      <c r="H16" s="192"/>
      <c r="I16" s="202">
        <f>E16</f>
        <v>80.953649094753871</v>
      </c>
      <c r="J16" s="203">
        <f t="shared" ref="J16:K17" si="6">F16</f>
        <v>57.38265550145605</v>
      </c>
      <c r="K16" s="204">
        <f t="shared" si="6"/>
        <v>81.151329655142234</v>
      </c>
      <c r="L16" s="203">
        <f t="shared" ref="L16" si="7">I16</f>
        <v>80.953649094753871</v>
      </c>
      <c r="M16" s="203">
        <f t="shared" si="5"/>
        <v>57.38265550145605</v>
      </c>
      <c r="N16" s="187">
        <f t="shared" si="5"/>
        <v>81.151329655142234</v>
      </c>
    </row>
    <row r="17" spans="1:19" ht="15.75" hidden="1" thickBot="1">
      <c r="A17" s="148"/>
      <c r="B17" s="149" t="s">
        <v>340</v>
      </c>
      <c r="C17" s="155" t="s">
        <v>154</v>
      </c>
      <c r="D17" s="161"/>
      <c r="E17" s="166">
        <f>'TUULEKOORMUS 1'!F323</f>
        <v>5.6608305963897863</v>
      </c>
      <c r="F17" s="151">
        <f>'TUULEKOORMUS 2'!F323</f>
        <v>57.382655501456043</v>
      </c>
      <c r="G17" s="188">
        <f>'TUULEKOORMUS 3'!F323</f>
        <v>0</v>
      </c>
      <c r="H17" s="193"/>
      <c r="I17" s="205">
        <f>E17</f>
        <v>5.6608305963897863</v>
      </c>
      <c r="J17" s="206">
        <f t="shared" si="6"/>
        <v>57.382655501456043</v>
      </c>
      <c r="K17" s="207">
        <f t="shared" si="6"/>
        <v>0</v>
      </c>
      <c r="L17" s="206">
        <f t="shared" ref="L17" si="8">I17</f>
        <v>5.6608305963897863</v>
      </c>
      <c r="M17" s="206">
        <f t="shared" ref="M17" si="9">J17</f>
        <v>57.382655501456043</v>
      </c>
      <c r="N17" s="188">
        <f t="shared" ref="N17" si="10">K17</f>
        <v>0</v>
      </c>
    </row>
    <row r="18" spans="1:19">
      <c r="A18" s="137" t="s">
        <v>332</v>
      </c>
      <c r="B18" s="138"/>
      <c r="C18" s="139" t="s">
        <v>86</v>
      </c>
      <c r="D18" s="159"/>
      <c r="E18" s="167"/>
      <c r="F18" s="139"/>
      <c r="G18" s="189"/>
      <c r="H18" s="191">
        <f>Jäitekoormus!F94</f>
        <v>14.938104175798413</v>
      </c>
      <c r="I18" s="208"/>
      <c r="J18" s="194"/>
      <c r="K18" s="209"/>
      <c r="L18" s="194"/>
      <c r="M18" s="194"/>
      <c r="N18" s="189"/>
    </row>
    <row r="19" spans="1:19">
      <c r="A19" s="142"/>
      <c r="B19" s="143" t="s">
        <v>341</v>
      </c>
      <c r="C19" s="144" t="s">
        <v>86</v>
      </c>
      <c r="D19" s="160"/>
      <c r="E19" s="165">
        <f>'TUULEKOORMUS 1'!F299</f>
        <v>28.778336312600743</v>
      </c>
      <c r="F19" s="145">
        <f>'TUULEKOORMUS 2'!F299</f>
        <v>16.391753308848521</v>
      </c>
      <c r="G19" s="187">
        <f>'TUULEKOORMUS 3'!F299</f>
        <v>28.638301917237641</v>
      </c>
      <c r="H19" s="192"/>
      <c r="I19" s="202">
        <f>'Tuul 1+jää'!F46</f>
        <v>65.851559873530533</v>
      </c>
      <c r="J19" s="216">
        <f>'Tuul 2+jää'!F45</f>
        <v>37.508162832093596</v>
      </c>
      <c r="K19" s="204">
        <f>'Tuul 3+jää'!F45</f>
        <v>65.531128446555741</v>
      </c>
      <c r="L19" s="216">
        <f>'Tuul 1+jää'!F60</f>
        <v>42.041329822341375</v>
      </c>
      <c r="M19" s="216">
        <f>'Tuul 2+jää'!F59</f>
        <v>23.946176031100748</v>
      </c>
      <c r="N19" s="204">
        <f>'Tuul 3+jää'!F59</f>
        <v>41.836758156419371</v>
      </c>
    </row>
    <row r="20" spans="1:19" hidden="1">
      <c r="A20" s="142"/>
      <c r="B20" s="146" t="s">
        <v>339</v>
      </c>
      <c r="C20" s="144" t="s">
        <v>86</v>
      </c>
      <c r="D20" s="160"/>
      <c r="E20" s="165">
        <f>'TUULEKOORMUS 1'!F301</f>
        <v>28.708233731737373</v>
      </c>
      <c r="F20" s="145">
        <f>'TUULEKOORMUS 2'!F301</f>
        <v>16.351823821634806</v>
      </c>
      <c r="G20" s="187">
        <f>'TUULEKOORMUS 3'!F301</f>
        <v>28.568540453123269</v>
      </c>
      <c r="H20" s="192"/>
      <c r="I20" s="210"/>
      <c r="J20" s="192"/>
      <c r="K20" s="211"/>
      <c r="L20" s="192"/>
      <c r="M20" s="192"/>
      <c r="N20" s="212"/>
    </row>
    <row r="21" spans="1:19" hidden="1">
      <c r="A21" s="142"/>
      <c r="B21" s="146" t="s">
        <v>340</v>
      </c>
      <c r="C21" s="144" t="s">
        <v>86</v>
      </c>
      <c r="D21" s="160"/>
      <c r="E21" s="165">
        <f>'TUULEKOORMUS 1'!F302</f>
        <v>2.0074752613895415</v>
      </c>
      <c r="F21" s="145">
        <f>'TUULEKOORMUS 2'!F302</f>
        <v>1.143430909308871</v>
      </c>
      <c r="G21" s="187">
        <f>'TUULEKOORMUS 3'!F302</f>
        <v>1.9977069557661209</v>
      </c>
      <c r="H21" s="192"/>
      <c r="I21" s="210"/>
      <c r="J21" s="192"/>
      <c r="K21" s="211"/>
      <c r="L21" s="192"/>
      <c r="M21" s="192"/>
      <c r="N21" s="212"/>
    </row>
    <row r="22" spans="1:19" ht="15.75" thickBot="1">
      <c r="A22" s="142"/>
      <c r="B22" s="143" t="s">
        <v>342</v>
      </c>
      <c r="C22" s="144" t="s">
        <v>86</v>
      </c>
      <c r="D22" s="160"/>
      <c r="E22" s="165">
        <f>'TUULEKOORMUS 1'!F306</f>
        <v>28.220924341367322</v>
      </c>
      <c r="F22" s="145">
        <f>'TUULEKOORMUS 2'!F306</f>
        <v>12.38658300375222</v>
      </c>
      <c r="G22" s="187">
        <f>'TUULEKOORMUS 3'!F306</f>
        <v>28.638301917237641</v>
      </c>
      <c r="H22" s="192"/>
      <c r="I22" s="202">
        <f>'Tuul 1+jää'!F48</f>
        <v>64.576070998872126</v>
      </c>
      <c r="J22" s="216">
        <f>'Tuul 2+jää'!F47</f>
        <v>28.343397041436933</v>
      </c>
      <c r="K22" s="204">
        <f>'Tuul 3+jää'!F47</f>
        <v>65.531128446555741</v>
      </c>
      <c r="L22" s="216">
        <f>'Tuul 1+jää'!F62</f>
        <v>41.227024913433738</v>
      </c>
      <c r="M22" s="216">
        <f>'Tuul 2+jää'!F61</f>
        <v>18.095153791240623</v>
      </c>
      <c r="N22" s="204">
        <f>'Tuul 3+jää'!F61</f>
        <v>41.836758156419371</v>
      </c>
    </row>
    <row r="23" spans="1:19" hidden="1">
      <c r="A23" s="142"/>
      <c r="B23" s="146" t="s">
        <v>339</v>
      </c>
      <c r="C23" s="144" t="s">
        <v>86</v>
      </c>
      <c r="D23" s="160"/>
      <c r="E23" s="165">
        <f>'TUULEKOORMUS 1'!F308</f>
        <v>28.152179588050448</v>
      </c>
      <c r="F23" s="145">
        <f>'TUULEKOORMUS 2'!F308</f>
        <v>12.356409910102563</v>
      </c>
      <c r="G23" s="187">
        <f>'TUULEKOORMUS 3'!F308</f>
        <v>28.568540453123269</v>
      </c>
      <c r="H23" s="192"/>
      <c r="I23" s="210"/>
      <c r="J23" s="192"/>
      <c r="K23" s="211"/>
      <c r="L23" s="192"/>
      <c r="M23" s="192"/>
      <c r="N23" s="212"/>
    </row>
    <row r="24" spans="1:19" ht="15.75" hidden="1" thickBot="1">
      <c r="A24" s="148"/>
      <c r="B24" s="149" t="s">
        <v>340</v>
      </c>
      <c r="C24" s="150" t="s">
        <v>86</v>
      </c>
      <c r="D24" s="161"/>
      <c r="E24" s="166">
        <f>'TUULEKOORMUS 1'!F309</f>
        <v>1.9685921678535363</v>
      </c>
      <c r="F24" s="151">
        <f>'TUULEKOORMUS 2'!F309</f>
        <v>0.86404435208067043</v>
      </c>
      <c r="G24" s="188">
        <f>'TUULEKOORMUS 3'!F309</f>
        <v>1.9977069557661209</v>
      </c>
      <c r="H24" s="193"/>
      <c r="I24" s="213"/>
      <c r="J24" s="193"/>
      <c r="K24" s="214"/>
      <c r="L24" s="193"/>
      <c r="M24" s="193"/>
      <c r="N24" s="215"/>
    </row>
    <row r="25" spans="1:19">
      <c r="A25" s="137" t="s">
        <v>333</v>
      </c>
      <c r="B25" s="138"/>
      <c r="C25" s="139" t="s">
        <v>86</v>
      </c>
      <c r="D25" s="159"/>
      <c r="E25" s="167"/>
      <c r="F25" s="139"/>
      <c r="G25" s="189"/>
      <c r="H25" s="194">
        <f>Jäitekoormus!F53</f>
        <v>88.29</v>
      </c>
      <c r="I25" s="208"/>
      <c r="J25" s="194"/>
      <c r="K25" s="209"/>
      <c r="L25" s="194"/>
      <c r="M25" s="194"/>
      <c r="N25" s="189"/>
      <c r="S25" s="222" t="s">
        <v>731</v>
      </c>
    </row>
    <row r="26" spans="1:19">
      <c r="A26" s="142"/>
      <c r="B26" s="183" t="s">
        <v>720</v>
      </c>
      <c r="C26" s="144" t="s">
        <v>86</v>
      </c>
      <c r="D26" s="160"/>
      <c r="E26" s="165">
        <f>'TUULEKOORMUS 1'!F168</f>
        <v>1.7336175661721971</v>
      </c>
      <c r="F26" s="145">
        <f>'TUULEKOORMUS 2'!F168</f>
        <v>178.13705421219058</v>
      </c>
      <c r="G26" s="187">
        <f>'TUULEKOORMUS 3'!F168</f>
        <v>1.3369085596868152E-30</v>
      </c>
      <c r="H26" s="192"/>
      <c r="I26" s="202">
        <f>'Tuul 1+jää'!F279</f>
        <v>1.6916475756868032</v>
      </c>
      <c r="J26" s="203">
        <f>'Tuul 2+jää'!F276</f>
        <v>173.82444766258718</v>
      </c>
      <c r="K26" s="204">
        <f>'Tuul 3+jää'!F275</f>
        <v>1.30454269040586E-30</v>
      </c>
      <c r="L26" s="203">
        <f>I26</f>
        <v>1.6916475756868032</v>
      </c>
      <c r="M26" s="203">
        <f t="shared" ref="M26:N28" si="11">J26</f>
        <v>173.82444766258718</v>
      </c>
      <c r="N26" s="187">
        <f t="shared" si="11"/>
        <v>1.30454269040586E-30</v>
      </c>
    </row>
    <row r="27" spans="1:19" ht="15.75" thickBot="1">
      <c r="A27" s="148"/>
      <c r="B27" s="184" t="s">
        <v>723</v>
      </c>
      <c r="C27" s="155" t="s">
        <v>154</v>
      </c>
      <c r="D27" s="161"/>
      <c r="E27" s="166">
        <f>'TUULEKOORMUS 1'!F171</f>
        <v>100.72173035744572</v>
      </c>
      <c r="F27" s="151">
        <f>'TUULEKOORMUS 2'!F171</f>
        <v>50.607117673917791</v>
      </c>
      <c r="G27" s="188">
        <f>'TUULEKOORMUS 3'!F171</f>
        <v>101.21423534783555</v>
      </c>
      <c r="H27" s="193"/>
      <c r="I27" s="205">
        <f>'Tuul 1+jää'!F282</f>
        <v>95.795123981266286</v>
      </c>
      <c r="J27" s="206">
        <f>'Tuul 2+jää'!F279</f>
        <v>48.13176952682398</v>
      </c>
      <c r="K27" s="207">
        <f>'Tuul 3+jää'!F278</f>
        <v>96.263539053647932</v>
      </c>
      <c r="L27" s="206">
        <f>I27</f>
        <v>95.795123981266286</v>
      </c>
      <c r="M27" s="206">
        <f t="shared" si="11"/>
        <v>48.13176952682398</v>
      </c>
      <c r="N27" s="188">
        <f t="shared" si="11"/>
        <v>96.263539053647932</v>
      </c>
    </row>
    <row r="28" spans="1:19" ht="15.75" thickBot="1">
      <c r="A28" s="137" t="s">
        <v>334</v>
      </c>
      <c r="B28" s="138"/>
      <c r="C28" s="153" t="s">
        <v>154</v>
      </c>
      <c r="D28" s="159">
        <f>Omakaal!E15</f>
        <v>470.88</v>
      </c>
      <c r="E28" s="164">
        <f>'TUULEKOORMUS 1'!F375</f>
        <v>421.40326856124921</v>
      </c>
      <c r="F28" s="140">
        <f>$E28</f>
        <v>421.40326856124921</v>
      </c>
      <c r="G28" s="186">
        <f>$E28</f>
        <v>421.40326856124921</v>
      </c>
      <c r="H28" s="194">
        <v>0</v>
      </c>
      <c r="I28" s="200">
        <f>E28</f>
        <v>421.40326856124921</v>
      </c>
      <c r="J28" s="191">
        <f t="shared" ref="J28:K28" si="12">F28</f>
        <v>421.40326856124921</v>
      </c>
      <c r="K28" s="201">
        <f t="shared" si="12"/>
        <v>421.40326856124921</v>
      </c>
      <c r="L28" s="191">
        <f>I28</f>
        <v>421.40326856124921</v>
      </c>
      <c r="M28" s="191">
        <f t="shared" si="11"/>
        <v>421.40326856124921</v>
      </c>
      <c r="N28" s="186">
        <f t="shared" si="11"/>
        <v>421.40326856124921</v>
      </c>
    </row>
    <row r="29" spans="1:19" hidden="1">
      <c r="A29" s="142"/>
      <c r="B29" s="146" t="s">
        <v>339</v>
      </c>
      <c r="C29" s="154" t="s">
        <v>154</v>
      </c>
      <c r="D29" s="157"/>
      <c r="E29" s="165">
        <f>'TUULEKOORMUS 1'!F379</f>
        <v>420.3767513786882</v>
      </c>
      <c r="F29" s="145">
        <f>'TUULEKOORMUS 2'!F379</f>
        <v>297.97710881383517</v>
      </c>
      <c r="G29" s="187">
        <f>'TUULEKOORMUS 3'!F379</f>
        <v>421.40326856124921</v>
      </c>
      <c r="H29" s="192"/>
      <c r="I29" s="202">
        <f t="shared" ref="I29:I30" si="13">E29</f>
        <v>420.3767513786882</v>
      </c>
      <c r="J29" s="203">
        <f t="shared" ref="J29:J30" si="14">F29</f>
        <v>297.97710881383517</v>
      </c>
      <c r="K29" s="204">
        <f t="shared" ref="K29:K30" si="15">G29</f>
        <v>421.40326856124921</v>
      </c>
      <c r="L29" s="203">
        <f t="shared" ref="L29:L30" si="16">I29</f>
        <v>420.3767513786882</v>
      </c>
      <c r="M29" s="203">
        <f t="shared" ref="M29:M30" si="17">J29</f>
        <v>297.97710881383517</v>
      </c>
      <c r="N29" s="187">
        <f t="shared" ref="N29:N30" si="18">K29</f>
        <v>421.40326856124921</v>
      </c>
    </row>
    <row r="30" spans="1:19" ht="15.75" hidden="1" thickBot="1">
      <c r="A30" s="148"/>
      <c r="B30" s="149" t="s">
        <v>340</v>
      </c>
      <c r="C30" s="155" t="s">
        <v>154</v>
      </c>
      <c r="D30" s="158"/>
      <c r="E30" s="166">
        <f>'TUULEKOORMUS 1'!F380</f>
        <v>29.395606039081365</v>
      </c>
      <c r="F30" s="151">
        <f>'TUULEKOORMUS 2'!F380</f>
        <v>297.97710881383512</v>
      </c>
      <c r="G30" s="188">
        <f>'TUULEKOORMUS 3'!F380</f>
        <v>0</v>
      </c>
      <c r="H30" s="193"/>
      <c r="I30" s="205">
        <f t="shared" si="13"/>
        <v>29.395606039081365</v>
      </c>
      <c r="J30" s="206">
        <f t="shared" si="14"/>
        <v>297.97710881383512</v>
      </c>
      <c r="K30" s="207">
        <f t="shared" si="15"/>
        <v>0</v>
      </c>
      <c r="L30" s="206">
        <f t="shared" si="16"/>
        <v>29.395606039081365</v>
      </c>
      <c r="M30" s="206">
        <f t="shared" si="17"/>
        <v>297.97710881383512</v>
      </c>
      <c r="N30" s="188">
        <f t="shared" si="18"/>
        <v>0</v>
      </c>
    </row>
    <row r="31" spans="1:19">
      <c r="A31" s="137" t="s">
        <v>335</v>
      </c>
      <c r="B31" s="138"/>
      <c r="C31" s="139" t="s">
        <v>86</v>
      </c>
      <c r="D31" s="156"/>
      <c r="E31" s="167"/>
      <c r="F31" s="139"/>
      <c r="G31" s="189"/>
      <c r="H31" s="191">
        <f>Jäitekoormus!F122</f>
        <v>37.427340129552888</v>
      </c>
      <c r="I31" s="208"/>
      <c r="J31" s="194"/>
      <c r="K31" s="209"/>
      <c r="L31" s="194"/>
      <c r="M31" s="194"/>
      <c r="N31" s="189"/>
    </row>
    <row r="32" spans="1:19">
      <c r="A32" s="142"/>
      <c r="B32" s="143" t="s">
        <v>341</v>
      </c>
      <c r="C32" s="144" t="s">
        <v>86</v>
      </c>
      <c r="D32" s="157"/>
      <c r="E32" s="165">
        <f>'TUULEKOORMUS 1'!F354</f>
        <v>57.179729728646819</v>
      </c>
      <c r="F32" s="145">
        <f>'TUULEKOORMUS 2'!F354</f>
        <v>32.568805013520517</v>
      </c>
      <c r="G32" s="187">
        <f>'TUULEKOORMUS 3'!F354</f>
        <v>56.901495129099423</v>
      </c>
      <c r="H32" s="192"/>
      <c r="I32" s="202">
        <f>'Tuul 1+jää'!F85</f>
        <v>132.57611860730651</v>
      </c>
      <c r="J32" s="216">
        <f>'Tuul 2+jää'!F84</f>
        <v>75.513574073567398</v>
      </c>
      <c r="K32" s="204">
        <f>'Tuul 3+jää'!F84</f>
        <v>131.93100777090865</v>
      </c>
      <c r="L32" s="216">
        <f>'Tuul 1+jää'!F99</f>
        <v>84.168087499451445</v>
      </c>
      <c r="M32" s="216">
        <f>'Tuul 2+jää'!F98</f>
        <v>47.941010619314113</v>
      </c>
      <c r="N32" s="204">
        <f>'Tuul 3+jää'!F98</f>
        <v>83.758528478602358</v>
      </c>
    </row>
    <row r="33" spans="1:19" hidden="1">
      <c r="A33" s="142"/>
      <c r="B33" s="146" t="s">
        <v>339</v>
      </c>
      <c r="C33" s="144" t="s">
        <v>86</v>
      </c>
      <c r="D33" s="157"/>
      <c r="E33" s="165">
        <f>'TUULEKOORMUS 1'!F356</f>
        <v>57.040442780870997</v>
      </c>
      <c r="F33" s="145">
        <f>'TUULEKOORMUS 2'!F356</f>
        <v>32.489469041409997</v>
      </c>
      <c r="G33" s="187">
        <f>'TUULEKOORMUS 3'!F356</f>
        <v>56.762885946824078</v>
      </c>
      <c r="H33" s="192"/>
      <c r="I33" s="210"/>
      <c r="J33" s="192"/>
      <c r="K33" s="211"/>
      <c r="L33" s="192"/>
      <c r="M33" s="192"/>
      <c r="N33" s="212"/>
    </row>
    <row r="34" spans="1:19" hidden="1">
      <c r="A34" s="142"/>
      <c r="B34" s="146" t="s">
        <v>340</v>
      </c>
      <c r="C34" s="144" t="s">
        <v>86</v>
      </c>
      <c r="D34" s="157"/>
      <c r="E34" s="165">
        <f>'TUULEKOORMUS 1'!F357</f>
        <v>3.9886563155125327</v>
      </c>
      <c r="F34" s="145">
        <f>'TUULEKOORMUS 2'!F357</f>
        <v>2.2718849918031805</v>
      </c>
      <c r="G34" s="187">
        <f>'TUULEKOORMUS 3'!F357</f>
        <v>3.9692476509744976</v>
      </c>
      <c r="H34" s="192"/>
      <c r="I34" s="210"/>
      <c r="J34" s="192"/>
      <c r="K34" s="211"/>
      <c r="L34" s="192"/>
      <c r="M34" s="192"/>
      <c r="N34" s="212"/>
    </row>
    <row r="35" spans="1:19" ht="15.75" thickBot="1">
      <c r="A35" s="142"/>
      <c r="B35" s="143" t="s">
        <v>342</v>
      </c>
      <c r="C35" s="144" t="s">
        <v>86</v>
      </c>
      <c r="D35" s="157"/>
      <c r="E35" s="165">
        <f>'TUULEKOORMUS 1'!F361</f>
        <v>56.072206850450293</v>
      </c>
      <c r="F35" s="145">
        <f>'TUULEKOORMUS 2'!F361</f>
        <v>24.610924715126298</v>
      </c>
      <c r="G35" s="187">
        <f>'TUULEKOORMUS 3'!F361</f>
        <v>56.901495129099423</v>
      </c>
      <c r="H35" s="192"/>
      <c r="I35" s="202">
        <f>'Tuul 1+jää'!F87</f>
        <v>130.00823161034285</v>
      </c>
      <c r="J35" s="216">
        <f>'Tuul 2+jää'!F86</f>
        <v>57.062544533739114</v>
      </c>
      <c r="K35" s="204">
        <f>'Tuul 3+jää'!F86</f>
        <v>131.93100777090865</v>
      </c>
      <c r="L35" s="216">
        <f>'Tuul 1+jää'!F101</f>
        <v>82.537823016529487</v>
      </c>
      <c r="M35" s="216">
        <f>'Tuul 2+jää'!F100</f>
        <v>36.227076880137332</v>
      </c>
      <c r="N35" s="204">
        <f>'Tuul 3+jää'!F100</f>
        <v>83.758528478602358</v>
      </c>
    </row>
    <row r="36" spans="1:19" hidden="1">
      <c r="A36" s="142"/>
      <c r="B36" s="146" t="s">
        <v>339</v>
      </c>
      <c r="C36" s="144" t="s">
        <v>86</v>
      </c>
      <c r="D36" s="157"/>
      <c r="E36" s="165">
        <f>'TUULEKOORMUS 1'!F363</f>
        <v>55.935617772741857</v>
      </c>
      <c r="F36" s="145">
        <f>'TUULEKOORMUS 2'!F363</f>
        <v>24.550973739461</v>
      </c>
      <c r="G36" s="187">
        <f>'TUULEKOORMUS 3'!F363</f>
        <v>56.762885946824078</v>
      </c>
      <c r="H36" s="192"/>
      <c r="I36" s="210"/>
      <c r="J36" s="192"/>
      <c r="K36" s="211"/>
      <c r="L36" s="192"/>
      <c r="M36" s="192"/>
      <c r="N36" s="212"/>
    </row>
    <row r="37" spans="1:19" ht="15.75" hidden="1" thickBot="1">
      <c r="A37" s="148"/>
      <c r="B37" s="149" t="s">
        <v>340</v>
      </c>
      <c r="C37" s="150" t="s">
        <v>86</v>
      </c>
      <c r="D37" s="158"/>
      <c r="E37" s="166">
        <f>'TUULEKOORMUS 1'!F364</f>
        <v>3.9113994249385988</v>
      </c>
      <c r="F37" s="151">
        <f>'TUULEKOORMUS 2'!F364</f>
        <v>1.716771323709352</v>
      </c>
      <c r="G37" s="188">
        <f>'TUULEKOORMUS 3'!F364</f>
        <v>3.9692476509744976</v>
      </c>
      <c r="H37" s="193"/>
      <c r="I37" s="213"/>
      <c r="J37" s="193"/>
      <c r="K37" s="214"/>
      <c r="L37" s="193"/>
      <c r="M37" s="193"/>
      <c r="N37" s="215"/>
    </row>
    <row r="38" spans="1:19">
      <c r="A38" s="137" t="s">
        <v>357</v>
      </c>
      <c r="B38" s="138"/>
      <c r="C38" s="139" t="s">
        <v>86</v>
      </c>
      <c r="D38" s="156"/>
      <c r="E38" s="164"/>
      <c r="F38" s="139"/>
      <c r="G38" s="189"/>
      <c r="H38" s="191">
        <f>Jäitekoormus!F64</f>
        <v>70.632000000000005</v>
      </c>
      <c r="I38" s="208"/>
      <c r="J38" s="194"/>
      <c r="K38" s="209"/>
      <c r="L38" s="194"/>
      <c r="M38" s="194"/>
      <c r="N38" s="189"/>
      <c r="S38" s="222" t="s">
        <v>731</v>
      </c>
    </row>
    <row r="39" spans="1:19">
      <c r="A39" s="142"/>
      <c r="B39" s="183" t="s">
        <v>720</v>
      </c>
      <c r="C39" s="144" t="s">
        <v>86</v>
      </c>
      <c r="D39" s="157"/>
      <c r="E39" s="165">
        <f>'TUULEKOORMUS 1'!F218</f>
        <v>1.0119373359971857</v>
      </c>
      <c r="F39" s="145">
        <f>'TUULEKOORMUS 2'!F218</f>
        <v>103.98114301523243</v>
      </c>
      <c r="G39" s="187">
        <f>'TUULEKOORMUS 3'!F218</f>
        <v>7.8037262240508031E-31</v>
      </c>
      <c r="H39" s="192"/>
      <c r="I39" s="202">
        <f>'Tuul 1+jää'!F318</f>
        <v>2.3148893307125165</v>
      </c>
      <c r="J39" s="203">
        <f>'Tuul 2+jää'!F315</f>
        <v>237.86535983876701</v>
      </c>
      <c r="K39" s="204">
        <f>'Tuul 3+jää'!F314</f>
        <v>1.7851661296848244E-30</v>
      </c>
      <c r="L39" s="203">
        <f>I39</f>
        <v>2.3148893307125165</v>
      </c>
      <c r="M39" s="203">
        <f t="shared" ref="M39:N40" si="19">J39</f>
        <v>237.86535983876701</v>
      </c>
      <c r="N39" s="187">
        <f t="shared" si="19"/>
        <v>1.7851661296848244E-30</v>
      </c>
    </row>
    <row r="40" spans="1:19" ht="15.75" thickBot="1">
      <c r="A40" s="148"/>
      <c r="B40" s="184" t="s">
        <v>721</v>
      </c>
      <c r="C40" s="150" t="s">
        <v>86</v>
      </c>
      <c r="D40" s="158"/>
      <c r="E40" s="166">
        <f>'TUULEKOORMUS 1'!F221</f>
        <v>344.91724782411268</v>
      </c>
      <c r="F40" s="151">
        <f>'TUULEKOORMUS 2'!F221</f>
        <v>173.30190502538738</v>
      </c>
      <c r="G40" s="188">
        <f>'TUULEKOORMUS 3'!F221</f>
        <v>346.60381005077471</v>
      </c>
      <c r="H40" s="193"/>
      <c r="I40" s="205">
        <f>'Tuul 1+jää'!F321</f>
        <v>365.20649769611936</v>
      </c>
      <c r="J40" s="206">
        <f>'Tuul 2+jää'!F318</f>
        <v>183.49613473276312</v>
      </c>
      <c r="K40" s="207">
        <f>'Tuul 3+jää'!F317</f>
        <v>366.99226946552619</v>
      </c>
      <c r="L40" s="206">
        <f>I40</f>
        <v>365.20649769611936</v>
      </c>
      <c r="M40" s="206">
        <f t="shared" si="19"/>
        <v>183.49613473276312</v>
      </c>
      <c r="N40" s="188">
        <f t="shared" si="19"/>
        <v>366.99226946552619</v>
      </c>
    </row>
    <row r="41" spans="1:19">
      <c r="A41" s="137" t="s">
        <v>356</v>
      </c>
      <c r="B41" s="138"/>
      <c r="C41" s="139" t="s">
        <v>86</v>
      </c>
      <c r="D41" s="156"/>
      <c r="E41" s="164"/>
      <c r="F41" s="139"/>
      <c r="G41" s="189"/>
      <c r="H41" s="191">
        <f>Jäitekoormus!F134</f>
        <v>12.142202324713148</v>
      </c>
      <c r="I41" s="208"/>
      <c r="J41" s="194"/>
      <c r="K41" s="209"/>
      <c r="L41" s="194"/>
      <c r="M41" s="194"/>
      <c r="N41" s="189"/>
    </row>
    <row r="42" spans="1:19">
      <c r="A42" s="142"/>
      <c r="B42" s="143" t="s">
        <v>341</v>
      </c>
      <c r="C42" s="144" t="s">
        <v>86</v>
      </c>
      <c r="D42" s="157"/>
      <c r="E42" s="165">
        <f>'TUULEKOORMUS 1'!F410</f>
        <v>12.365388132445736</v>
      </c>
      <c r="F42" s="145">
        <f>'TUULEKOORMUS 2'!F410</f>
        <v>7.0431587717065005</v>
      </c>
      <c r="G42" s="187">
        <f>'TUULEKOORMUS 3'!F410</f>
        <v>12.305218578801352</v>
      </c>
      <c r="H42" s="192"/>
      <c r="I42" s="202">
        <f>'Tuul 1+jää'!F124</f>
        <v>41.493157580389969</v>
      </c>
      <c r="J42" s="216">
        <f>'Tuul 2+jää'!F123</f>
        <v>23.633944494738742</v>
      </c>
      <c r="K42" s="204">
        <f>'Tuul 3+jää'!F123</f>
        <v>41.291253301756193</v>
      </c>
      <c r="L42" s="216">
        <f>'Tuul 1+jää'!F138</f>
        <v>22.78050323284965</v>
      </c>
      <c r="M42" s="216">
        <f>'Tuul 2+jää'!F137</f>
        <v>12.975468254598065</v>
      </c>
      <c r="N42" s="204">
        <f>'Tuul 3+jää'!F137</f>
        <v>22.669654087102383</v>
      </c>
    </row>
    <row r="43" spans="1:19" hidden="1">
      <c r="A43" s="142"/>
      <c r="B43" s="146" t="s">
        <v>339</v>
      </c>
      <c r="C43" s="144" t="s">
        <v>86</v>
      </c>
      <c r="D43" s="157"/>
      <c r="E43" s="165">
        <f>'TUULEKOORMUS 1'!F412</f>
        <v>12.335266668437331</v>
      </c>
      <c r="F43" s="145">
        <f>'TUULEKOORMUS 2'!F412</f>
        <v>7.0260019909265452</v>
      </c>
      <c r="G43" s="187">
        <f>'TUULEKOORMUS 3'!F412</f>
        <v>12.275243684801515</v>
      </c>
      <c r="H43" s="192"/>
      <c r="I43" s="210"/>
      <c r="J43" s="192"/>
      <c r="K43" s="211"/>
      <c r="L43" s="192"/>
      <c r="M43" s="192"/>
      <c r="N43" s="212"/>
    </row>
    <row r="44" spans="1:19" hidden="1">
      <c r="A44" s="142"/>
      <c r="B44" s="146" t="s">
        <v>340</v>
      </c>
      <c r="C44" s="144" t="s">
        <v>86</v>
      </c>
      <c r="D44" s="157"/>
      <c r="E44" s="165">
        <f>'TUULEKOORMUS 1'!F413</f>
        <v>0.86256587259686957</v>
      </c>
      <c r="F44" s="145">
        <f>'TUULEKOORMUS 2'!F413</f>
        <v>0.49130591993425032</v>
      </c>
      <c r="G44" s="187">
        <f>'TUULEKOORMUS 3'!F413</f>
        <v>0.85836865670787932</v>
      </c>
      <c r="H44" s="192"/>
      <c r="I44" s="210"/>
      <c r="J44" s="192"/>
      <c r="K44" s="211"/>
      <c r="L44" s="192"/>
      <c r="M44" s="192"/>
      <c r="N44" s="212"/>
    </row>
    <row r="45" spans="1:19" ht="15.75" thickBot="1">
      <c r="A45" s="142"/>
      <c r="B45" s="143" t="s">
        <v>342</v>
      </c>
      <c r="C45" s="144" t="s">
        <v>86</v>
      </c>
      <c r="D45" s="157"/>
      <c r="E45" s="165">
        <f>'TUULEKOORMUS 1'!F417</f>
        <v>12.125881049788044</v>
      </c>
      <c r="F45" s="145">
        <f>'TUULEKOORMUS 2'!F417</f>
        <v>5.3222293607392341</v>
      </c>
      <c r="G45" s="187">
        <f>'TUULEKOORMUS 3'!F417</f>
        <v>12.305218578801352</v>
      </c>
      <c r="H45" s="192"/>
      <c r="I45" s="202">
        <f>'Tuul 1+jää'!F126</f>
        <v>40.689470302975778</v>
      </c>
      <c r="J45" s="216">
        <f>'Tuul 2+jää'!F125</f>
        <v>17.859213085651223</v>
      </c>
      <c r="K45" s="204">
        <f>'Tuul 3+jää'!F125</f>
        <v>41.291253301756193</v>
      </c>
      <c r="L45" s="216">
        <f>'Tuul 1+jää'!F140</f>
        <v>22.339264202393533</v>
      </c>
      <c r="M45" s="216">
        <f>'Tuul 2+jää'!F139</f>
        <v>9.8050349782515838</v>
      </c>
      <c r="N45" s="204">
        <f>'Tuul 3+jää'!F139</f>
        <v>22.669654087102383</v>
      </c>
    </row>
    <row r="46" spans="1:19" hidden="1">
      <c r="A46" s="142"/>
      <c r="B46" s="146" t="s">
        <v>339</v>
      </c>
      <c r="C46" s="144" t="s">
        <v>86</v>
      </c>
      <c r="D46" s="157"/>
      <c r="E46" s="165">
        <f>'TUULEKOORMUS 1'!F419</f>
        <v>12.09634301299541</v>
      </c>
      <c r="F46" s="145">
        <f>'TUULEKOORMUS 2'!F419</f>
        <v>5.309264677510785</v>
      </c>
      <c r="G46" s="187">
        <f>'TUULEKOORMUS 3'!F419</f>
        <v>12.275243684801515</v>
      </c>
      <c r="H46" s="192"/>
      <c r="I46" s="210"/>
      <c r="J46" s="144"/>
      <c r="K46" s="197"/>
      <c r="L46" s="144"/>
      <c r="M46" s="144"/>
      <c r="N46" s="147"/>
    </row>
    <row r="47" spans="1:19" ht="15.75" hidden="1" thickBot="1">
      <c r="A47" s="148"/>
      <c r="B47" s="149" t="s">
        <v>340</v>
      </c>
      <c r="C47" s="150" t="s">
        <v>86</v>
      </c>
      <c r="D47" s="158"/>
      <c r="E47" s="166">
        <f>'TUULEKOORMUS 1'!F420</f>
        <v>0.84585870307392619</v>
      </c>
      <c r="F47" s="151">
        <f>'TUULEKOORMUS 2'!F420</f>
        <v>0.37125995266261919</v>
      </c>
      <c r="G47" s="188">
        <f>'TUULEKOORMUS 3'!F420</f>
        <v>0.85836865670787932</v>
      </c>
      <c r="H47" s="193"/>
      <c r="I47" s="213"/>
      <c r="J47" s="150"/>
      <c r="K47" s="198"/>
      <c r="L47" s="150"/>
      <c r="M47" s="150"/>
      <c r="N47" s="152"/>
    </row>
    <row r="48" spans="1:19">
      <c r="A48" s="137" t="s">
        <v>336</v>
      </c>
      <c r="B48" s="138"/>
      <c r="C48" s="139" t="s">
        <v>86</v>
      </c>
      <c r="D48" s="156"/>
      <c r="E48" s="167"/>
      <c r="F48" s="139"/>
      <c r="G48" s="189"/>
      <c r="H48" s="191">
        <f>Jäitekoormus!F76</f>
        <v>11.428248816311019</v>
      </c>
      <c r="I48" s="208"/>
      <c r="J48" s="139"/>
      <c r="K48" s="196"/>
      <c r="L48" s="139"/>
      <c r="M48" s="139"/>
      <c r="N48" s="141"/>
    </row>
    <row r="49" spans="1:14">
      <c r="A49" s="142"/>
      <c r="B49" s="143" t="s">
        <v>354</v>
      </c>
      <c r="C49" s="144" t="s">
        <v>86</v>
      </c>
      <c r="D49" s="157"/>
      <c r="E49" s="165">
        <f>'TUULEKOORMUS 1'!F259</f>
        <v>9.137068803646045</v>
      </c>
      <c r="F49" s="145">
        <f>'TUULEKOORMUS 2'!F259</f>
        <v>21.228585709476462</v>
      </c>
      <c r="G49" s="187">
        <f>'TUULEKOORMUS 3'!F259</f>
        <v>10.614292854738233</v>
      </c>
      <c r="H49" s="144"/>
      <c r="I49" s="202">
        <f>'Tuul 1+jää'!F345</f>
        <v>24.378930957045835</v>
      </c>
      <c r="J49" s="217">
        <f>'Tuul 2+jää'!F342</f>
        <v>56.640727617213727</v>
      </c>
      <c r="K49" s="195">
        <f>'Tuul 3+jää'!F342</f>
        <v>28.320363808606871</v>
      </c>
      <c r="L49" s="217">
        <f>'Tuul 1+jää'!F359</f>
        <v>14.236694990619341</v>
      </c>
      <c r="M49" s="217">
        <f>'Tuul 2+jää'!F356</f>
        <v>33.076789320819977</v>
      </c>
      <c r="N49" s="195">
        <f>'Tuul 3+jää'!F356</f>
        <v>16.538394660409992</v>
      </c>
    </row>
    <row r="50" spans="1:14">
      <c r="A50" s="142"/>
      <c r="B50" s="146" t="s">
        <v>339</v>
      </c>
      <c r="C50" s="144" t="s">
        <v>86</v>
      </c>
      <c r="D50" s="157"/>
      <c r="E50" s="165">
        <f>'TUULEKOORMUS 1'!F261</f>
        <v>6.4608833112261737</v>
      </c>
      <c r="F50" s="145">
        <f>'TUULEKOORMUS 2'!F261</f>
        <v>15.010876910170644</v>
      </c>
      <c r="G50" s="187">
        <f>'TUULEKOORMUS 3'!F261</f>
        <v>7.505438455085323</v>
      </c>
      <c r="H50" s="144"/>
      <c r="I50" s="210"/>
      <c r="J50" s="144"/>
      <c r="K50" s="197"/>
      <c r="L50" s="144"/>
      <c r="M50" s="144"/>
      <c r="N50" s="147"/>
    </row>
    <row r="51" spans="1:14">
      <c r="A51" s="142"/>
      <c r="B51" s="146" t="s">
        <v>340</v>
      </c>
      <c r="C51" s="144" t="s">
        <v>86</v>
      </c>
      <c r="D51" s="157"/>
      <c r="E51" s="165">
        <f>'TUULEKOORMUS 1'!F261</f>
        <v>6.4608833112261737</v>
      </c>
      <c r="F51" s="145">
        <f>'TUULEKOORMUS 2'!F261</f>
        <v>15.010876910170644</v>
      </c>
      <c r="G51" s="187">
        <f>'TUULEKOORMUS 3'!F261</f>
        <v>7.505438455085323</v>
      </c>
      <c r="H51" s="144"/>
      <c r="I51" s="210"/>
      <c r="J51" s="144"/>
      <c r="K51" s="197"/>
      <c r="L51" s="144"/>
      <c r="M51" s="144"/>
      <c r="N51" s="147"/>
    </row>
    <row r="52" spans="1:14">
      <c r="A52" s="172"/>
      <c r="B52" s="173" t="s">
        <v>355</v>
      </c>
      <c r="C52" s="174" t="s">
        <v>86</v>
      </c>
      <c r="D52" s="175"/>
      <c r="E52" s="176">
        <f>'TUULEKOORMUS 1'!F264</f>
        <v>12.091516905830415</v>
      </c>
      <c r="F52" s="177">
        <f>'TUULEKOORMUS 2'!F264</f>
        <v>7.9659670107821104E-32</v>
      </c>
      <c r="G52" s="190">
        <f>'TUULEKOORMUS 3'!F264</f>
        <v>10.614292854738233</v>
      </c>
      <c r="H52" s="174"/>
      <c r="I52" s="221">
        <f>'Tuul 1+jää'!F347</f>
        <v>32.261796660167889</v>
      </c>
      <c r="J52" s="218">
        <f>'Tuul 2+jää'!F344</f>
        <v>2.1254273546070686E-31</v>
      </c>
      <c r="K52" s="199">
        <f>'Tuul 3+jää'!F344</f>
        <v>28.320363808606871</v>
      </c>
      <c r="L52" s="218">
        <f>'Tuul 1+jää'!F361</f>
        <v>18.840094330200635</v>
      </c>
      <c r="M52" s="218">
        <f>'Tuul 2+jää'!F358</f>
        <v>1.2411972053070891E-31</v>
      </c>
      <c r="N52" s="199">
        <f>'Tuul 3+jää'!F358</f>
        <v>16.538394660409992</v>
      </c>
    </row>
    <row r="53" spans="1:14">
      <c r="A53" s="142"/>
      <c r="B53" s="146" t="s">
        <v>339</v>
      </c>
      <c r="C53" s="144" t="s">
        <v>86</v>
      </c>
      <c r="D53" s="157"/>
      <c r="E53" s="165">
        <f>'TUULEKOORMUS 1'!F266</f>
        <v>8.549993598944468</v>
      </c>
      <c r="F53" s="145">
        <f>'TUULEKOORMUS 2'!F266</f>
        <v>5.6327892920323625E-32</v>
      </c>
      <c r="G53" s="187">
        <f>'TUULEKOORMUS 3'!F266</f>
        <v>7.505438455085323</v>
      </c>
      <c r="H53" s="144"/>
      <c r="I53" s="163"/>
      <c r="J53" s="144"/>
      <c r="K53" s="197"/>
      <c r="L53" s="144"/>
      <c r="M53" s="144"/>
      <c r="N53" s="147"/>
    </row>
    <row r="54" spans="1:14" ht="15.75" thickBot="1">
      <c r="A54" s="148"/>
      <c r="B54" s="149" t="s">
        <v>340</v>
      </c>
      <c r="C54" s="150" t="s">
        <v>86</v>
      </c>
      <c r="D54" s="158"/>
      <c r="E54" s="166">
        <f>'TUULEKOORMUS 1'!F266</f>
        <v>8.549993598944468</v>
      </c>
      <c r="F54" s="151">
        <f>'TUULEKOORMUS 2'!F266</f>
        <v>5.6327892920323625E-32</v>
      </c>
      <c r="G54" s="188">
        <f>'TUULEKOORMUS 3'!F266</f>
        <v>7.505438455085323</v>
      </c>
      <c r="H54" s="150"/>
      <c r="I54" s="169"/>
      <c r="J54" s="150"/>
      <c r="K54" s="152"/>
      <c r="L54" s="150"/>
      <c r="M54" s="150"/>
      <c r="N54" s="152"/>
    </row>
  </sheetData>
  <pageMargins left="0.7" right="0.7" top="0.75" bottom="0.75" header="0.3" footer="0.3"/>
  <pageSetup paperSize="9" orientation="landscape" horizontalDpi="300" verticalDpi="0" copies="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2:O35"/>
  <sheetViews>
    <sheetView topLeftCell="A21" workbookViewId="0">
      <selection activeCell="I24" sqref="I24:O25"/>
    </sheetView>
  </sheetViews>
  <sheetFormatPr defaultRowHeight="15"/>
  <cols>
    <col min="1" max="1" width="9" style="2"/>
    <col min="2" max="2" width="23.5" style="2" customWidth="1"/>
    <col min="3" max="6" width="9" style="2"/>
    <col min="7" max="7" width="9.25" style="2" customWidth="1"/>
    <col min="8" max="16384" width="9" style="2"/>
  </cols>
  <sheetData>
    <row r="2" spans="1:8">
      <c r="A2" s="272" t="s">
        <v>0</v>
      </c>
      <c r="B2" s="272" t="s">
        <v>1</v>
      </c>
      <c r="C2" s="1" t="s">
        <v>2</v>
      </c>
      <c r="D2" s="273" t="s">
        <v>3</v>
      </c>
      <c r="E2" s="273"/>
      <c r="F2" s="273" t="s">
        <v>4</v>
      </c>
      <c r="G2" s="273"/>
      <c r="H2" s="1" t="s">
        <v>5</v>
      </c>
    </row>
    <row r="3" spans="1:8" ht="18">
      <c r="A3" s="272"/>
      <c r="B3" s="272"/>
      <c r="C3" s="3" t="s">
        <v>6</v>
      </c>
      <c r="D3" s="3" t="s">
        <v>7</v>
      </c>
      <c r="E3" s="3" t="s">
        <v>8</v>
      </c>
      <c r="F3" s="3" t="s">
        <v>9</v>
      </c>
      <c r="G3" s="3" t="s">
        <v>10</v>
      </c>
      <c r="H3" s="3" t="s">
        <v>11</v>
      </c>
    </row>
    <row r="4" spans="1:8" ht="33.75" customHeight="1">
      <c r="A4" s="18" t="s">
        <v>30</v>
      </c>
      <c r="B4" s="5" t="s">
        <v>12</v>
      </c>
      <c r="C4" s="6">
        <v>-5</v>
      </c>
      <c r="D4" s="4">
        <v>1.4</v>
      </c>
      <c r="E4" s="7">
        <v>1</v>
      </c>
      <c r="F4" s="7"/>
      <c r="G4" s="7"/>
      <c r="H4" s="7">
        <v>1</v>
      </c>
    </row>
    <row r="5" spans="1:8" ht="30.75" customHeight="1">
      <c r="A5" s="18" t="s">
        <v>31</v>
      </c>
      <c r="B5" s="5" t="s">
        <v>13</v>
      </c>
      <c r="C5" s="6">
        <v>-5</v>
      </c>
      <c r="D5" s="4">
        <v>1.4</v>
      </c>
      <c r="E5" s="7">
        <v>1</v>
      </c>
      <c r="F5" s="7"/>
      <c r="G5" s="7"/>
      <c r="H5" s="7">
        <v>1</v>
      </c>
    </row>
    <row r="6" spans="1:8" ht="44.25" customHeight="1">
      <c r="A6" s="18" t="s">
        <v>32</v>
      </c>
      <c r="B6" s="5" t="s">
        <v>14</v>
      </c>
      <c r="C6" s="6">
        <v>-5</v>
      </c>
      <c r="D6" s="4">
        <v>1.4</v>
      </c>
      <c r="E6" s="7">
        <v>1</v>
      </c>
      <c r="F6" s="7"/>
      <c r="G6" s="7"/>
      <c r="H6" s="7">
        <v>1</v>
      </c>
    </row>
    <row r="7" spans="1:8" ht="19.5" customHeight="1">
      <c r="A7" s="18" t="s">
        <v>38</v>
      </c>
      <c r="B7" s="219" t="s">
        <v>724</v>
      </c>
      <c r="C7" s="6">
        <v>-40</v>
      </c>
      <c r="D7" s="7"/>
      <c r="E7" s="7"/>
      <c r="F7" s="7"/>
      <c r="G7" s="7"/>
      <c r="H7" s="7">
        <v>1</v>
      </c>
    </row>
    <row r="8" spans="1:8" ht="21" customHeight="1">
      <c r="A8" s="18" t="s">
        <v>39</v>
      </c>
      <c r="B8" s="20" t="s">
        <v>40</v>
      </c>
      <c r="C8" s="21" t="s">
        <v>41</v>
      </c>
      <c r="D8" s="7"/>
      <c r="E8" s="7"/>
      <c r="F8" s="7"/>
      <c r="G8" s="7"/>
      <c r="H8" s="7">
        <v>1</v>
      </c>
    </row>
    <row r="9" spans="1:8" ht="31.5" customHeight="1">
      <c r="A9" s="220" t="s">
        <v>725</v>
      </c>
      <c r="B9" s="219" t="s">
        <v>728</v>
      </c>
      <c r="C9" s="6">
        <v>-15</v>
      </c>
      <c r="D9" s="7">
        <v>1.4</v>
      </c>
      <c r="E9" s="7">
        <v>0.4</v>
      </c>
      <c r="F9" s="7"/>
      <c r="G9" s="7"/>
      <c r="H9" s="7">
        <v>1</v>
      </c>
    </row>
    <row r="10" spans="1:8" ht="31.5" customHeight="1">
      <c r="A10" s="220" t="s">
        <v>726</v>
      </c>
      <c r="B10" s="219" t="s">
        <v>729</v>
      </c>
      <c r="C10" s="6">
        <v>-15</v>
      </c>
      <c r="D10" s="7">
        <v>1.4</v>
      </c>
      <c r="E10" s="7">
        <v>0.4</v>
      </c>
      <c r="F10" s="7"/>
      <c r="G10" s="7"/>
      <c r="H10" s="7">
        <v>1</v>
      </c>
    </row>
    <row r="11" spans="1:8" ht="31.5" customHeight="1">
      <c r="A11" s="220" t="s">
        <v>727</v>
      </c>
      <c r="B11" s="219" t="s">
        <v>730</v>
      </c>
      <c r="C11" s="6">
        <v>-15</v>
      </c>
      <c r="D11" s="7">
        <v>1.4</v>
      </c>
      <c r="E11" s="7">
        <v>0.4</v>
      </c>
      <c r="F11" s="7"/>
      <c r="G11" s="7"/>
      <c r="H11" s="7">
        <v>1</v>
      </c>
    </row>
    <row r="12" spans="1:8">
      <c r="A12" s="18" t="s">
        <v>33</v>
      </c>
      <c r="B12" s="5" t="s">
        <v>15</v>
      </c>
      <c r="C12" s="6">
        <v>-5</v>
      </c>
      <c r="D12" s="7"/>
      <c r="E12" s="7"/>
      <c r="F12" s="7">
        <v>1.4</v>
      </c>
      <c r="G12" s="7">
        <v>1</v>
      </c>
      <c r="H12" s="7">
        <v>1</v>
      </c>
    </row>
    <row r="13" spans="1:8" ht="30">
      <c r="A13" s="18" t="s">
        <v>34</v>
      </c>
      <c r="B13" s="5" t="s">
        <v>16</v>
      </c>
      <c r="C13" s="6">
        <v>-5</v>
      </c>
      <c r="D13" s="22"/>
      <c r="E13" s="7"/>
      <c r="F13" s="7">
        <v>1.4</v>
      </c>
      <c r="G13" s="8" t="s">
        <v>17</v>
      </c>
      <c r="H13" s="7">
        <v>1</v>
      </c>
    </row>
    <row r="14" spans="1:8" ht="51">
      <c r="A14" s="18" t="s">
        <v>35</v>
      </c>
      <c r="B14" s="5" t="s">
        <v>18</v>
      </c>
      <c r="C14" s="6">
        <v>-5</v>
      </c>
      <c r="D14" s="7"/>
      <c r="E14" s="7"/>
      <c r="F14" s="7">
        <v>1.4</v>
      </c>
      <c r="G14" s="8" t="s">
        <v>19</v>
      </c>
      <c r="H14" s="7">
        <v>1</v>
      </c>
    </row>
    <row r="15" spans="1:8" ht="51">
      <c r="A15" s="18" t="s">
        <v>36</v>
      </c>
      <c r="B15" s="5" t="s">
        <v>20</v>
      </c>
      <c r="C15" s="6">
        <v>-5</v>
      </c>
      <c r="D15" s="7"/>
      <c r="E15" s="7"/>
      <c r="F15" s="7">
        <v>1.4</v>
      </c>
      <c r="G15" s="8" t="s">
        <v>21</v>
      </c>
      <c r="H15" s="7">
        <v>1</v>
      </c>
    </row>
    <row r="16" spans="1:8" ht="29.25" customHeight="1">
      <c r="A16" s="178" t="s">
        <v>688</v>
      </c>
      <c r="B16" s="179" t="s">
        <v>691</v>
      </c>
      <c r="C16" s="6">
        <v>-5</v>
      </c>
      <c r="D16" s="7">
        <v>1</v>
      </c>
      <c r="E16" s="7">
        <v>0.4</v>
      </c>
      <c r="F16" s="7">
        <v>1.4</v>
      </c>
      <c r="G16" s="7">
        <v>1</v>
      </c>
      <c r="H16" s="7">
        <v>1</v>
      </c>
    </row>
    <row r="17" spans="1:15" ht="29.25" customHeight="1">
      <c r="A17" s="178" t="s">
        <v>689</v>
      </c>
      <c r="B17" s="179" t="s">
        <v>692</v>
      </c>
      <c r="C17" s="6">
        <v>-5</v>
      </c>
      <c r="D17" s="7">
        <v>1</v>
      </c>
      <c r="E17" s="7">
        <v>0.4</v>
      </c>
      <c r="F17" s="7">
        <v>1.4</v>
      </c>
      <c r="G17" s="7">
        <v>1</v>
      </c>
      <c r="H17" s="7">
        <v>1</v>
      </c>
    </row>
    <row r="18" spans="1:15" ht="29.25" customHeight="1">
      <c r="A18" s="178" t="s">
        <v>690</v>
      </c>
      <c r="B18" s="179" t="s">
        <v>693</v>
      </c>
      <c r="C18" s="6">
        <v>-5</v>
      </c>
      <c r="D18" s="7">
        <v>1</v>
      </c>
      <c r="E18" s="7">
        <v>0.4</v>
      </c>
      <c r="F18" s="7">
        <v>1.4</v>
      </c>
      <c r="G18" s="7">
        <v>1</v>
      </c>
      <c r="H18" s="7">
        <v>1</v>
      </c>
    </row>
    <row r="19" spans="1:15" ht="30.75" customHeight="1">
      <c r="A19" s="178" t="s">
        <v>694</v>
      </c>
      <c r="B19" s="179" t="s">
        <v>697</v>
      </c>
      <c r="C19" s="6">
        <v>-5</v>
      </c>
      <c r="D19" s="7">
        <v>1.4</v>
      </c>
      <c r="E19" s="7">
        <v>0.7</v>
      </c>
      <c r="F19" s="7">
        <v>1</v>
      </c>
      <c r="G19" s="10">
        <v>0.35</v>
      </c>
      <c r="H19" s="7">
        <v>1</v>
      </c>
    </row>
    <row r="20" spans="1:15" ht="30.75" customHeight="1">
      <c r="A20" s="178" t="s">
        <v>695</v>
      </c>
      <c r="B20" s="179" t="s">
        <v>698</v>
      </c>
      <c r="C20" s="6">
        <v>-5</v>
      </c>
      <c r="D20" s="7">
        <v>1.4</v>
      </c>
      <c r="E20" s="7">
        <v>0.7</v>
      </c>
      <c r="F20" s="7">
        <v>1</v>
      </c>
      <c r="G20" s="10">
        <v>0.35</v>
      </c>
      <c r="H20" s="7">
        <v>1</v>
      </c>
    </row>
    <row r="21" spans="1:15" ht="30.75" customHeight="1">
      <c r="A21" s="178" t="s">
        <v>696</v>
      </c>
      <c r="B21" s="179" t="s">
        <v>699</v>
      </c>
      <c r="C21" s="6">
        <v>-5</v>
      </c>
      <c r="D21" s="7">
        <v>1.4</v>
      </c>
      <c r="E21" s="7">
        <v>0.7</v>
      </c>
      <c r="F21" s="7">
        <v>1</v>
      </c>
      <c r="G21" s="10">
        <v>0.35</v>
      </c>
      <c r="H21" s="7">
        <v>1</v>
      </c>
    </row>
    <row r="22" spans="1:15" ht="18">
      <c r="A22" s="18">
        <v>4</v>
      </c>
      <c r="B22" s="9" t="s">
        <v>29</v>
      </c>
      <c r="C22" s="11">
        <v>-15</v>
      </c>
      <c r="D22" s="265" t="s">
        <v>25</v>
      </c>
      <c r="E22" s="266"/>
      <c r="F22" s="266"/>
      <c r="G22" s="267"/>
      <c r="H22" s="12">
        <v>1</v>
      </c>
      <c r="I22" s="269" t="s">
        <v>37</v>
      </c>
      <c r="J22" s="270"/>
      <c r="K22" s="270"/>
      <c r="L22" s="271"/>
    </row>
    <row r="23" spans="1:15" ht="18">
      <c r="A23" s="19" t="s">
        <v>22</v>
      </c>
      <c r="B23" s="9" t="s">
        <v>24</v>
      </c>
      <c r="C23" s="11">
        <v>-5</v>
      </c>
      <c r="D23" s="265" t="s">
        <v>25</v>
      </c>
      <c r="E23" s="266"/>
      <c r="F23" s="266"/>
      <c r="G23" s="267"/>
      <c r="H23" s="12">
        <v>1</v>
      </c>
      <c r="I23" s="13" t="s">
        <v>751</v>
      </c>
    </row>
    <row r="24" spans="1:15" ht="18" customHeight="1">
      <c r="A24" s="19" t="s">
        <v>23</v>
      </c>
      <c r="B24" s="14" t="s">
        <v>26</v>
      </c>
      <c r="C24" s="11">
        <v>-5</v>
      </c>
      <c r="D24" s="265" t="s">
        <v>27</v>
      </c>
      <c r="E24" s="266"/>
      <c r="F24" s="266"/>
      <c r="G24" s="267"/>
      <c r="H24" s="12">
        <v>1</v>
      </c>
      <c r="I24" s="268" t="s">
        <v>28</v>
      </c>
      <c r="J24" s="268"/>
      <c r="K24" s="268"/>
      <c r="L24" s="268"/>
      <c r="M24" s="268"/>
      <c r="N24" s="268"/>
      <c r="O24" s="268"/>
    </row>
    <row r="25" spans="1:15">
      <c r="A25" s="15"/>
      <c r="I25" s="268"/>
      <c r="J25" s="268"/>
      <c r="K25" s="268"/>
      <c r="L25" s="268"/>
      <c r="M25" s="268"/>
      <c r="N25" s="268"/>
      <c r="O25" s="268"/>
    </row>
    <row r="26" spans="1:15">
      <c r="C26" s="16"/>
      <c r="D26" s="17"/>
      <c r="E26" s="17"/>
      <c r="F26" s="17"/>
      <c r="G26" s="17"/>
      <c r="H26" s="17"/>
    </row>
    <row r="27" spans="1:15">
      <c r="C27" s="16"/>
      <c r="D27" s="17"/>
      <c r="E27" s="17"/>
      <c r="F27" s="17"/>
      <c r="G27" s="17"/>
      <c r="H27" s="17"/>
    </row>
    <row r="28" spans="1:15">
      <c r="C28" s="16"/>
      <c r="D28" s="17"/>
      <c r="E28" s="17"/>
      <c r="F28" s="17"/>
      <c r="G28" s="17"/>
      <c r="H28" s="17"/>
    </row>
    <row r="29" spans="1:15">
      <c r="C29" s="16"/>
      <c r="D29" s="17"/>
      <c r="E29" s="17"/>
      <c r="F29" s="17"/>
      <c r="G29" s="17"/>
      <c r="H29" s="17"/>
    </row>
    <row r="30" spans="1:15">
      <c r="C30" s="16"/>
      <c r="D30" s="17"/>
      <c r="E30" s="17"/>
      <c r="F30" s="17"/>
      <c r="G30" s="17"/>
      <c r="H30" s="17"/>
    </row>
    <row r="31" spans="1:15">
      <c r="C31" s="16"/>
    </row>
    <row r="32" spans="1:15">
      <c r="C32" s="16"/>
    </row>
    <row r="33" spans="3:3">
      <c r="C33" s="16"/>
    </row>
    <row r="34" spans="3:3">
      <c r="C34" s="16"/>
    </row>
    <row r="35" spans="3:3">
      <c r="C35" s="16"/>
    </row>
  </sheetData>
  <mergeCells count="9">
    <mergeCell ref="D24:G24"/>
    <mergeCell ref="D22:G22"/>
    <mergeCell ref="I24:O25"/>
    <mergeCell ref="I22:L22"/>
    <mergeCell ref="A2:A3"/>
    <mergeCell ref="B2:B3"/>
    <mergeCell ref="D2:E2"/>
    <mergeCell ref="F2:G2"/>
    <mergeCell ref="D23:G23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B4:T25"/>
  <sheetViews>
    <sheetView workbookViewId="0">
      <selection activeCell="L37" sqref="L37"/>
    </sheetView>
  </sheetViews>
  <sheetFormatPr defaultColWidth="5" defaultRowHeight="15.75" customHeight="1"/>
  <cols>
    <col min="4" max="4" width="6.875" customWidth="1"/>
    <col min="5" max="5" width="9.375" customWidth="1"/>
    <col min="11" max="11" width="6.5" customWidth="1"/>
    <col min="12" max="12" width="8.625" customWidth="1"/>
    <col min="17" max="17" width="6.25" customWidth="1"/>
    <col min="18" max="18" width="9.375" customWidth="1"/>
  </cols>
  <sheetData>
    <row r="4" spans="2:19" ht="15.75" customHeight="1">
      <c r="B4" t="s">
        <v>711</v>
      </c>
    </row>
    <row r="7" spans="2:19" ht="15.75" customHeight="1">
      <c r="E7" t="s">
        <v>708</v>
      </c>
      <c r="L7" t="s">
        <v>709</v>
      </c>
      <c r="R7" t="s">
        <v>710</v>
      </c>
    </row>
    <row r="8" spans="2:19" ht="15.75" customHeight="1">
      <c r="D8" s="74" t="s">
        <v>701</v>
      </c>
      <c r="E8" s="180">
        <v>5.62E-4</v>
      </c>
      <c r="F8" t="s">
        <v>81</v>
      </c>
      <c r="K8" s="74" t="s">
        <v>701</v>
      </c>
      <c r="L8" s="180">
        <v>1.3619999999999999E-3</v>
      </c>
      <c r="M8" t="s">
        <v>81</v>
      </c>
      <c r="Q8" s="74" t="s">
        <v>701</v>
      </c>
      <c r="R8" s="180">
        <v>1.5300000000000001E-4</v>
      </c>
      <c r="S8" t="s">
        <v>81</v>
      </c>
    </row>
    <row r="9" spans="2:19" ht="15.75" customHeight="1">
      <c r="D9" s="74" t="s">
        <v>702</v>
      </c>
      <c r="E9">
        <v>34.04</v>
      </c>
      <c r="F9" t="s">
        <v>717</v>
      </c>
      <c r="K9" s="74" t="s">
        <v>702</v>
      </c>
      <c r="L9">
        <v>32.86</v>
      </c>
      <c r="M9" t="s">
        <v>717</v>
      </c>
      <c r="Q9" s="74" t="s">
        <v>702</v>
      </c>
      <c r="R9">
        <v>45.33</v>
      </c>
      <c r="S9" t="s">
        <v>717</v>
      </c>
    </row>
    <row r="10" spans="2:19" ht="15.75" customHeight="1">
      <c r="D10" s="74" t="s">
        <v>712</v>
      </c>
      <c r="E10" s="180">
        <f>E9*E8</f>
        <v>1.9130479999999998E-2</v>
      </c>
      <c r="F10" t="s">
        <v>700</v>
      </c>
      <c r="K10" s="74" t="s">
        <v>713</v>
      </c>
      <c r="L10" s="180">
        <f>L9*L8</f>
        <v>4.4755319999999994E-2</v>
      </c>
      <c r="M10" t="s">
        <v>700</v>
      </c>
      <c r="Q10" s="74" t="s">
        <v>713</v>
      </c>
      <c r="R10" s="180">
        <f>R9*R8</f>
        <v>6.9354899999999999E-3</v>
      </c>
      <c r="S10" t="s">
        <v>700</v>
      </c>
    </row>
    <row r="11" spans="2:19" ht="15.75" customHeight="1">
      <c r="D11" s="74" t="s">
        <v>714</v>
      </c>
      <c r="E11" s="180">
        <f>2*0.000281</f>
        <v>5.62E-4</v>
      </c>
      <c r="F11" t="s">
        <v>81</v>
      </c>
      <c r="K11" s="74" t="s">
        <v>714</v>
      </c>
      <c r="L11" s="180">
        <f>3*0.000454</f>
        <v>1.3619999999999999E-3</v>
      </c>
      <c r="M11" t="s">
        <v>81</v>
      </c>
      <c r="Q11" s="74" t="s">
        <v>714</v>
      </c>
      <c r="R11" s="180">
        <f>0.000153</f>
        <v>1.5300000000000001E-4</v>
      </c>
      <c r="S11" t="s">
        <v>81</v>
      </c>
    </row>
    <row r="12" spans="2:19" ht="15.75" customHeight="1">
      <c r="D12" s="74" t="s">
        <v>715</v>
      </c>
      <c r="E12" s="180">
        <f>2*0.975*0.00981</f>
        <v>1.9129499999999997E-2</v>
      </c>
      <c r="F12" t="s">
        <v>700</v>
      </c>
      <c r="K12" s="74" t="s">
        <v>715</v>
      </c>
      <c r="L12" s="180">
        <f>3*1.521*0.00981</f>
        <v>4.4763029999999995E-2</v>
      </c>
      <c r="M12" t="s">
        <v>700</v>
      </c>
      <c r="Q12" s="74" t="s">
        <v>715</v>
      </c>
      <c r="R12" s="180">
        <f>0.707*0.00981</f>
        <v>6.9356699999999988E-3</v>
      </c>
      <c r="S12" t="s">
        <v>700</v>
      </c>
    </row>
    <row r="13" spans="2:19" ht="15.75" customHeight="1">
      <c r="D13" s="74" t="s">
        <v>716</v>
      </c>
      <c r="E13" s="75">
        <f>(1-E12/E10)*100</f>
        <v>5.1227151644961388E-3</v>
      </c>
      <c r="F13" t="s">
        <v>705</v>
      </c>
      <c r="K13" s="74" t="s">
        <v>716</v>
      </c>
      <c r="L13" s="75">
        <f>(1-L12/L10)*100</f>
        <v>-1.7227002287101278E-2</v>
      </c>
      <c r="M13" t="s">
        <v>705</v>
      </c>
      <c r="Q13" s="74" t="s">
        <v>716</v>
      </c>
      <c r="R13" s="75">
        <f>(1-R12/R10)*100</f>
        <v>-2.5953465436323597E-3</v>
      </c>
      <c r="S13" t="s">
        <v>705</v>
      </c>
    </row>
    <row r="15" spans="2:19" ht="15.75" customHeight="1">
      <c r="C15" t="s">
        <v>703</v>
      </c>
      <c r="D15" s="181">
        <v>360</v>
      </c>
      <c r="E15" s="75">
        <f>D15*$E$10</f>
        <v>6.8869727999999997</v>
      </c>
      <c r="F15" t="s">
        <v>459</v>
      </c>
      <c r="J15" t="s">
        <v>703</v>
      </c>
      <c r="K15" s="181">
        <v>360</v>
      </c>
      <c r="L15" s="75">
        <f>K15*L$10</f>
        <v>16.111915199999999</v>
      </c>
      <c r="M15" t="s">
        <v>459</v>
      </c>
      <c r="P15" t="s">
        <v>703</v>
      </c>
      <c r="Q15" s="181">
        <v>360</v>
      </c>
      <c r="R15" s="75">
        <f>Q15*R$10</f>
        <v>2.4967763999999999</v>
      </c>
      <c r="S15" t="s">
        <v>459</v>
      </c>
    </row>
    <row r="16" spans="2:19" ht="15.75" customHeight="1">
      <c r="D16" s="181">
        <v>420</v>
      </c>
      <c r="E16" s="75">
        <f t="shared" ref="E16:E20" si="0">D16*$E$10</f>
        <v>8.0348015999999998</v>
      </c>
      <c r="F16" t="s">
        <v>459</v>
      </c>
      <c r="K16" s="181">
        <v>420</v>
      </c>
      <c r="L16" s="75">
        <f t="shared" ref="L16:L20" si="1">K16*L$10</f>
        <v>18.797234399999997</v>
      </c>
      <c r="M16" t="s">
        <v>459</v>
      </c>
      <c r="Q16" s="181">
        <v>420</v>
      </c>
      <c r="R16" s="75">
        <f t="shared" ref="R16:R20" si="2">Q16*R$10</f>
        <v>2.9129057999999999</v>
      </c>
      <c r="S16" t="s">
        <v>459</v>
      </c>
    </row>
    <row r="17" spans="3:20" ht="15.75" customHeight="1">
      <c r="D17" s="181">
        <v>210</v>
      </c>
      <c r="E17" s="75">
        <f t="shared" si="0"/>
        <v>4.0174007999999999</v>
      </c>
      <c r="F17" t="s">
        <v>459</v>
      </c>
      <c r="K17" s="181">
        <v>210</v>
      </c>
      <c r="L17" s="75">
        <f t="shared" si="1"/>
        <v>9.3986171999999986</v>
      </c>
      <c r="M17" t="s">
        <v>459</v>
      </c>
      <c r="Q17" s="181">
        <v>210</v>
      </c>
      <c r="R17" s="75">
        <f t="shared" si="2"/>
        <v>1.4564528999999999</v>
      </c>
      <c r="S17" t="s">
        <v>459</v>
      </c>
    </row>
    <row r="18" spans="3:20" ht="15.75" customHeight="1">
      <c r="D18" s="181">
        <v>150</v>
      </c>
      <c r="E18" s="75">
        <f t="shared" si="0"/>
        <v>2.8695719999999998</v>
      </c>
      <c r="F18" t="s">
        <v>459</v>
      </c>
      <c r="K18" s="181">
        <v>150</v>
      </c>
      <c r="L18" s="75">
        <f t="shared" si="1"/>
        <v>6.7132979999999991</v>
      </c>
      <c r="M18" t="s">
        <v>459</v>
      </c>
      <c r="Q18" s="181">
        <v>150</v>
      </c>
      <c r="R18" s="75">
        <f t="shared" si="2"/>
        <v>1.0403235</v>
      </c>
      <c r="S18" t="s">
        <v>459</v>
      </c>
    </row>
    <row r="19" spans="3:20" ht="15.75" customHeight="1">
      <c r="D19" s="182">
        <v>361.1</v>
      </c>
      <c r="E19" s="75">
        <f t="shared" si="0"/>
        <v>6.9080163279999995</v>
      </c>
      <c r="F19" t="s">
        <v>459</v>
      </c>
      <c r="K19" s="182">
        <v>360.92</v>
      </c>
      <c r="L19" s="75">
        <f t="shared" si="1"/>
        <v>16.1530900944</v>
      </c>
      <c r="M19" t="s">
        <v>459</v>
      </c>
      <c r="Q19" s="182">
        <v>360.92</v>
      </c>
      <c r="R19" s="75">
        <f t="shared" si="2"/>
        <v>2.5031570508000001</v>
      </c>
      <c r="S19" t="s">
        <v>459</v>
      </c>
      <c r="T19" t="s">
        <v>718</v>
      </c>
    </row>
    <row r="20" spans="3:20" ht="15.75" customHeight="1">
      <c r="C20" s="75">
        <f>150/360</f>
        <v>0.41666666666666669</v>
      </c>
      <c r="D20">
        <f>C20*D19</f>
        <v>150.45833333333334</v>
      </c>
      <c r="E20" s="75">
        <f t="shared" si="0"/>
        <v>2.8783401366666665</v>
      </c>
      <c r="F20" t="s">
        <v>459</v>
      </c>
      <c r="J20" s="75">
        <f>150/360</f>
        <v>0.41666666666666669</v>
      </c>
      <c r="K20" s="75">
        <f>J20*K19</f>
        <v>150.38333333333335</v>
      </c>
      <c r="L20" s="75">
        <f t="shared" si="1"/>
        <v>6.7304542060000001</v>
      </c>
      <c r="M20" t="s">
        <v>459</v>
      </c>
      <c r="P20" s="75">
        <f>150/360</f>
        <v>0.41666666666666669</v>
      </c>
      <c r="Q20" s="75">
        <f>P20*Q19</f>
        <v>150.38333333333335</v>
      </c>
      <c r="R20" s="75">
        <f t="shared" si="2"/>
        <v>1.0429821045000001</v>
      </c>
      <c r="S20" t="s">
        <v>459</v>
      </c>
      <c r="T20" t="s">
        <v>719</v>
      </c>
    </row>
    <row r="23" spans="3:20" ht="15.75" customHeight="1">
      <c r="J23" s="181" t="s">
        <v>704</v>
      </c>
      <c r="K23" s="75">
        <f>(1-E20/2.95)*100</f>
        <v>2.4291479096045343</v>
      </c>
      <c r="L23" t="s">
        <v>705</v>
      </c>
    </row>
    <row r="24" spans="3:20" ht="15.75" customHeight="1">
      <c r="J24" s="181" t="s">
        <v>706</v>
      </c>
      <c r="K24" s="75">
        <f>(1-6.73/6.95)*100</f>
        <v>3.1654676258992764</v>
      </c>
      <c r="L24" t="s">
        <v>705</v>
      </c>
    </row>
    <row r="25" spans="3:20" ht="15.75" customHeight="1">
      <c r="J25" s="181" t="s">
        <v>707</v>
      </c>
      <c r="K25" s="75">
        <f>(1-R20/1.04)*100</f>
        <v>-0.28674081730768464</v>
      </c>
      <c r="L25" t="s">
        <v>705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2:N235"/>
  <sheetViews>
    <sheetView tabSelected="1" view="pageLayout" topLeftCell="A209" zoomScaleNormal="100" workbookViewId="0">
      <selection activeCell="F226" sqref="F226"/>
    </sheetView>
  </sheetViews>
  <sheetFormatPr defaultColWidth="4.875" defaultRowHeight="16.5" customHeight="1"/>
  <cols>
    <col min="1" max="2" width="1.375" style="121" customWidth="1"/>
    <col min="3" max="3" width="1.375" customWidth="1"/>
    <col min="4" max="4" width="7.875" customWidth="1"/>
    <col min="5" max="5" width="8" customWidth="1"/>
    <col min="7" max="7" width="1.25" customWidth="1"/>
  </cols>
  <sheetData>
    <row r="2" spans="1:9" ht="16.5" customHeight="1">
      <c r="A2" s="121" t="s">
        <v>752</v>
      </c>
    </row>
    <row r="4" spans="1:9" ht="16.5" customHeight="1">
      <c r="D4" s="239" t="s">
        <v>790</v>
      </c>
      <c r="E4" s="240">
        <v>1</v>
      </c>
      <c r="I4" s="242" t="s">
        <v>793</v>
      </c>
    </row>
    <row r="5" spans="1:9" ht="16.5" customHeight="1">
      <c r="D5" s="239" t="s">
        <v>791</v>
      </c>
      <c r="E5" s="240">
        <v>1</v>
      </c>
      <c r="I5" s="242" t="s">
        <v>794</v>
      </c>
    </row>
    <row r="6" spans="1:9" ht="16.5" customHeight="1">
      <c r="D6" s="239" t="s">
        <v>792</v>
      </c>
      <c r="E6" s="241">
        <v>1.25</v>
      </c>
      <c r="I6" s="242" t="s">
        <v>795</v>
      </c>
    </row>
    <row r="9" spans="1:9" ht="16.5" customHeight="1">
      <c r="A9" s="121" t="s">
        <v>753</v>
      </c>
    </row>
    <row r="10" spans="1:9" ht="16.5" customHeight="1">
      <c r="C10" t="s">
        <v>856</v>
      </c>
    </row>
    <row r="12" spans="1:9" ht="16.5" customHeight="1">
      <c r="D12" s="74" t="s">
        <v>836</v>
      </c>
      <c r="E12" s="244">
        <v>976</v>
      </c>
      <c r="F12" t="s">
        <v>459</v>
      </c>
    </row>
    <row r="13" spans="1:9" ht="16.5" customHeight="1">
      <c r="D13" s="74" t="s">
        <v>837</v>
      </c>
      <c r="E13" s="244">
        <v>82.2</v>
      </c>
      <c r="F13" t="s">
        <v>774</v>
      </c>
    </row>
    <row r="14" spans="1:9" ht="16.5" customHeight="1">
      <c r="D14" s="74" t="s">
        <v>838</v>
      </c>
      <c r="E14" s="244">
        <v>7.05</v>
      </c>
      <c r="F14" t="s">
        <v>774</v>
      </c>
    </row>
    <row r="15" spans="1:9" ht="16.5" customHeight="1">
      <c r="D15" s="74" t="s">
        <v>839</v>
      </c>
      <c r="E15" s="244">
        <v>5.85</v>
      </c>
      <c r="F15" t="s">
        <v>459</v>
      </c>
    </row>
    <row r="17" spans="2:9" ht="16.5" customHeight="1">
      <c r="C17" t="s">
        <v>775</v>
      </c>
    </row>
    <row r="18" spans="2:9" ht="16.5" customHeight="1">
      <c r="E18" s="244" t="s">
        <v>786</v>
      </c>
      <c r="I18" t="s">
        <v>773</v>
      </c>
    </row>
    <row r="19" spans="2:9" ht="16.5" customHeight="1">
      <c r="D19" s="74" t="s">
        <v>797</v>
      </c>
      <c r="E19">
        <v>355</v>
      </c>
      <c r="F19" t="s">
        <v>798</v>
      </c>
    </row>
    <row r="20" spans="2:9" ht="16.5" customHeight="1">
      <c r="D20" s="74" t="s">
        <v>514</v>
      </c>
      <c r="E20" s="236">
        <f>VLOOKUP($E$18,Tabel_1,2,FALSE)</f>
        <v>323.89999999999998</v>
      </c>
      <c r="F20" t="s">
        <v>438</v>
      </c>
      <c r="I20" t="s">
        <v>777</v>
      </c>
    </row>
    <row r="21" spans="2:9" ht="16.5" customHeight="1">
      <c r="D21" s="74" t="s">
        <v>776</v>
      </c>
      <c r="E21" s="236">
        <f>VLOOKUP($E$18,Tabel_1,3,FALSE)</f>
        <v>12.5</v>
      </c>
      <c r="F21" t="s">
        <v>438</v>
      </c>
      <c r="I21" t="s">
        <v>778</v>
      </c>
    </row>
    <row r="22" spans="2:9" ht="16.5" customHeight="1">
      <c r="D22" s="74" t="s">
        <v>701</v>
      </c>
      <c r="E22" s="236">
        <f>VLOOKUP($E$18,Tabel_1,5,FALSE)*100</f>
        <v>12229</v>
      </c>
      <c r="F22" t="s">
        <v>780</v>
      </c>
      <c r="I22" t="s">
        <v>779</v>
      </c>
    </row>
    <row r="23" spans="2:9" ht="16.5" customHeight="1">
      <c r="D23" s="74" t="s">
        <v>801</v>
      </c>
      <c r="E23" s="236">
        <f>VLOOKUP($E$18,Tabel_1,8,FALSE)*10^3</f>
        <v>916740</v>
      </c>
      <c r="F23" t="s">
        <v>802</v>
      </c>
      <c r="I23" t="s">
        <v>803</v>
      </c>
    </row>
    <row r="24" spans="2:9" ht="16.5" customHeight="1">
      <c r="D24" s="74" t="s">
        <v>817</v>
      </c>
      <c r="E24" s="236">
        <f>VLOOKUP($E$18,Tabel_1,10,FALSE)*10</f>
        <v>110.19999999999999</v>
      </c>
      <c r="F24" t="s">
        <v>438</v>
      </c>
      <c r="I24" t="s">
        <v>825</v>
      </c>
    </row>
    <row r="26" spans="2:9" ht="16.5" customHeight="1">
      <c r="C26" t="s">
        <v>781</v>
      </c>
    </row>
    <row r="27" spans="2:9" ht="16.5" customHeight="1">
      <c r="D27" s="74" t="s">
        <v>782</v>
      </c>
      <c r="E27">
        <v>0.81</v>
      </c>
      <c r="I27" t="s">
        <v>783</v>
      </c>
    </row>
    <row r="28" spans="2:9" ht="16.5" customHeight="1">
      <c r="E28" s="75">
        <f>E27^2</f>
        <v>0.65610000000000013</v>
      </c>
      <c r="G28" s="43" t="str">
        <f>[3]!EQS(E28,"Units= ; EqnPrefix=Valem  ; EqnNo= 0; Multiplication= 1; ShowWorking= 0; EqnStyle= 2; Eqp$G$20_2")</f>
        <v/>
      </c>
      <c r="H28" s="236" t="s">
        <v>784</v>
      </c>
    </row>
    <row r="29" spans="2:9" ht="16.5" customHeight="1">
      <c r="E29" s="75">
        <f>E20/E21</f>
        <v>25.911999999999999</v>
      </c>
      <c r="G29" s="43" t="str">
        <f>[3]!EQS(E29,"Units= ; EqnPrefix=Valem  ; EqnNo= 0; Multiplication= 1; ShowWorking= 0; EqnStyle= 2; Eqp$G$20_2")</f>
        <v/>
      </c>
      <c r="H29" s="236" t="s">
        <v>785</v>
      </c>
    </row>
    <row r="30" spans="2:9" ht="16.5" customHeight="1">
      <c r="D30" s="181" t="s">
        <v>787</v>
      </c>
      <c r="E30">
        <f>IF(E29&lt;50*E28,1,IF(E29&lt;70*E28,2,IF(E29&lt;90*E28,3,4)))</f>
        <v>1</v>
      </c>
      <c r="I30" t="str">
        <f>IF(E30=4,"Leia A_eff","")</f>
        <v/>
      </c>
    </row>
    <row r="32" spans="2:9" ht="16.5" customHeight="1">
      <c r="B32" t="s">
        <v>789</v>
      </c>
    </row>
    <row r="33" spans="3:14" ht="16.5" customHeight="1">
      <c r="C33" t="s">
        <v>807</v>
      </c>
    </row>
    <row r="34" spans="3:14" ht="16.5" customHeight="1">
      <c r="C34" t="s">
        <v>808</v>
      </c>
    </row>
    <row r="35" spans="3:14" ht="16.5" customHeight="1">
      <c r="D35" s="74" t="s">
        <v>126</v>
      </c>
      <c r="E35" s="247">
        <v>14130</v>
      </c>
      <c r="F35" t="s">
        <v>438</v>
      </c>
      <c r="L35" t="s">
        <v>828</v>
      </c>
    </row>
    <row r="36" spans="3:14" ht="16.5" customHeight="1">
      <c r="D36" s="74" t="s">
        <v>816</v>
      </c>
      <c r="E36" s="246">
        <v>1</v>
      </c>
      <c r="L36" t="s">
        <v>827</v>
      </c>
    </row>
    <row r="37" spans="3:14" ht="16.5" customHeight="1">
      <c r="D37" s="74" t="s">
        <v>815</v>
      </c>
      <c r="E37">
        <f>E35*E36</f>
        <v>14130</v>
      </c>
      <c r="F37" t="s">
        <v>438</v>
      </c>
      <c r="G37" s="43" t="str">
        <f>[3]!EQS(E37,"Units= ; EqnPrefix=Valem  ; EqnNo= 0; Multiplication= 1; ShowWorking= 0; EqnStyle= 2; Eqp$G$20_2")</f>
        <v/>
      </c>
      <c r="H37" s="236" t="s">
        <v>829</v>
      </c>
      <c r="L37" t="s">
        <v>826</v>
      </c>
    </row>
    <row r="38" spans="3:14" ht="16.5" customHeight="1">
      <c r="D38" s="74" t="s">
        <v>817</v>
      </c>
      <c r="E38">
        <f>E24</f>
        <v>110.19999999999999</v>
      </c>
      <c r="F38" t="s">
        <v>438</v>
      </c>
      <c r="L38" t="s">
        <v>825</v>
      </c>
    </row>
    <row r="39" spans="3:14" ht="16.5" customHeight="1">
      <c r="D39" s="74" t="s">
        <v>520</v>
      </c>
      <c r="E39" s="75">
        <f>E37/E38</f>
        <v>128.22141560798551</v>
      </c>
      <c r="G39" s="43" t="str">
        <f>[3]!EQS(E39,"Units= ; EqnPrefix=Valem  ; EqnNo= 0; Multiplication= 1; ShowWorking= 0; EqnStyle= 2; Eqp$G$20_2")</f>
        <v/>
      </c>
      <c r="H39" s="236" t="s">
        <v>830</v>
      </c>
    </row>
    <row r="40" spans="3:14" ht="16.5" customHeight="1">
      <c r="D40" s="74" t="s">
        <v>818</v>
      </c>
      <c r="E40">
        <v>210000</v>
      </c>
      <c r="F40" t="s">
        <v>798</v>
      </c>
      <c r="L40" t="s">
        <v>824</v>
      </c>
    </row>
    <row r="41" spans="3:14" ht="16.5" customHeight="1">
      <c r="D41" s="74" t="s">
        <v>797</v>
      </c>
      <c r="E41">
        <f>E19</f>
        <v>355</v>
      </c>
      <c r="F41" t="s">
        <v>798</v>
      </c>
    </row>
    <row r="42" spans="3:14" ht="16.5" customHeight="1">
      <c r="D42" s="181" t="s">
        <v>813</v>
      </c>
      <c r="E42" s="248">
        <f>(E39/PI())*(E41/E40)^0.5</f>
        <v>1.6780899011797574</v>
      </c>
      <c r="G42" s="43" t="str">
        <f>[3]!EQS(E42,"Units= ; EqnPrefix=Valem  ; EqnNo= 0; Multiplication= 1; ShowWorking= 0; EqnStyle= 2; Eqp$G$20_2")</f>
        <v/>
      </c>
      <c r="H42" s="236" t="s">
        <v>831</v>
      </c>
      <c r="L42" t="s">
        <v>823</v>
      </c>
    </row>
    <row r="43" spans="3:14" ht="16.5" customHeight="1">
      <c r="E43" t="s">
        <v>809</v>
      </c>
      <c r="L43" t="s">
        <v>810</v>
      </c>
    </row>
    <row r="44" spans="3:14" ht="16.5" customHeight="1">
      <c r="D44" s="74" t="s">
        <v>811</v>
      </c>
      <c r="E44">
        <v>0.21</v>
      </c>
      <c r="L44" t="s">
        <v>812</v>
      </c>
    </row>
    <row r="45" spans="3:14" ht="16.5" customHeight="1">
      <c r="D45" s="74" t="s">
        <v>814</v>
      </c>
      <c r="E45" s="75">
        <f>0.5*(1+E44*(E42-0.2)+E42^2)</f>
        <v>2.0631922978446182</v>
      </c>
      <c r="G45" s="43" t="str">
        <f>[3]!EQS(E45,"Units= ; EqnPrefix=Valem  ; EqnNo= 0; Multiplication= 1; ShowWorking= 0; EqnStyle= 2; Eqp$G$20_2")</f>
        <v/>
      </c>
      <c r="H45" s="236" t="s">
        <v>832</v>
      </c>
      <c r="N45" t="s">
        <v>822</v>
      </c>
    </row>
    <row r="46" spans="3:14" ht="16.5" customHeight="1">
      <c r="D46" s="74" t="s">
        <v>833</v>
      </c>
      <c r="E46" s="75">
        <f>1/(E45+(E45^2-E42^2)^0.5)</f>
        <v>0.30641799571996092</v>
      </c>
      <c r="G46" s="43" t="str">
        <f>[3]!EQS(E46,"Units= ; EqnPrefix=Valem  ; EqnNo= 0; Multiplication= 1; ShowWorking= 0; EqnStyle= 2; Eqp$G$20_2")</f>
        <v/>
      </c>
      <c r="H46" s="236" t="s">
        <v>834</v>
      </c>
      <c r="L46" t="s">
        <v>821</v>
      </c>
    </row>
    <row r="47" spans="3:14" ht="16.5" customHeight="1">
      <c r="D47" s="74" t="s">
        <v>796</v>
      </c>
      <c r="E47" s="87">
        <f>E22*E19/E4*10^-3</f>
        <v>4341.2950000000001</v>
      </c>
      <c r="F47" t="s">
        <v>459</v>
      </c>
      <c r="G47" s="43" t="str">
        <f>[3]!EQS(E47,"Units= ; EqnPrefix=Valem  ; EqnNo= 0; Multiplication= 1; ShowWorking= 0; EqnStyle= 2; Eqp$G$20_2")</f>
        <v/>
      </c>
      <c r="H47" s="236" t="s">
        <v>800</v>
      </c>
    </row>
    <row r="48" spans="3:14" ht="16.5" customHeight="1">
      <c r="D48" s="74"/>
      <c r="E48" s="87"/>
      <c r="G48" s="43" t="str">
        <f>[3]!EQS(E47,"Units= ; EqnPrefix=Valem  ; EqnNo= 0; Multiplication= 1; ShowWorking= 1; EqnStyle= 2; Eqp$G$20_$G$32_3")</f>
        <v/>
      </c>
      <c r="H48" s="236" t="s">
        <v>867</v>
      </c>
    </row>
    <row r="49" spans="3:12" ht="16.5" customHeight="1">
      <c r="D49" s="74" t="s">
        <v>819</v>
      </c>
      <c r="E49" s="75">
        <f>E46*E47</f>
        <v>1330.2509127290878</v>
      </c>
      <c r="F49" t="s">
        <v>459</v>
      </c>
      <c r="G49" s="43" t="str">
        <f>[3]!EQS(E49,"Units= ; EqnPrefix=Valem  ; EqnNo= 0; Multiplication= 1; ShowWorking= 0; EqnStyle= 2; Eqp$G$20_2")</f>
        <v/>
      </c>
      <c r="H49" s="236" t="s">
        <v>835</v>
      </c>
      <c r="L49" t="s">
        <v>820</v>
      </c>
    </row>
    <row r="50" spans="3:12" ht="16.5" customHeight="1">
      <c r="D50" s="74" t="s">
        <v>836</v>
      </c>
      <c r="E50">
        <f>E12</f>
        <v>976</v>
      </c>
      <c r="F50" t="s">
        <v>459</v>
      </c>
      <c r="L50" t="s">
        <v>840</v>
      </c>
    </row>
    <row r="51" spans="3:12" ht="16.5" customHeight="1">
      <c r="D51" s="74" t="s">
        <v>799</v>
      </c>
      <c r="E51" s="75">
        <f>E50/E49*100</f>
        <v>73.369617014408121</v>
      </c>
      <c r="F51" t="s">
        <v>705</v>
      </c>
      <c r="H51" s="274" t="str">
        <f>IF(E51&lt;100,"Kandevõime on tagatud!","Kandevõime pole tagatud!")</f>
        <v>Kandevõime on tagatud!</v>
      </c>
      <c r="I51" s="274"/>
      <c r="J51" s="274"/>
      <c r="K51" s="274"/>
      <c r="L51" s="274"/>
    </row>
    <row r="52" spans="3:12" ht="16.5" customHeight="1">
      <c r="H52" s="245"/>
    </row>
    <row r="53" spans="3:12" ht="16.5" customHeight="1">
      <c r="C53" t="s">
        <v>788</v>
      </c>
    </row>
    <row r="54" spans="3:12" ht="16.5" customHeight="1">
      <c r="D54" s="74" t="s">
        <v>804</v>
      </c>
      <c r="E54" s="75">
        <f>E23*E19/E4*10^-6</f>
        <v>325.4427</v>
      </c>
      <c r="F54" t="s">
        <v>774</v>
      </c>
      <c r="G54" s="43" t="str">
        <f>[3]!EQS(E54,"Units= ; EqnPrefix=Valem  ; EqnNo= 0; Multiplication= 1; ShowWorking= 0; EqnStyle= 2; Eqp$G$20_2")</f>
        <v/>
      </c>
      <c r="H54" s="236" t="s">
        <v>805</v>
      </c>
    </row>
    <row r="55" spans="3:12" ht="16.5" customHeight="1">
      <c r="G55" t="str">
        <f>[3]!EQS(E54,"Units= ; EqnPrefix=Valem  ; EqnNo= 0; Multiplication= 1; ShowWorking= 1; EqnStyle= 2; Eqp$G$20_$G$37_3")</f>
        <v/>
      </c>
      <c r="H55" s="236" t="s">
        <v>868</v>
      </c>
    </row>
    <row r="56" spans="3:12" ht="16.5" customHeight="1">
      <c r="D56" s="74" t="s">
        <v>841</v>
      </c>
      <c r="E56">
        <v>1</v>
      </c>
      <c r="H56" s="236"/>
    </row>
    <row r="57" spans="3:12" ht="16.5" customHeight="1">
      <c r="D57" s="74" t="s">
        <v>806</v>
      </c>
      <c r="E57">
        <f>MAX(E13,E14)</f>
        <v>82.2</v>
      </c>
      <c r="F57" t="s">
        <v>774</v>
      </c>
    </row>
    <row r="58" spans="3:12" ht="16.5" customHeight="1">
      <c r="D58" t="s">
        <v>799</v>
      </c>
      <c r="E58" s="75">
        <f>E57/E54*100</f>
        <v>25.25790254321268</v>
      </c>
      <c r="F58" t="s">
        <v>705</v>
      </c>
    </row>
    <row r="60" spans="3:12" ht="16.5" customHeight="1">
      <c r="C60" t="s">
        <v>842</v>
      </c>
    </row>
    <row r="61" spans="3:12" ht="16.5" customHeight="1">
      <c r="D61" s="74" t="s">
        <v>848</v>
      </c>
      <c r="E61" t="s">
        <v>855</v>
      </c>
    </row>
    <row r="62" spans="3:12" ht="16.5" customHeight="1">
      <c r="D62" s="74" t="s">
        <v>849</v>
      </c>
      <c r="E62" t="s">
        <v>855</v>
      </c>
    </row>
    <row r="63" spans="3:12" ht="16.5" customHeight="1">
      <c r="D63" s="74" t="s">
        <v>843</v>
      </c>
      <c r="E63">
        <v>0.9</v>
      </c>
    </row>
    <row r="64" spans="3:12" ht="16.5" customHeight="1">
      <c r="D64" s="74" t="s">
        <v>853</v>
      </c>
      <c r="E64" s="75">
        <f>E63*(1+0.6*E42*(E50/E49))</f>
        <v>1.5648523921726458</v>
      </c>
      <c r="G64" s="43" t="str">
        <f>[3]!EQS(E64,"Units= ; EqnPrefix=Valem  ; EqnNo= 0; Multiplication= 1; ShowWorking= 0; EqnStyle= 2; Eqp$G$20_2")</f>
        <v/>
      </c>
      <c r="H64" s="236" t="s">
        <v>850</v>
      </c>
    </row>
    <row r="65" spans="1:12" ht="16.5" customHeight="1">
      <c r="D65" s="74" t="s">
        <v>853</v>
      </c>
      <c r="E65" s="75">
        <f>E63*(1+0.6*(E50/E49))</f>
        <v>1.2961959318778038</v>
      </c>
      <c r="G65" s="43" t="str">
        <f>[3]!EQS(E65,"Units= ; EqnPrefix=Valem  ; EqnNo= 0; Multiplication= 1; ShowWorking= 0; EqnStyle= 2; Eqp$G$20_2")</f>
        <v/>
      </c>
      <c r="H65" s="236" t="s">
        <v>854</v>
      </c>
    </row>
    <row r="66" spans="1:12" ht="16.5" customHeight="1">
      <c r="D66" s="74" t="s">
        <v>844</v>
      </c>
      <c r="E66" s="75">
        <f>MIN(E64,E65)</f>
        <v>1.2961959318778038</v>
      </c>
      <c r="G66" s="43"/>
      <c r="H66" s="236" t="s">
        <v>859</v>
      </c>
    </row>
    <row r="67" spans="1:12" ht="16.5" customHeight="1">
      <c r="D67" s="74" t="s">
        <v>845</v>
      </c>
      <c r="E67">
        <v>0</v>
      </c>
    </row>
    <row r="68" spans="1:12" ht="16.5" customHeight="1">
      <c r="D68" s="74" t="s">
        <v>847</v>
      </c>
      <c r="E68" s="75">
        <f>E66</f>
        <v>1.2961959318778038</v>
      </c>
      <c r="G68" s="43" t="str">
        <f>[3]!EQS(E68,"Units= ; EqnPrefix=Valem  ; EqnNo= 0; Multiplication= 1; ShowWorking= 0; EqnStyle= 2; Eqp$G$20_2")</f>
        <v/>
      </c>
      <c r="H68" s="236" t="s">
        <v>851</v>
      </c>
    </row>
    <row r="69" spans="1:12" ht="16.5" customHeight="1">
      <c r="D69" s="74" t="s">
        <v>846</v>
      </c>
      <c r="E69" s="182">
        <f>E68</f>
        <v>1.2961959318778038</v>
      </c>
      <c r="G69" s="43" t="str">
        <f>[3]!EQS(E69,"Units= ; EqnPrefix=Valem  ; EqnNo= 0; Multiplication= 1; ShowWorking= 0; EqnStyle= 2; Eqp$G$20_2")</f>
        <v/>
      </c>
      <c r="H69" s="236" t="s">
        <v>852</v>
      </c>
    </row>
    <row r="71" spans="1:12" ht="16.5" customHeight="1">
      <c r="D71" s="74" t="s">
        <v>799</v>
      </c>
      <c r="E71" s="249">
        <f>(E50/E49+E66*E57/(E56*E54)+E69*E14/(E56*E54))*100</f>
        <v>108.91673081357889</v>
      </c>
      <c r="F71" t="s">
        <v>705</v>
      </c>
      <c r="G71" s="43" t="str">
        <f>[3]!EQS(E71,"Units= ; EqnPrefix=Valem  ; EqnNo= 0; Multiplication= 1; ShowWorking= 0; EqnStyle= 2; Eqp$G$20_2")</f>
        <v/>
      </c>
      <c r="H71" s="236" t="s">
        <v>857</v>
      </c>
    </row>
    <row r="72" spans="1:12" ht="16.5" customHeight="1">
      <c r="G72" t="str">
        <f>[3]!EQS(E71,"Units= ; EqnPrefix=Valem  ; EqnNo= 0; Multiplication= 1; ShowWorking= 1; EqnStyle= 2; Eqp$G$20_$G$72_3")</f>
        <v/>
      </c>
      <c r="H72" s="236" t="s">
        <v>858</v>
      </c>
    </row>
    <row r="73" spans="1:12" ht="16.5" customHeight="1">
      <c r="H73" s="274" t="str">
        <f>IF(E71&lt;100,"Kandevõime on tagatud!","Kandevõime pole tagatud!")</f>
        <v>Kandevõime pole tagatud!</v>
      </c>
      <c r="I73" s="274"/>
      <c r="J73" s="274"/>
      <c r="K73" s="274"/>
      <c r="L73" s="274"/>
    </row>
    <row r="76" spans="1:12" ht="16.5" customHeight="1">
      <c r="A76" s="121" t="s">
        <v>860</v>
      </c>
    </row>
    <row r="78" spans="1:12" ht="16.5" customHeight="1">
      <c r="C78" t="s">
        <v>864</v>
      </c>
    </row>
    <row r="80" spans="1:12" ht="16.5" customHeight="1">
      <c r="D80" s="74" t="s">
        <v>836</v>
      </c>
      <c r="E80" s="244">
        <v>27.16</v>
      </c>
      <c r="F80" t="s">
        <v>459</v>
      </c>
    </row>
    <row r="81" spans="3:9" ht="16.5" customHeight="1">
      <c r="D81" s="74" t="s">
        <v>837</v>
      </c>
      <c r="E81" s="244">
        <v>14.96</v>
      </c>
      <c r="F81" t="s">
        <v>774</v>
      </c>
    </row>
    <row r="82" spans="3:9" ht="16.5" customHeight="1">
      <c r="D82" s="74" t="s">
        <v>838</v>
      </c>
      <c r="E82" s="244">
        <v>1.81</v>
      </c>
      <c r="F82" t="s">
        <v>774</v>
      </c>
    </row>
    <row r="83" spans="3:9" ht="16.5" customHeight="1">
      <c r="D83" s="74" t="s">
        <v>839</v>
      </c>
      <c r="E83" s="244">
        <v>0.77</v>
      </c>
      <c r="F83" t="s">
        <v>459</v>
      </c>
    </row>
    <row r="85" spans="3:9" ht="16.5" customHeight="1">
      <c r="C85" t="s">
        <v>775</v>
      </c>
    </row>
    <row r="86" spans="3:9" ht="16.5" customHeight="1">
      <c r="E86" s="244" t="s">
        <v>871</v>
      </c>
      <c r="I86" t="s">
        <v>773</v>
      </c>
    </row>
    <row r="87" spans="3:9" ht="16.5" customHeight="1">
      <c r="D87" s="74" t="s">
        <v>797</v>
      </c>
      <c r="E87">
        <v>355</v>
      </c>
      <c r="F87" t="s">
        <v>798</v>
      </c>
    </row>
    <row r="88" spans="3:9" ht="16.5" customHeight="1">
      <c r="D88" s="74" t="s">
        <v>514</v>
      </c>
      <c r="E88" s="248">
        <f>VLOOKUP($E$86,tabel_2,2,FALSE)</f>
        <v>219.1</v>
      </c>
      <c r="F88" t="s">
        <v>438</v>
      </c>
      <c r="I88" t="s">
        <v>777</v>
      </c>
    </row>
    <row r="89" spans="3:9" ht="16.5" customHeight="1">
      <c r="D89" s="74" t="s">
        <v>776</v>
      </c>
      <c r="E89" s="236">
        <f>VLOOKUP(E86,tabel_2,3,FALSE)</f>
        <v>4</v>
      </c>
      <c r="F89" t="s">
        <v>438</v>
      </c>
      <c r="I89" t="s">
        <v>778</v>
      </c>
    </row>
    <row r="90" spans="3:9" ht="16.5" customHeight="1">
      <c r="D90" s="74" t="s">
        <v>701</v>
      </c>
      <c r="E90" s="236">
        <f>VLOOKUP(E86,tabel_2,5,FALSE)*100</f>
        <v>2703</v>
      </c>
      <c r="F90" t="s">
        <v>780</v>
      </c>
      <c r="I90" t="s">
        <v>779</v>
      </c>
    </row>
    <row r="91" spans="3:9" ht="16.5" customHeight="1">
      <c r="D91" s="74" t="s">
        <v>801</v>
      </c>
      <c r="E91" s="236">
        <f>VLOOKUP(E86,tabel_2,8,FALSE)*10^3</f>
        <v>142750</v>
      </c>
      <c r="F91" t="s">
        <v>802</v>
      </c>
      <c r="I91" t="s">
        <v>803</v>
      </c>
    </row>
    <row r="92" spans="3:9" ht="16.5" customHeight="1">
      <c r="D92" s="74" t="s">
        <v>817</v>
      </c>
      <c r="E92" s="236">
        <f>VLOOKUP(E86,tabel_2,10,FALSE)*10</f>
        <v>76.100000000000009</v>
      </c>
      <c r="F92" t="s">
        <v>438</v>
      </c>
      <c r="I92" t="s">
        <v>825</v>
      </c>
    </row>
    <row r="93" spans="3:9" ht="16.5" customHeight="1">
      <c r="D93" s="74" t="s">
        <v>865</v>
      </c>
      <c r="E93" s="236">
        <f>VLOOKUP(E86,tabel_2,4,FALSE)</f>
        <v>21.2</v>
      </c>
      <c r="F93" t="s">
        <v>757</v>
      </c>
      <c r="I93" t="s">
        <v>866</v>
      </c>
    </row>
    <row r="95" spans="3:9" ht="16.5" customHeight="1">
      <c r="C95" t="s">
        <v>781</v>
      </c>
    </row>
    <row r="96" spans="3:9" ht="16.5" customHeight="1">
      <c r="D96" s="74" t="s">
        <v>782</v>
      </c>
      <c r="E96">
        <v>0.81</v>
      </c>
      <c r="I96" t="s">
        <v>783</v>
      </c>
    </row>
    <row r="97" spans="2:12" ht="16.5" customHeight="1">
      <c r="E97" s="75">
        <f>E96^2</f>
        <v>0.65610000000000013</v>
      </c>
      <c r="G97" s="43" t="str">
        <f>[3]!EQS(E97,"Units= ; EqnPrefix=Valem  ; EqnNo= 0; Multiplication= 1; ShowWorking= 0; EqnStyle= 2; Eqp$G$20_2")</f>
        <v/>
      </c>
      <c r="H97" s="236" t="s">
        <v>784</v>
      </c>
    </row>
    <row r="98" spans="2:12" ht="16.5" customHeight="1">
      <c r="E98" s="75">
        <f>E88/E89</f>
        <v>54.774999999999999</v>
      </c>
      <c r="G98" s="43" t="str">
        <f>[3]!EQS(E98,"Units= ; EqnPrefix=Valem  ; EqnNo= 0; Multiplication= 1; ShowWorking= 0; EqnStyle= 2; Eqp$G$20_2")</f>
        <v/>
      </c>
      <c r="H98" s="236" t="s">
        <v>785</v>
      </c>
    </row>
    <row r="99" spans="2:12" ht="16.5" customHeight="1">
      <c r="D99" s="181" t="s">
        <v>787</v>
      </c>
      <c r="E99">
        <f>IF(E98&lt;50*E97,1,IF(E98&lt;70*E97,2,IF(E98&lt;90*E97,3,4)))</f>
        <v>3</v>
      </c>
      <c r="I99" t="str">
        <f>IF(E99=4,"Leia A_eff","")</f>
        <v/>
      </c>
    </row>
    <row r="102" spans="2:12" ht="16.5" customHeight="1">
      <c r="B102" t="s">
        <v>789</v>
      </c>
    </row>
    <row r="103" spans="2:12" ht="16.5" customHeight="1">
      <c r="C103" t="s">
        <v>807</v>
      </c>
    </row>
    <row r="104" spans="2:12" ht="16.5" customHeight="1">
      <c r="C104" t="s">
        <v>808</v>
      </c>
    </row>
    <row r="105" spans="2:12" ht="16.5" customHeight="1">
      <c r="D105" s="74" t="s">
        <v>126</v>
      </c>
      <c r="E105" s="247">
        <v>15110</v>
      </c>
      <c r="F105" t="s">
        <v>438</v>
      </c>
      <c r="L105" t="s">
        <v>828</v>
      </c>
    </row>
    <row r="106" spans="2:12" ht="16.5" customHeight="1">
      <c r="D106" s="74" t="s">
        <v>816</v>
      </c>
      <c r="E106" s="246">
        <v>1</v>
      </c>
      <c r="L106" t="s">
        <v>827</v>
      </c>
    </row>
    <row r="107" spans="2:12" ht="16.5" customHeight="1">
      <c r="D107" s="74" t="s">
        <v>815</v>
      </c>
      <c r="E107">
        <f>E105*E106</f>
        <v>15110</v>
      </c>
      <c r="F107" t="s">
        <v>438</v>
      </c>
      <c r="G107" s="43" t="str">
        <f>[3]!EQS(E107,"Units= ; EqnPrefix=Valem  ; EqnNo= 0; Multiplication= 1; ShowWorking= 0; EqnStyle= 2; Eqp$G$20_2")</f>
        <v/>
      </c>
      <c r="H107" s="236" t="s">
        <v>829</v>
      </c>
      <c r="L107" t="s">
        <v>826</v>
      </c>
    </row>
    <row r="108" spans="2:12" ht="16.5" customHeight="1">
      <c r="D108" s="74" t="s">
        <v>817</v>
      </c>
      <c r="E108">
        <f>E92</f>
        <v>76.100000000000009</v>
      </c>
      <c r="F108" t="s">
        <v>438</v>
      </c>
      <c r="L108" t="s">
        <v>825</v>
      </c>
    </row>
    <row r="109" spans="2:12" ht="16.5" customHeight="1">
      <c r="D109" s="74" t="s">
        <v>520</v>
      </c>
      <c r="E109" s="75">
        <f>E107/E108</f>
        <v>198.55453350854137</v>
      </c>
      <c r="G109" s="43" t="str">
        <f>[3]!EQS(E109,"Units= ; EqnPrefix=Valem  ; EqnNo= 0; Multiplication= 1; ShowWorking= 0; EqnStyle= 2; Eqp$G$20_2")</f>
        <v/>
      </c>
      <c r="H109" s="236" t="s">
        <v>830</v>
      </c>
    </row>
    <row r="110" spans="2:12" ht="16.5" customHeight="1">
      <c r="D110" s="74" t="s">
        <v>818</v>
      </c>
      <c r="E110">
        <v>210000</v>
      </c>
      <c r="F110" t="s">
        <v>798</v>
      </c>
      <c r="L110" t="s">
        <v>824</v>
      </c>
    </row>
    <row r="111" spans="2:12" ht="16.5" customHeight="1">
      <c r="D111" s="74" t="s">
        <v>797</v>
      </c>
      <c r="E111">
        <f>E89</f>
        <v>4</v>
      </c>
      <c r="F111" t="s">
        <v>798</v>
      </c>
    </row>
    <row r="112" spans="2:12" ht="16.5" customHeight="1">
      <c r="D112" s="181" t="s">
        <v>813</v>
      </c>
      <c r="E112" s="248">
        <f>(E109/PI())*(E111/E110)^0.5</f>
        <v>0.27583557880755749</v>
      </c>
      <c r="G112" s="43" t="str">
        <f>[3]!EQS(E112,"Units= ; EqnPrefix=Valem  ; EqnNo= 0; Multiplication= 1; ShowWorking= 0; EqnStyle= 2; Eqp$G$20_2")</f>
        <v/>
      </c>
      <c r="H112" s="236" t="s">
        <v>831</v>
      </c>
      <c r="L112" t="s">
        <v>823</v>
      </c>
    </row>
    <row r="113" spans="3:12" ht="16.5" customHeight="1">
      <c r="E113" t="s">
        <v>809</v>
      </c>
      <c r="L113" t="s">
        <v>810</v>
      </c>
    </row>
    <row r="114" spans="3:12" ht="16.5" customHeight="1">
      <c r="D114" s="74" t="s">
        <v>811</v>
      </c>
      <c r="E114">
        <v>0.21</v>
      </c>
      <c r="L114" t="s">
        <v>812</v>
      </c>
    </row>
    <row r="115" spans="3:12" ht="16.5" customHeight="1">
      <c r="D115" s="74" t="s">
        <v>814</v>
      </c>
      <c r="E115" s="75">
        <f>0.5*(1+E114*(E112-0.2)+E112^2)</f>
        <v>0.54600536904284369</v>
      </c>
      <c r="G115" s="43" t="str">
        <f>[3]!EQS(E115,"Units= ; EqnPrefix=Valem  ; EqnNo= 0; Multiplication= 1; ShowWorking= 0; EqnStyle= 2; Eqp$G$20_2")</f>
        <v/>
      </c>
      <c r="H115" s="236" t="s">
        <v>832</v>
      </c>
    </row>
    <row r="116" spans="3:12" ht="16.5" customHeight="1">
      <c r="D116" s="74" t="s">
        <v>833</v>
      </c>
      <c r="E116" s="75">
        <f>1/(E115+(E115^2-E112^2)^0.5)</f>
        <v>0.98307830955193898</v>
      </c>
      <c r="G116" s="43" t="str">
        <f>[3]!EQS(E116,"Units= ; EqnPrefix=Valem  ; EqnNo= 0; Multiplication= 1; ShowWorking= 0; EqnStyle= 2; Eqp$G$20_2")</f>
        <v/>
      </c>
      <c r="H116" s="236" t="s">
        <v>834</v>
      </c>
      <c r="L116" t="s">
        <v>821</v>
      </c>
    </row>
    <row r="117" spans="3:12" ht="16.5" customHeight="1">
      <c r="D117" s="74" t="s">
        <v>796</v>
      </c>
      <c r="E117" s="87">
        <f>E90*E87/E4*10^-3</f>
        <v>959.56500000000005</v>
      </c>
      <c r="F117" t="s">
        <v>459</v>
      </c>
      <c r="G117" s="43" t="str">
        <f>[3]!EQS(E117,"Units= ; EqnPrefix=Valem  ; EqnNo= 0; Multiplication= 1; ShowWorking= 0; EqnStyle= 2; Eqp$G$20_2")</f>
        <v/>
      </c>
      <c r="H117" s="236" t="s">
        <v>800</v>
      </c>
    </row>
    <row r="118" spans="3:12" ht="16.5" customHeight="1">
      <c r="D118" s="74"/>
      <c r="E118" s="87"/>
      <c r="G118" s="43" t="str">
        <f>[3]!EQS(E117,"Units= ; EqnPrefix=Valem  ; EqnNo= 0; Multiplication= 1; ShowWorking= 1; EqnStyle= 2; Eqp$G$20_$G$32_3")</f>
        <v/>
      </c>
      <c r="H118" s="236" t="s">
        <v>1051</v>
      </c>
    </row>
    <row r="119" spans="3:12" ht="16.5" customHeight="1">
      <c r="D119" s="74" t="s">
        <v>819</v>
      </c>
      <c r="E119" s="75">
        <f>E116*E117</f>
        <v>943.32753810520637</v>
      </c>
      <c r="F119" t="s">
        <v>459</v>
      </c>
      <c r="G119" s="43" t="str">
        <f>[3]!EQS(E119,"Units= ; EqnPrefix=Valem  ; EqnNo= 0; Multiplication= 1; ShowWorking= 0; EqnStyle= 2; Eqp$G$20_2")</f>
        <v/>
      </c>
      <c r="H119" s="236" t="s">
        <v>835</v>
      </c>
      <c r="L119" t="s">
        <v>820</v>
      </c>
    </row>
    <row r="120" spans="3:12" ht="16.5" customHeight="1">
      <c r="D120" s="74" t="s">
        <v>836</v>
      </c>
      <c r="E120">
        <f>E82</f>
        <v>1.81</v>
      </c>
      <c r="F120" t="s">
        <v>459</v>
      </c>
      <c r="L120" t="s">
        <v>840</v>
      </c>
    </row>
    <row r="121" spans="3:12" ht="16.5" customHeight="1">
      <c r="D121" s="74" t="s">
        <v>799</v>
      </c>
      <c r="E121" s="75">
        <f>E120/E119*100</f>
        <v>0.19187397026865302</v>
      </c>
      <c r="F121" t="s">
        <v>705</v>
      </c>
      <c r="H121" s="274" t="str">
        <f>IF(E121&lt;100,"Kandevõime on tagatud!","Kandevõime pole tagatud!")</f>
        <v>Kandevõime on tagatud!</v>
      </c>
      <c r="I121" s="274"/>
      <c r="J121" s="274"/>
      <c r="K121" s="274"/>
      <c r="L121" s="274"/>
    </row>
    <row r="122" spans="3:12" ht="16.5" customHeight="1">
      <c r="H122" s="245"/>
    </row>
    <row r="123" spans="3:12" ht="16.5" customHeight="1">
      <c r="C123" t="s">
        <v>788</v>
      </c>
    </row>
    <row r="124" spans="3:12" ht="16.5" customHeight="1">
      <c r="D124" s="74" t="s">
        <v>804</v>
      </c>
      <c r="E124" s="75">
        <f>E91*E87/E4*10^-6</f>
        <v>50.676249999999996</v>
      </c>
      <c r="F124" t="s">
        <v>774</v>
      </c>
      <c r="G124" s="43" t="str">
        <f>[3]!EQS(E124,"Units= ; EqnPrefix=Valem  ; EqnNo= 0; Multiplication= 1; ShowWorking= 0; EqnStyle= 2; Eqp$G$20_2")</f>
        <v/>
      </c>
      <c r="H124" s="236" t="s">
        <v>805</v>
      </c>
    </row>
    <row r="125" spans="3:12" ht="16.5" customHeight="1">
      <c r="G125" t="str">
        <f>[3]!EQS(E124,"Units= ; EqnPrefix=Valem  ; EqnNo= 0; Multiplication= 1; ShowWorking= 1; EqnStyle= 2; Eqp$G$20_$G$37_3")</f>
        <v/>
      </c>
      <c r="H125" s="236" t="s">
        <v>869</v>
      </c>
    </row>
    <row r="126" spans="3:12" ht="16.5" customHeight="1">
      <c r="D126" s="74" t="s">
        <v>841</v>
      </c>
      <c r="E126">
        <v>1</v>
      </c>
      <c r="H126" s="236"/>
    </row>
    <row r="127" spans="3:12" ht="16.5" customHeight="1">
      <c r="D127" s="74" t="s">
        <v>806</v>
      </c>
      <c r="E127">
        <f>MAX(E81,E82)</f>
        <v>14.96</v>
      </c>
      <c r="F127" t="s">
        <v>774</v>
      </c>
    </row>
    <row r="128" spans="3:12" ht="16.5" customHeight="1">
      <c r="D128" t="s">
        <v>799</v>
      </c>
      <c r="E128" s="75">
        <f>E127/E124*100</f>
        <v>29.520732098369557</v>
      </c>
      <c r="F128" t="s">
        <v>705</v>
      </c>
    </row>
    <row r="130" spans="3:12" ht="16.5" customHeight="1">
      <c r="C130" t="s">
        <v>842</v>
      </c>
    </row>
    <row r="131" spans="3:12" ht="16.5" customHeight="1">
      <c r="D131" s="74" t="s">
        <v>848</v>
      </c>
      <c r="E131" t="s">
        <v>855</v>
      </c>
    </row>
    <row r="132" spans="3:12" ht="16.5" customHeight="1">
      <c r="D132" s="74" t="s">
        <v>849</v>
      </c>
      <c r="E132" t="s">
        <v>855</v>
      </c>
    </row>
    <row r="133" spans="3:12" ht="16.5" customHeight="1">
      <c r="D133" s="74" t="s">
        <v>843</v>
      </c>
      <c r="E133">
        <v>0.9</v>
      </c>
    </row>
    <row r="134" spans="3:12" ht="16.5" customHeight="1">
      <c r="D134" s="74" t="s">
        <v>853</v>
      </c>
      <c r="E134" s="75">
        <f>E133*(1+0.6*E112*(E120/E119))</f>
        <v>0.90028579860529456</v>
      </c>
      <c r="G134" s="43" t="str">
        <f>[3]!EQS(E134,"Units= ; EqnPrefix=Valem  ; EqnNo= 0; Multiplication= 1; ShowWorking= 0; EqnStyle= 2; Eqp$G$20_2")</f>
        <v/>
      </c>
      <c r="H134" s="236" t="s">
        <v>850</v>
      </c>
    </row>
    <row r="135" spans="3:12" ht="16.5" customHeight="1">
      <c r="D135" s="74" t="s">
        <v>853</v>
      </c>
      <c r="E135" s="75">
        <f>E133*(1+0.6*(E120/E119))</f>
        <v>0.90103611943945072</v>
      </c>
      <c r="G135" s="43" t="str">
        <f>[3]!EQS(E135,"Units= ; EqnPrefix=Valem  ; EqnNo= 0; Multiplication= 1; ShowWorking= 0; EqnStyle= 2; Eqp$G$20_2")</f>
        <v/>
      </c>
      <c r="H135" s="236" t="s">
        <v>854</v>
      </c>
    </row>
    <row r="136" spans="3:12" ht="16.5" customHeight="1">
      <c r="D136" s="74" t="s">
        <v>844</v>
      </c>
      <c r="E136" s="75">
        <f>MIN(E134,E135)</f>
        <v>0.90028579860529456</v>
      </c>
      <c r="G136" s="43"/>
      <c r="H136" s="236" t="s">
        <v>859</v>
      </c>
    </row>
    <row r="137" spans="3:12" ht="16.5" customHeight="1">
      <c r="D137" s="74" t="s">
        <v>845</v>
      </c>
      <c r="E137">
        <v>0</v>
      </c>
    </row>
    <row r="138" spans="3:12" ht="16.5" customHeight="1">
      <c r="D138" s="74" t="s">
        <v>847</v>
      </c>
      <c r="E138" s="75">
        <f>E136</f>
        <v>0.90028579860529456</v>
      </c>
      <c r="G138" s="43" t="str">
        <f>[3]!EQS(E138,"Units= ; EqnPrefix=Valem  ; EqnNo= 0; Multiplication= 1; ShowWorking= 0; EqnStyle= 2; Eqp$G$20_2")</f>
        <v/>
      </c>
      <c r="H138" s="236" t="s">
        <v>851</v>
      </c>
    </row>
    <row r="139" spans="3:12" ht="16.5" customHeight="1">
      <c r="D139" s="74" t="s">
        <v>846</v>
      </c>
      <c r="E139" s="182">
        <f>E138</f>
        <v>0.90028579860529456</v>
      </c>
      <c r="G139" s="43" t="str">
        <f>[3]!EQS(E139,"Units= ; EqnPrefix=Valem  ; EqnNo= 0; Multiplication= 1; ShowWorking= 0; EqnStyle= 2; Eqp$G$20_2")</f>
        <v/>
      </c>
      <c r="H139" s="236" t="s">
        <v>852</v>
      </c>
    </row>
    <row r="141" spans="3:12" ht="16.5" customHeight="1">
      <c r="D141" s="74" t="s">
        <v>799</v>
      </c>
      <c r="E141" s="249">
        <f>(E120/E119+E136*E127/(E126*E124)+E139*E82/(E126*E124))*100</f>
        <v>29.984514196431384</v>
      </c>
      <c r="F141" t="s">
        <v>705</v>
      </c>
      <c r="G141" s="43" t="str">
        <f>[3]!EQS(E141,"Units= ; EqnPrefix=Valem  ; EqnNo= 0; Multiplication= 1; ShowWorking= 0; EqnStyle= 2; Eqp$G$20_2")</f>
        <v/>
      </c>
      <c r="H141" s="236" t="s">
        <v>857</v>
      </c>
    </row>
    <row r="142" spans="3:12" ht="16.5" customHeight="1">
      <c r="G142" t="str">
        <f>[3]!EQS(E141,"Units= ; EqnPrefix=Valem  ; EqnNo= 0; Multiplication= 1; ShowWorking= 1; EqnStyle= 2; Eqp$G$20_$G$72_3")</f>
        <v/>
      </c>
      <c r="H142" s="236" t="s">
        <v>870</v>
      </c>
    </row>
    <row r="143" spans="3:12" ht="16.5" customHeight="1">
      <c r="H143" s="274" t="str">
        <f>IF(E141&lt;100,"Kandevõime on tagatud!","Kandevõime pole tagatud!")</f>
        <v>Kandevõime on tagatud!</v>
      </c>
      <c r="I143" s="274"/>
      <c r="J143" s="274"/>
      <c r="K143" s="274"/>
      <c r="L143" s="274"/>
    </row>
    <row r="146" spans="1:9" ht="16.5" customHeight="1">
      <c r="A146" s="121" t="s">
        <v>872</v>
      </c>
    </row>
    <row r="148" spans="1:9" ht="16.5" customHeight="1">
      <c r="C148" t="s">
        <v>992</v>
      </c>
    </row>
    <row r="150" spans="1:9" ht="16.5" customHeight="1">
      <c r="D150" s="74" t="s">
        <v>836</v>
      </c>
      <c r="E150" s="244">
        <v>27.16</v>
      </c>
      <c r="F150" t="s">
        <v>459</v>
      </c>
    </row>
    <row r="151" spans="1:9" ht="16.5" customHeight="1">
      <c r="D151" s="74" t="s">
        <v>837</v>
      </c>
      <c r="E151" s="244">
        <v>14.96</v>
      </c>
      <c r="F151" t="s">
        <v>774</v>
      </c>
    </row>
    <row r="152" spans="1:9" ht="16.5" customHeight="1">
      <c r="D152" s="74" t="s">
        <v>838</v>
      </c>
      <c r="E152" s="244">
        <v>1.81</v>
      </c>
      <c r="F152" t="s">
        <v>774</v>
      </c>
    </row>
    <row r="153" spans="1:9" ht="16.5" customHeight="1">
      <c r="D153" s="74" t="s">
        <v>839</v>
      </c>
      <c r="E153" s="244">
        <v>0.77</v>
      </c>
      <c r="F153" t="s">
        <v>459</v>
      </c>
    </row>
    <row r="155" spans="1:9" ht="16.5" customHeight="1">
      <c r="C155" t="s">
        <v>1030</v>
      </c>
    </row>
    <row r="156" spans="1:9" ht="16.5" customHeight="1">
      <c r="E156" s="244" t="s">
        <v>927</v>
      </c>
      <c r="I156" t="s">
        <v>1024</v>
      </c>
    </row>
    <row r="158" spans="1:9" ht="16.5" customHeight="1">
      <c r="D158" s="74" t="s">
        <v>797</v>
      </c>
      <c r="E158">
        <v>355</v>
      </c>
      <c r="F158" t="s">
        <v>798</v>
      </c>
      <c r="I158" t="s">
        <v>1000</v>
      </c>
    </row>
    <row r="159" spans="1:9" ht="16.5" customHeight="1">
      <c r="D159" s="74" t="s">
        <v>245</v>
      </c>
      <c r="E159" s="244">
        <v>75</v>
      </c>
      <c r="F159" t="s">
        <v>438</v>
      </c>
      <c r="I159" t="s">
        <v>1001</v>
      </c>
    </row>
    <row r="160" spans="1:9" ht="16.5" customHeight="1">
      <c r="D160" s="74" t="s">
        <v>54</v>
      </c>
      <c r="E160" s="244">
        <v>200</v>
      </c>
      <c r="F160" t="s">
        <v>438</v>
      </c>
      <c r="I160" t="s">
        <v>1002</v>
      </c>
    </row>
    <row r="161" spans="3:12" ht="16.5" customHeight="1">
      <c r="D161" s="74" t="s">
        <v>993</v>
      </c>
      <c r="E161" s="290">
        <v>11.5</v>
      </c>
      <c r="F161" t="s">
        <v>438</v>
      </c>
      <c r="I161" t="s">
        <v>997</v>
      </c>
    </row>
    <row r="162" spans="3:12" ht="16.5" customHeight="1">
      <c r="D162" s="74" t="s">
        <v>999</v>
      </c>
      <c r="E162" s="248">
        <f>E159-E163</f>
        <v>66.5</v>
      </c>
      <c r="F162" t="s">
        <v>438</v>
      </c>
      <c r="I162" t="s">
        <v>998</v>
      </c>
    </row>
    <row r="163" spans="3:12" ht="16.5" customHeight="1">
      <c r="D163" s="74" t="s">
        <v>994</v>
      </c>
      <c r="E163" s="290">
        <v>8.5</v>
      </c>
      <c r="F163" t="s">
        <v>438</v>
      </c>
      <c r="I163" t="s">
        <v>778</v>
      </c>
    </row>
    <row r="164" spans="3:12" ht="16.5" customHeight="1">
      <c r="D164" s="74" t="s">
        <v>995</v>
      </c>
      <c r="E164" s="248">
        <f>E160-2*E161</f>
        <v>177</v>
      </c>
      <c r="F164" t="s">
        <v>438</v>
      </c>
      <c r="I164" t="s">
        <v>996</v>
      </c>
    </row>
    <row r="165" spans="3:12" ht="16.5" customHeight="1">
      <c r="D165" s="74" t="s">
        <v>1042</v>
      </c>
      <c r="E165" s="244">
        <v>28.1</v>
      </c>
      <c r="F165" t="s">
        <v>438</v>
      </c>
    </row>
    <row r="166" spans="3:12" ht="16.5" customHeight="1">
      <c r="D166" s="74" t="s">
        <v>1039</v>
      </c>
      <c r="E166" s="244">
        <v>3220</v>
      </c>
      <c r="F166" t="s">
        <v>780</v>
      </c>
      <c r="I166" t="s">
        <v>779</v>
      </c>
      <c r="L166" s="236" t="e">
        <f>VLOOKUP(E156,tabel_2,5,FALSE)*100</f>
        <v>#N/A</v>
      </c>
    </row>
    <row r="167" spans="3:12" ht="16.5" customHeight="1">
      <c r="D167" s="74" t="s">
        <v>1035</v>
      </c>
      <c r="E167" s="291">
        <v>19100000</v>
      </c>
      <c r="F167" t="s">
        <v>1034</v>
      </c>
      <c r="L167" s="236"/>
    </row>
    <row r="168" spans="3:12" ht="16.5" customHeight="1">
      <c r="D168" s="74" t="s">
        <v>1036</v>
      </c>
      <c r="E168" s="291">
        <v>1480000</v>
      </c>
      <c r="F168" t="s">
        <v>1034</v>
      </c>
      <c r="L168" s="236"/>
    </row>
    <row r="169" spans="3:12" ht="16.5" customHeight="1">
      <c r="D169" s="74" t="s">
        <v>1037</v>
      </c>
      <c r="E169" s="244">
        <f>191*10^3</f>
        <v>191000</v>
      </c>
      <c r="F169" t="s">
        <v>1027</v>
      </c>
      <c r="I169" t="s">
        <v>803</v>
      </c>
    </row>
    <row r="170" spans="3:12" ht="16.5" customHeight="1">
      <c r="D170" s="74" t="s">
        <v>1038</v>
      </c>
      <c r="E170" s="244">
        <f>27*10^3</f>
        <v>27000</v>
      </c>
      <c r="F170" t="s">
        <v>1027</v>
      </c>
    </row>
    <row r="171" spans="3:12" ht="16.5" customHeight="1">
      <c r="D171" s="74" t="s">
        <v>817</v>
      </c>
      <c r="E171" s="244">
        <v>77</v>
      </c>
      <c r="F171" t="s">
        <v>438</v>
      </c>
      <c r="I171" t="s">
        <v>825</v>
      </c>
    </row>
    <row r="172" spans="3:12" ht="16.5" customHeight="1">
      <c r="D172" s="74" t="s">
        <v>865</v>
      </c>
      <c r="E172" s="244">
        <v>25.3</v>
      </c>
      <c r="F172" t="s">
        <v>757</v>
      </c>
      <c r="I172" t="s">
        <v>866</v>
      </c>
    </row>
    <row r="173" spans="3:12" ht="16.5" customHeight="1">
      <c r="D173" s="74"/>
      <c r="E173" s="236"/>
    </row>
    <row r="174" spans="3:12" ht="16.5" customHeight="1">
      <c r="C174" t="s">
        <v>1029</v>
      </c>
      <c r="D174" s="74"/>
      <c r="E174" s="236"/>
    </row>
    <row r="175" spans="3:12" ht="16.5" customHeight="1">
      <c r="D175" s="74" t="s">
        <v>407</v>
      </c>
      <c r="E175" s="244">
        <v>323</v>
      </c>
      <c r="F175" t="s">
        <v>438</v>
      </c>
      <c r="I175" t="s">
        <v>1028</v>
      </c>
    </row>
    <row r="176" spans="3:12" ht="16.5" customHeight="1">
      <c r="D176" s="74" t="s">
        <v>245</v>
      </c>
      <c r="E176" s="236">
        <f>2*E159+E175</f>
        <v>473</v>
      </c>
      <c r="F176" t="s">
        <v>438</v>
      </c>
    </row>
    <row r="177" spans="3:9" ht="16.5" customHeight="1">
      <c r="D177" s="181" t="s">
        <v>1031</v>
      </c>
      <c r="E177" s="236">
        <f>2*E166</f>
        <v>6440</v>
      </c>
      <c r="F177" t="s">
        <v>780</v>
      </c>
      <c r="G177" s="43" t="str">
        <f>[3]!EQS(E177,"Units= ; EqnPrefix=Valem  ; EqnNo= 0; Multiplication= 1; ShowWorking= 0; EqnStyle= 2; Eqp$G$175_2")</f>
        <v/>
      </c>
      <c r="H177" s="236" t="s">
        <v>1040</v>
      </c>
    </row>
    <row r="178" spans="3:9" ht="16.5" customHeight="1">
      <c r="D178" s="74" t="s">
        <v>1032</v>
      </c>
      <c r="E178" s="292">
        <f>2*E167</f>
        <v>38200000</v>
      </c>
      <c r="F178" t="s">
        <v>1034</v>
      </c>
      <c r="G178" s="43" t="str">
        <f>[3]!EQS(E178,"Units= ; EqnPrefix=Valem  ; EqnNo= 0; Multiplication= 1; ShowWorking= 0; EqnStyle= 2; Eqp$G$175_2")</f>
        <v/>
      </c>
      <c r="H178" s="236" t="s">
        <v>1041</v>
      </c>
    </row>
    <row r="179" spans="3:9" ht="16.5" customHeight="1">
      <c r="D179" s="74" t="s">
        <v>1033</v>
      </c>
      <c r="E179" s="236">
        <f>2*(E168+E166*(E175/2+E165)^2)</f>
        <v>234466150.39999998</v>
      </c>
      <c r="F179" t="s">
        <v>1034</v>
      </c>
      <c r="G179" s="43" t="str">
        <f>[3]!EQS(E179,"Units= ; EqnPrefix=Valem  ; EqnNo= 0; Multiplication= 1; ShowWorking= 0; EqnStyle= 2; Eqp$G$175_2")</f>
        <v/>
      </c>
      <c r="H179" s="236" t="s">
        <v>1043</v>
      </c>
    </row>
    <row r="180" spans="3:9" ht="16.5" customHeight="1">
      <c r="D180" s="74" t="s">
        <v>1026</v>
      </c>
      <c r="E180" s="292">
        <f>E169*2</f>
        <v>382000</v>
      </c>
      <c r="F180" t="s">
        <v>1027</v>
      </c>
      <c r="G180" s="43" t="str">
        <f>[3]!EQS(E180,"Units= ; EqnPrefix=Valem  ; EqnNo= 0; Multiplication= 1; ShowWorking= 0; EqnStyle= 2; Eqp$G$175_2")</f>
        <v/>
      </c>
      <c r="H180" s="236" t="s">
        <v>1044</v>
      </c>
    </row>
    <row r="181" spans="3:9" ht="16.5" customHeight="1">
      <c r="D181" s="74" t="s">
        <v>1025</v>
      </c>
      <c r="E181" s="292">
        <f>E179*2/E176</f>
        <v>991400.21310782235</v>
      </c>
      <c r="F181" t="s">
        <v>1027</v>
      </c>
      <c r="G181" s="43" t="str">
        <f>[3]!EQS(E181,"Units= ; EqnPrefix=Valem  ; EqnNo= 0; Multiplication= 1; ShowWorking= 0; EqnStyle= 2; Eqp$G$175_2")</f>
        <v/>
      </c>
      <c r="H181" s="236" t="s">
        <v>1045</v>
      </c>
    </row>
    <row r="183" spans="3:9" ht="16.5" customHeight="1">
      <c r="C183" t="s">
        <v>1003</v>
      </c>
    </row>
    <row r="184" spans="3:9" ht="16.5" customHeight="1">
      <c r="D184" s="74" t="s">
        <v>782</v>
      </c>
      <c r="E184">
        <v>0.81</v>
      </c>
      <c r="I184" t="s">
        <v>783</v>
      </c>
    </row>
    <row r="185" spans="3:9" ht="16.5" customHeight="1">
      <c r="D185" s="181" t="s">
        <v>1006</v>
      </c>
      <c r="E185">
        <f>E184*72</f>
        <v>58.320000000000007</v>
      </c>
    </row>
    <row r="186" spans="3:9" ht="16.5" customHeight="1">
      <c r="D186" s="181" t="s">
        <v>1007</v>
      </c>
      <c r="E186">
        <f>E184*83</f>
        <v>67.23</v>
      </c>
    </row>
    <row r="187" spans="3:9" ht="16.5" customHeight="1">
      <c r="D187" s="181" t="s">
        <v>1005</v>
      </c>
      <c r="E187" s="75">
        <f>E184*124</f>
        <v>100.44000000000001</v>
      </c>
      <c r="G187" s="43"/>
      <c r="H187" s="236"/>
    </row>
    <row r="188" spans="3:9" ht="16.5" customHeight="1">
      <c r="D188" s="181" t="s">
        <v>1008</v>
      </c>
      <c r="E188" s="75">
        <f>E164/E163</f>
        <v>20.823529411764707</v>
      </c>
      <c r="G188" s="43" t="str">
        <f>[3]!EQS(E188,"Units= ; EqnPrefix=Valem  ; EqnNo= 0; Multiplication= 1; ShowWorking= 0; EqnStyle= 2; Eqp$G$20_2")</f>
        <v/>
      </c>
      <c r="H188" s="236" t="s">
        <v>1009</v>
      </c>
    </row>
    <row r="189" spans="3:9" ht="16.5" customHeight="1">
      <c r="D189" s="181" t="s">
        <v>1015</v>
      </c>
      <c r="E189">
        <f>IF(E188&lt;E185,1,IF(E188&lt;E186,2,IF(E188&lt;E187,3,4)))</f>
        <v>1</v>
      </c>
      <c r="I189" t="str">
        <f>IF(E189=4,"Leia A_eff","")</f>
        <v/>
      </c>
    </row>
    <row r="191" spans="3:9" ht="16.5" customHeight="1">
      <c r="C191" t="s">
        <v>1004</v>
      </c>
    </row>
    <row r="192" spans="3:9" ht="16.5" customHeight="1">
      <c r="D192" s="74" t="s">
        <v>782</v>
      </c>
      <c r="E192">
        <v>0.81</v>
      </c>
      <c r="I192" t="s">
        <v>783</v>
      </c>
    </row>
    <row r="193" spans="2:12" ht="16.5" customHeight="1">
      <c r="D193" s="181" t="s">
        <v>1011</v>
      </c>
      <c r="E193">
        <f>E192*9</f>
        <v>7.2900000000000009</v>
      </c>
    </row>
    <row r="194" spans="2:12" ht="16.5" customHeight="1">
      <c r="D194" s="181" t="s">
        <v>1012</v>
      </c>
      <c r="E194">
        <f>E192*10</f>
        <v>8.1000000000000014</v>
      </c>
    </row>
    <row r="195" spans="2:12" ht="16.5" customHeight="1">
      <c r="D195" s="181" t="s">
        <v>1013</v>
      </c>
      <c r="E195" s="75">
        <f>E192*14</f>
        <v>11.34</v>
      </c>
      <c r="G195" s="43"/>
      <c r="H195" s="236"/>
    </row>
    <row r="196" spans="2:12" ht="16.5" customHeight="1">
      <c r="D196" s="181" t="s">
        <v>1008</v>
      </c>
      <c r="E196" s="75">
        <f>E162/E161</f>
        <v>5.7826086956521738</v>
      </c>
      <c r="G196" s="43" t="str">
        <f>[3]!EQS(E196,"Units= ; EqnPrefix=Valem  ; EqnNo= 0; Multiplication= 1; ShowWorking= 0; EqnStyle= 2; Eqp$G$20_2")</f>
        <v/>
      </c>
      <c r="H196" s="236" t="s">
        <v>1010</v>
      </c>
    </row>
    <row r="197" spans="2:12" ht="16.5" customHeight="1">
      <c r="D197" s="181" t="s">
        <v>1016</v>
      </c>
      <c r="E197">
        <f>IF(E196&lt;E193,1,IF(E196&lt;E194,2,IF(E196&lt;E195,3,4)))</f>
        <v>1</v>
      </c>
      <c r="I197" t="str">
        <f>IF(E197=4,"Leia A_eff","")</f>
        <v/>
      </c>
    </row>
    <row r="199" spans="2:12" ht="16.5" customHeight="1">
      <c r="C199" t="s">
        <v>1014</v>
      </c>
    </row>
    <row r="200" spans="2:12" ht="16.5" customHeight="1">
      <c r="D200" s="181" t="s">
        <v>787</v>
      </c>
      <c r="E200">
        <f>MAX(E197,E189,3)</f>
        <v>3</v>
      </c>
      <c r="G200" s="43"/>
      <c r="H200" s="236" t="s">
        <v>1017</v>
      </c>
    </row>
    <row r="202" spans="2:12" ht="16.5" customHeight="1">
      <c r="B202" s="121" t="s">
        <v>1018</v>
      </c>
      <c r="C202" s="121"/>
    </row>
    <row r="203" spans="2:12" ht="16.5" customHeight="1">
      <c r="C203" s="121" t="s">
        <v>1019</v>
      </c>
    </row>
    <row r="204" spans="2:12" ht="16.5" customHeight="1">
      <c r="C204" s="121" t="s">
        <v>1047</v>
      </c>
    </row>
    <row r="205" spans="2:12" ht="16.5" customHeight="1">
      <c r="C205" s="121"/>
      <c r="D205" s="74" t="s">
        <v>126</v>
      </c>
      <c r="E205" s="244">
        <v>15110</v>
      </c>
      <c r="F205" t="s">
        <v>438</v>
      </c>
      <c r="L205" t="s">
        <v>828</v>
      </c>
    </row>
    <row r="206" spans="2:12" ht="16.5" customHeight="1">
      <c r="C206" s="121"/>
      <c r="D206" s="74" t="s">
        <v>816</v>
      </c>
      <c r="E206" s="244">
        <v>1</v>
      </c>
      <c r="L206" t="s">
        <v>827</v>
      </c>
    </row>
    <row r="207" spans="2:12" ht="16.5" customHeight="1">
      <c r="C207" s="121"/>
      <c r="D207" s="74" t="s">
        <v>815</v>
      </c>
      <c r="E207">
        <f>E206*E205</f>
        <v>15110</v>
      </c>
      <c r="F207" t="s">
        <v>438</v>
      </c>
      <c r="G207" s="43" t="str">
        <f>[3]!EQS(E207,"Units= ; EqnPrefix=Valem  ; EqnNo= 0; Multiplication= 1; ShowWorking= 0; EqnStyle= 2; Eqp$G$20_2")</f>
        <v/>
      </c>
      <c r="H207" s="236" t="s">
        <v>1049</v>
      </c>
      <c r="L207" t="s">
        <v>826</v>
      </c>
    </row>
    <row r="208" spans="2:12" ht="16.5" customHeight="1">
      <c r="C208" s="121"/>
      <c r="D208" s="74" t="s">
        <v>1048</v>
      </c>
      <c r="E208" s="75">
        <f>(E178/E177)^0.5</f>
        <v>77.017381276134941</v>
      </c>
      <c r="F208" t="s">
        <v>438</v>
      </c>
      <c r="G208" s="43" t="str">
        <f>[3]!EQS(E208,"Units= ; EqnPrefix=Valem  ; EqnNo= 0; Multiplication= 1; ShowWorking= 0; EqnStyle= 2; Eqp$G$20_2")</f>
        <v/>
      </c>
      <c r="H208" s="236" t="s">
        <v>1053</v>
      </c>
      <c r="L208" t="s">
        <v>825</v>
      </c>
    </row>
    <row r="209" spans="3:12" ht="16.5" customHeight="1">
      <c r="C209" s="121"/>
      <c r="D209" s="74" t="s">
        <v>520</v>
      </c>
      <c r="E209">
        <f>E207/E208</f>
        <v>196.18948021389133</v>
      </c>
      <c r="G209" s="43" t="str">
        <f>[3]!EQS(E209,"Units= ; EqnPrefix=Valem  ; EqnNo= 0; Multiplication= 1; ShowWorking= 0; EqnStyle= 2; Eqp$G$20_2")</f>
        <v/>
      </c>
      <c r="H209" s="236" t="s">
        <v>1050</v>
      </c>
    </row>
    <row r="210" spans="3:12" ht="16.5" customHeight="1">
      <c r="C210" s="121"/>
      <c r="D210" s="74" t="s">
        <v>818</v>
      </c>
      <c r="E210">
        <v>210000</v>
      </c>
      <c r="F210" t="s">
        <v>798</v>
      </c>
      <c r="L210" t="s">
        <v>824</v>
      </c>
    </row>
    <row r="211" spans="3:12" ht="16.5" customHeight="1">
      <c r="C211" s="121"/>
      <c r="D211" s="74" t="s">
        <v>797</v>
      </c>
      <c r="E211">
        <f>E158</f>
        <v>355</v>
      </c>
      <c r="F211" t="s">
        <v>798</v>
      </c>
    </row>
    <row r="212" spans="3:12" ht="16.5" customHeight="1">
      <c r="C212" s="121"/>
      <c r="D212" s="181" t="s">
        <v>813</v>
      </c>
      <c r="E212" s="75">
        <f>(E209/PI())*(E211/E210)^0.5</f>
        <v>2.5676177719888869</v>
      </c>
      <c r="G212" s="43" t="str">
        <f>[3]!EQS(E212,"Units= ; EqnPrefix=Valem  ; EqnNo= 0; Multiplication= 1; ShowWorking= 0; EqnStyle= 2; Eqp$G$20_2")</f>
        <v/>
      </c>
      <c r="H212" s="236" t="s">
        <v>831</v>
      </c>
      <c r="L212" t="s">
        <v>823</v>
      </c>
    </row>
    <row r="213" spans="3:12" ht="16.5" customHeight="1">
      <c r="C213" s="121"/>
      <c r="E213" t="s">
        <v>1046</v>
      </c>
      <c r="L213" t="s">
        <v>810</v>
      </c>
    </row>
    <row r="214" spans="3:12" ht="16.5" customHeight="1">
      <c r="C214" s="121"/>
      <c r="D214" s="74" t="s">
        <v>811</v>
      </c>
      <c r="E214">
        <v>0.49</v>
      </c>
      <c r="L214" t="s">
        <v>812</v>
      </c>
    </row>
    <row r="215" spans="3:12" ht="16.5" customHeight="1">
      <c r="C215" s="121"/>
      <c r="D215" s="74" t="s">
        <v>814</v>
      </c>
      <c r="E215" s="75">
        <f>0.5*(1+E214*(E212-0.2)+E212^2)</f>
        <v>4.3763968656538648</v>
      </c>
      <c r="G215" s="43" t="str">
        <f>[3]!EQS(E215,"Units= ; EqnPrefix=Valem  ; EqnNo= 0; Multiplication= 1; ShowWorking= 0; EqnStyle= 2; Eqp$G$20_2")</f>
        <v/>
      </c>
      <c r="H215" s="236" t="s">
        <v>832</v>
      </c>
    </row>
    <row r="216" spans="3:12" ht="16.5" customHeight="1">
      <c r="D216" s="74" t="s">
        <v>833</v>
      </c>
      <c r="E216" s="75">
        <f>1/(E215+(E215^2-E212^2)^0.5)</f>
        <v>0.12625573178398308</v>
      </c>
      <c r="G216" s="43" t="str">
        <f>[3]!EQS(E216,"Units= ; EqnPrefix=Valem  ; EqnNo= 0; Multiplication= 1; ShowWorking= 0; EqnStyle= 2; Eqp$G$20_2")</f>
        <v/>
      </c>
      <c r="H216" s="236" t="s">
        <v>834</v>
      </c>
      <c r="L216" t="s">
        <v>821</v>
      </c>
    </row>
    <row r="217" spans="3:12" ht="16.5" customHeight="1">
      <c r="D217" s="74" t="s">
        <v>796</v>
      </c>
      <c r="E217" s="87">
        <f>E177*E158/E4*10^-3</f>
        <v>2286.2000000000003</v>
      </c>
      <c r="F217" t="s">
        <v>459</v>
      </c>
      <c r="G217" s="43" t="str">
        <f>[3]!EQS(E217,"Units= ; EqnPrefix=Valem  ; EqnNo= 0; Multiplication= 1; ShowWorking= 0; EqnStyle= 2; Eqp$G$20_2")</f>
        <v/>
      </c>
      <c r="H217" s="236" t="s">
        <v>800</v>
      </c>
    </row>
    <row r="218" spans="3:12" ht="16.5" customHeight="1">
      <c r="E218" s="87"/>
      <c r="G218" s="43" t="str">
        <f>[3]!EQS(E217,"Units= ; EqnPrefix=Valem  ; EqnNo= 0; Multiplication= 1; ShowWorking= 1; EqnStyle= 2; Eqp$G$20_$G$32_3")</f>
        <v/>
      </c>
      <c r="H218" s="236" t="s">
        <v>1052</v>
      </c>
    </row>
    <row r="219" spans="3:12" ht="16.5" customHeight="1">
      <c r="D219" s="74" t="s">
        <v>819</v>
      </c>
      <c r="E219" s="87">
        <f>E216*E217</f>
        <v>288.64585400454217</v>
      </c>
      <c r="F219" t="s">
        <v>459</v>
      </c>
      <c r="G219" s="43" t="str">
        <f>[3]!EQS(E219,"Units= ; EqnPrefix=Valem  ; EqnNo= 0; Multiplication= 1; ShowWorking= 0; EqnStyle= 2; Eqp$G$20_2")</f>
        <v/>
      </c>
      <c r="H219" s="236" t="s">
        <v>835</v>
      </c>
      <c r="L219" t="s">
        <v>820</v>
      </c>
    </row>
    <row r="220" spans="3:12" ht="16.5" customHeight="1">
      <c r="D220" s="74" t="s">
        <v>836</v>
      </c>
      <c r="E220" s="87">
        <f>E150</f>
        <v>27.16</v>
      </c>
      <c r="F220" t="s">
        <v>459</v>
      </c>
      <c r="L220" t="s">
        <v>840</v>
      </c>
    </row>
    <row r="221" spans="3:12" ht="16.5" customHeight="1">
      <c r="D221" t="s">
        <v>799</v>
      </c>
      <c r="E221" s="75">
        <f>E220/E219*100</f>
        <v>9.4094543965189281</v>
      </c>
      <c r="F221" t="s">
        <v>705</v>
      </c>
      <c r="H221" s="274" t="str">
        <f>IF(E221&lt;100,"Kandevõime on tagatud!","Kandevõime pole tagatud!")</f>
        <v>Kandevõime on tagatud!</v>
      </c>
      <c r="I221" s="274"/>
      <c r="J221" s="274"/>
      <c r="K221" s="274"/>
      <c r="L221" s="274"/>
    </row>
    <row r="224" spans="3:12" ht="16.5" customHeight="1">
      <c r="C224" s="121" t="s">
        <v>1020</v>
      </c>
    </row>
    <row r="225" spans="3:3" ht="16.5" customHeight="1">
      <c r="C225" s="121"/>
    </row>
    <row r="226" spans="3:3" ht="16.5" customHeight="1">
      <c r="C226" s="121"/>
    </row>
    <row r="227" spans="3:3" ht="16.5" customHeight="1">
      <c r="C227" s="121"/>
    </row>
    <row r="228" spans="3:3" ht="16.5" customHeight="1">
      <c r="C228" s="121"/>
    </row>
    <row r="229" spans="3:3" ht="16.5" customHeight="1">
      <c r="C229" s="121" t="s">
        <v>1021</v>
      </c>
    </row>
    <row r="230" spans="3:3" ht="16.5" customHeight="1">
      <c r="C230" s="121"/>
    </row>
    <row r="231" spans="3:3" ht="16.5" customHeight="1">
      <c r="C231" s="121"/>
    </row>
    <row r="232" spans="3:3" ht="16.5" customHeight="1">
      <c r="C232" s="121"/>
    </row>
    <row r="233" spans="3:3" ht="16.5" customHeight="1">
      <c r="C233" s="121" t="s">
        <v>1022</v>
      </c>
    </row>
    <row r="234" spans="3:3" ht="16.5" customHeight="1">
      <c r="C234" s="121"/>
    </row>
    <row r="235" spans="3:3" ht="16.5" customHeight="1">
      <c r="C235" s="121" t="s">
        <v>1023</v>
      </c>
    </row>
  </sheetData>
  <mergeCells count="5">
    <mergeCell ref="H73:L73"/>
    <mergeCell ref="H51:L51"/>
    <mergeCell ref="H121:L121"/>
    <mergeCell ref="H143:L143"/>
    <mergeCell ref="H221:L221"/>
  </mergeCells>
  <conditionalFormatting sqref="I30 I99 I189 I197">
    <cfRule type="cellIs" dxfId="3" priority="12" operator="equal">
      <formula>"Leia A_eff"</formula>
    </cfRule>
  </conditionalFormatting>
  <conditionalFormatting sqref="E30 E99 E189 E197">
    <cfRule type="cellIs" dxfId="2" priority="11" operator="equal">
      <formula>4</formula>
    </cfRule>
  </conditionalFormatting>
  <conditionalFormatting sqref="H51 H73 H121 H143">
    <cfRule type="cellIs" dxfId="1" priority="10" operator="equal">
      <formula>"Kandevõime pole tagatud!"</formula>
    </cfRule>
  </conditionalFormatting>
  <conditionalFormatting sqref="H221">
    <cfRule type="cellIs" dxfId="0" priority="1" operator="equal">
      <formula>"Kandevõime pole tagatud!"</formula>
    </cfRule>
  </conditionalFormatting>
  <dataValidations count="3">
    <dataValidation type="list" allowBlank="1" showInputMessage="1" showErrorMessage="1" sqref="E18">
      <formula1>T1_nimi</formula1>
    </dataValidation>
    <dataValidation type="list" allowBlank="1" showInputMessage="1" showErrorMessage="1" sqref="E86">
      <formula1>T2_nimi</formula1>
    </dataValidation>
    <dataValidation type="list" allowBlank="1" showInputMessage="1" showErrorMessage="1" sqref="E156">
      <formula1>T3_nimi</formula1>
    </dataValidation>
  </dataValidations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C54"/>
  <sheetViews>
    <sheetView topLeftCell="A32" workbookViewId="0">
      <selection activeCell="A46" sqref="A46:A50"/>
    </sheetView>
  </sheetViews>
  <sheetFormatPr defaultRowHeight="23.25" customHeight="1"/>
  <cols>
    <col min="1" max="1" width="13.5" bestFit="1" customWidth="1"/>
    <col min="2" max="3" width="9.125" bestFit="1" customWidth="1"/>
    <col min="4" max="7" width="9.625" bestFit="1" customWidth="1"/>
    <col min="9" max="10" width="9.125" bestFit="1" customWidth="1"/>
    <col min="11" max="11" width="11.125" customWidth="1"/>
    <col min="12" max="12" width="9.125" bestFit="1" customWidth="1"/>
    <col min="14" max="15" width="9.125" bestFit="1" customWidth="1"/>
    <col min="18" max="23" width="9.125" bestFit="1" customWidth="1"/>
    <col min="25" max="25" width="9.125" bestFit="1" customWidth="1"/>
    <col min="26" max="26" width="9.625" bestFit="1" customWidth="1"/>
    <col min="27" max="27" width="9.75" customWidth="1"/>
    <col min="28" max="29" width="9.625" bestFit="1" customWidth="1"/>
    <col min="30" max="30" width="10.5" customWidth="1"/>
  </cols>
  <sheetData>
    <row r="1" spans="1:12" ht="23.25" customHeight="1">
      <c r="A1" s="121" t="s">
        <v>861</v>
      </c>
    </row>
    <row r="2" spans="1:12" ht="23.25" customHeight="1">
      <c r="A2" s="243" t="s">
        <v>772</v>
      </c>
      <c r="B2" s="243" t="s">
        <v>754</v>
      </c>
      <c r="C2" s="243" t="s">
        <v>755</v>
      </c>
      <c r="D2" s="243" t="s">
        <v>756</v>
      </c>
      <c r="E2" s="243" t="s">
        <v>758</v>
      </c>
      <c r="F2" s="243" t="s">
        <v>760</v>
      </c>
      <c r="G2" s="243" t="s">
        <v>762</v>
      </c>
      <c r="H2" s="243" t="s">
        <v>764</v>
      </c>
      <c r="I2" s="243" t="s">
        <v>766</v>
      </c>
      <c r="J2" s="243" t="s">
        <v>768</v>
      </c>
      <c r="K2" s="243" t="s">
        <v>770</v>
      </c>
      <c r="L2" s="243" t="s">
        <v>771</v>
      </c>
    </row>
    <row r="3" spans="1:12" ht="23.25" customHeight="1" thickBot="1">
      <c r="A3" s="227"/>
      <c r="B3" s="227" t="s">
        <v>438</v>
      </c>
      <c r="C3" s="227" t="s">
        <v>438</v>
      </c>
      <c r="D3" s="227" t="s">
        <v>757</v>
      </c>
      <c r="E3" s="227" t="s">
        <v>759</v>
      </c>
      <c r="F3" s="227" t="s">
        <v>761</v>
      </c>
      <c r="G3" s="227" t="s">
        <v>763</v>
      </c>
      <c r="H3" s="227" t="s">
        <v>765</v>
      </c>
      <c r="I3" s="227" t="s">
        <v>767</v>
      </c>
      <c r="J3" s="227" t="s">
        <v>769</v>
      </c>
      <c r="K3" s="227" t="s">
        <v>763</v>
      </c>
      <c r="L3" s="227" t="s">
        <v>767</v>
      </c>
    </row>
    <row r="4" spans="1:12" ht="23.25" customHeight="1" thickTop="1" thickBot="1">
      <c r="A4" t="str">
        <f>CONCATENATE("D",TEXT(B4,"###,0")," x ",TEXT(C4,"###,0"))</f>
        <v>D273,0 x 12,5</v>
      </c>
      <c r="B4" s="230">
        <v>273</v>
      </c>
      <c r="C4" s="230">
        <v>12.5</v>
      </c>
      <c r="D4" s="228">
        <v>80.3</v>
      </c>
      <c r="E4" s="228">
        <v>102.3</v>
      </c>
      <c r="F4" s="228">
        <v>0.85799999999999998</v>
      </c>
      <c r="G4" s="232">
        <v>8697.4500000000007</v>
      </c>
      <c r="H4" s="232">
        <v>637.17999999999995</v>
      </c>
      <c r="I4" s="232">
        <v>848.9</v>
      </c>
      <c r="J4" s="228">
        <v>9.2200000000000006</v>
      </c>
      <c r="K4" s="232">
        <v>17394.900000000001</v>
      </c>
      <c r="L4" s="233">
        <v>1274.3499999999999</v>
      </c>
    </row>
    <row r="5" spans="1:12" ht="23.25" customHeight="1" thickBot="1">
      <c r="A5" t="str">
        <f t="shared" ref="A5:A21" si="0">CONCATENATE("D",TEXT(B5,"###,0")," x ",TEXT(C5,"###,0"))</f>
        <v>D323,9 x 4,0</v>
      </c>
      <c r="B5" s="231">
        <v>323.89999999999998</v>
      </c>
      <c r="C5" s="231">
        <v>4</v>
      </c>
      <c r="D5" s="229">
        <v>31.6</v>
      </c>
      <c r="E5" s="229">
        <v>40.200000000000003</v>
      </c>
      <c r="F5" s="229">
        <v>1.018</v>
      </c>
      <c r="G5" s="234">
        <v>5143.16</v>
      </c>
      <c r="H5" s="234">
        <v>317.58</v>
      </c>
      <c r="I5" s="234">
        <v>409.37</v>
      </c>
      <c r="J5" s="229">
        <v>11.31</v>
      </c>
      <c r="K5" s="234">
        <v>10286.33</v>
      </c>
      <c r="L5" s="235">
        <v>635.15</v>
      </c>
    </row>
    <row r="6" spans="1:12" ht="23.25" customHeight="1" thickBot="1">
      <c r="A6" t="str">
        <f t="shared" si="0"/>
        <v>D323,9 x 5,0</v>
      </c>
      <c r="B6" s="231">
        <v>323.89999999999998</v>
      </c>
      <c r="C6" s="231">
        <v>5</v>
      </c>
      <c r="D6" s="229">
        <v>39.299999999999997</v>
      </c>
      <c r="E6" s="229">
        <v>50.09</v>
      </c>
      <c r="F6" s="229">
        <v>1.018</v>
      </c>
      <c r="G6" s="234">
        <v>6369.42</v>
      </c>
      <c r="H6" s="234">
        <v>393.3</v>
      </c>
      <c r="I6" s="234">
        <v>508.53</v>
      </c>
      <c r="J6" s="229">
        <v>11.28</v>
      </c>
      <c r="K6" s="234">
        <v>12738.85</v>
      </c>
      <c r="L6" s="235">
        <v>786.59</v>
      </c>
    </row>
    <row r="7" spans="1:12" ht="23.25" customHeight="1" thickBot="1">
      <c r="A7" t="str">
        <f t="shared" si="0"/>
        <v>D323,9 x 6,0</v>
      </c>
      <c r="B7" s="230">
        <v>323.89999999999998</v>
      </c>
      <c r="C7" s="230">
        <v>6</v>
      </c>
      <c r="D7" s="228">
        <v>47</v>
      </c>
      <c r="E7" s="228">
        <v>59.92</v>
      </c>
      <c r="F7" s="228">
        <v>1.018</v>
      </c>
      <c r="G7" s="232">
        <v>7572.47</v>
      </c>
      <c r="H7" s="232">
        <v>467.58</v>
      </c>
      <c r="I7" s="232">
        <v>606.42999999999995</v>
      </c>
      <c r="J7" s="228">
        <v>11.24</v>
      </c>
      <c r="K7" s="232">
        <v>15144.93</v>
      </c>
      <c r="L7" s="233">
        <v>935.16</v>
      </c>
    </row>
    <row r="8" spans="1:12" ht="23.25" customHeight="1" thickBot="1">
      <c r="A8" t="str">
        <f t="shared" si="0"/>
        <v>D323,9 x 6,3</v>
      </c>
      <c r="B8" s="231">
        <v>323.89999999999998</v>
      </c>
      <c r="C8" s="231">
        <v>6.3</v>
      </c>
      <c r="D8" s="229">
        <v>49.3</v>
      </c>
      <c r="E8" s="229">
        <v>62.86</v>
      </c>
      <c r="F8" s="229">
        <v>1.018</v>
      </c>
      <c r="G8" s="234">
        <v>7928.9</v>
      </c>
      <c r="H8" s="234">
        <v>489.59</v>
      </c>
      <c r="I8" s="234">
        <v>635.55999999999995</v>
      </c>
      <c r="J8" s="229">
        <v>11.23</v>
      </c>
      <c r="K8" s="234">
        <v>15857.79</v>
      </c>
      <c r="L8" s="235">
        <v>979.18</v>
      </c>
    </row>
    <row r="9" spans="1:12" ht="23.25" customHeight="1" thickBot="1">
      <c r="A9" t="str">
        <f t="shared" si="0"/>
        <v>D323,9 x 8,0</v>
      </c>
      <c r="B9" s="230">
        <v>323.89999999999998</v>
      </c>
      <c r="C9" s="230">
        <v>8</v>
      </c>
      <c r="D9" s="228">
        <v>62.3</v>
      </c>
      <c r="E9" s="228">
        <v>79.39</v>
      </c>
      <c r="F9" s="228">
        <v>1.018</v>
      </c>
      <c r="G9" s="232">
        <v>9910.08</v>
      </c>
      <c r="H9" s="232">
        <v>611.91999999999996</v>
      </c>
      <c r="I9" s="232">
        <v>798.51</v>
      </c>
      <c r="J9" s="228">
        <v>11.17</v>
      </c>
      <c r="K9" s="232">
        <v>19820.16</v>
      </c>
      <c r="L9" s="233">
        <v>1223.8399999999999</v>
      </c>
    </row>
    <row r="10" spans="1:12" ht="23.25" customHeight="1" thickBot="1">
      <c r="A10" t="str">
        <f t="shared" si="0"/>
        <v>D323,9 x 10,0</v>
      </c>
      <c r="B10" s="230">
        <v>323.89999999999998</v>
      </c>
      <c r="C10" s="230">
        <v>10</v>
      </c>
      <c r="D10" s="228">
        <v>77.400000000000006</v>
      </c>
      <c r="E10" s="228">
        <v>98.61</v>
      </c>
      <c r="F10" s="228">
        <v>1.018</v>
      </c>
      <c r="G10" s="232">
        <v>12158.34</v>
      </c>
      <c r="H10" s="232">
        <v>750.75</v>
      </c>
      <c r="I10" s="232">
        <v>985.67</v>
      </c>
      <c r="J10" s="228">
        <v>11.1</v>
      </c>
      <c r="K10" s="232">
        <v>24316.68</v>
      </c>
      <c r="L10" s="233">
        <v>1501.49</v>
      </c>
    </row>
    <row r="11" spans="1:12" ht="23.25" customHeight="1" thickBot="1">
      <c r="A11" t="str">
        <f t="shared" si="0"/>
        <v>D323,9 x 12,5</v>
      </c>
      <c r="B11" s="230">
        <v>323.89999999999998</v>
      </c>
      <c r="C11" s="230">
        <v>12.5</v>
      </c>
      <c r="D11" s="228">
        <v>96</v>
      </c>
      <c r="E11" s="228">
        <v>122.29</v>
      </c>
      <c r="F11" s="228">
        <v>1.018</v>
      </c>
      <c r="G11" s="232">
        <v>14846.53</v>
      </c>
      <c r="H11" s="232">
        <v>916.74</v>
      </c>
      <c r="I11" s="232">
        <v>1212.78</v>
      </c>
      <c r="J11" s="228">
        <v>11.02</v>
      </c>
      <c r="K11" s="232">
        <v>29693.05</v>
      </c>
      <c r="L11" s="233">
        <v>1833.47</v>
      </c>
    </row>
    <row r="12" spans="1:12" ht="23.25" customHeight="1" thickBot="1">
      <c r="A12" t="str">
        <f t="shared" si="0"/>
        <v>D406,4 x 6,3</v>
      </c>
      <c r="B12" s="231">
        <v>406.4</v>
      </c>
      <c r="C12" s="231">
        <v>6.3</v>
      </c>
      <c r="D12" s="229">
        <v>62.2</v>
      </c>
      <c r="E12" s="229">
        <v>79.19</v>
      </c>
      <c r="F12" s="229">
        <v>1.2769999999999999</v>
      </c>
      <c r="G12" s="234">
        <v>15849.43</v>
      </c>
      <c r="H12" s="234">
        <v>779.99</v>
      </c>
      <c r="I12" s="234">
        <v>1008.59</v>
      </c>
      <c r="J12" s="229">
        <v>14.15</v>
      </c>
      <c r="K12" s="234">
        <v>31698.86</v>
      </c>
      <c r="L12" s="235">
        <v>1559.98</v>
      </c>
    </row>
    <row r="13" spans="1:12" ht="23.25" customHeight="1" thickBot="1">
      <c r="A13" t="str">
        <f t="shared" si="0"/>
        <v>D406,4 x 8,0</v>
      </c>
      <c r="B13" s="231">
        <v>406.4</v>
      </c>
      <c r="C13" s="231">
        <v>8</v>
      </c>
      <c r="D13" s="229">
        <v>78.599999999999994</v>
      </c>
      <c r="E13" s="229">
        <v>100.13</v>
      </c>
      <c r="F13" s="229">
        <v>1.2769999999999999</v>
      </c>
      <c r="G13" s="234">
        <v>19873.89</v>
      </c>
      <c r="H13" s="234">
        <v>978.05</v>
      </c>
      <c r="I13" s="234">
        <v>1269.95</v>
      </c>
      <c r="J13" s="229">
        <v>14.09</v>
      </c>
      <c r="K13" s="234">
        <v>39747.78</v>
      </c>
      <c r="L13" s="235">
        <v>1956.09</v>
      </c>
    </row>
    <row r="14" spans="1:12" ht="23.25" customHeight="1" thickBot="1">
      <c r="A14" t="str">
        <f t="shared" si="0"/>
        <v>D406,4 x 10,0</v>
      </c>
      <c r="B14" s="231">
        <v>406.4</v>
      </c>
      <c r="C14" s="231">
        <v>10</v>
      </c>
      <c r="D14" s="229">
        <v>97.8</v>
      </c>
      <c r="E14" s="229">
        <v>124.53</v>
      </c>
      <c r="F14" s="229">
        <v>1.2769999999999999</v>
      </c>
      <c r="G14" s="234">
        <v>24475.81</v>
      </c>
      <c r="H14" s="234">
        <v>1204.52</v>
      </c>
      <c r="I14" s="234">
        <v>1571.66</v>
      </c>
      <c r="J14" s="229">
        <v>14.02</v>
      </c>
      <c r="K14" s="234">
        <v>48951.62</v>
      </c>
      <c r="L14" s="235">
        <v>2409.04</v>
      </c>
    </row>
    <row r="15" spans="1:12" ht="23.25" customHeight="1" thickBot="1">
      <c r="A15" t="str">
        <f t="shared" si="0"/>
        <v>D406,4 x 12,5</v>
      </c>
      <c r="B15" s="231">
        <v>406.4</v>
      </c>
      <c r="C15" s="231">
        <v>12.5</v>
      </c>
      <c r="D15" s="229">
        <v>121</v>
      </c>
      <c r="E15" s="229">
        <v>154.68</v>
      </c>
      <c r="F15" s="229">
        <v>1.2769999999999999</v>
      </c>
      <c r="G15" s="234">
        <v>30030.66</v>
      </c>
      <c r="H15" s="234">
        <v>1477.89</v>
      </c>
      <c r="I15" s="234">
        <v>1940.12</v>
      </c>
      <c r="J15" s="229">
        <v>13.93</v>
      </c>
      <c r="K15" s="234">
        <v>60061.32</v>
      </c>
      <c r="L15" s="235">
        <v>2955.77</v>
      </c>
    </row>
    <row r="16" spans="1:12" ht="23.25" customHeight="1" thickBot="1">
      <c r="A16" t="str">
        <f t="shared" si="0"/>
        <v>D457,0 x 6,3</v>
      </c>
      <c r="B16" s="231">
        <v>457</v>
      </c>
      <c r="C16" s="231">
        <v>6.3</v>
      </c>
      <c r="D16" s="229">
        <v>70</v>
      </c>
      <c r="E16" s="229">
        <v>89.2</v>
      </c>
      <c r="F16" s="229">
        <v>1.4359999999999999</v>
      </c>
      <c r="G16" s="234">
        <v>22654.16</v>
      </c>
      <c r="H16" s="234">
        <v>991.43</v>
      </c>
      <c r="I16" s="234">
        <v>1279.81</v>
      </c>
      <c r="J16" s="229">
        <v>15.94</v>
      </c>
      <c r="K16" s="234">
        <v>45308.31</v>
      </c>
      <c r="L16" s="235">
        <v>1982.86</v>
      </c>
    </row>
    <row r="17" spans="1:12" ht="23.25" customHeight="1" thickBot="1">
      <c r="A17" t="str">
        <f t="shared" si="0"/>
        <v>D457,0 x 8,0</v>
      </c>
      <c r="B17" s="231">
        <v>457</v>
      </c>
      <c r="C17" s="231">
        <v>8</v>
      </c>
      <c r="D17" s="229">
        <v>88.6</v>
      </c>
      <c r="E17" s="229">
        <v>112.85</v>
      </c>
      <c r="F17" s="229">
        <v>1.4359999999999999</v>
      </c>
      <c r="G17" s="234">
        <v>28446.36</v>
      </c>
      <c r="H17" s="234">
        <v>1244.92</v>
      </c>
      <c r="I17" s="234">
        <v>1612.98</v>
      </c>
      <c r="J17" s="229">
        <v>15.88</v>
      </c>
      <c r="K17" s="234">
        <v>56892.71</v>
      </c>
      <c r="L17" s="235">
        <v>2489.83</v>
      </c>
    </row>
    <row r="18" spans="1:12" ht="23.25" customHeight="1" thickBot="1">
      <c r="A18" t="str">
        <f t="shared" si="0"/>
        <v>D457,0 x 10,0</v>
      </c>
      <c r="B18" s="231">
        <v>457</v>
      </c>
      <c r="C18" s="231">
        <v>10</v>
      </c>
      <c r="D18" s="229">
        <v>110</v>
      </c>
      <c r="E18" s="229">
        <v>140.43</v>
      </c>
      <c r="F18" s="229">
        <v>1.4359999999999999</v>
      </c>
      <c r="G18" s="234">
        <v>35091.32</v>
      </c>
      <c r="H18" s="234">
        <v>1535.73</v>
      </c>
      <c r="I18" s="234">
        <v>1998.42</v>
      </c>
      <c r="J18" s="229">
        <v>15.81</v>
      </c>
      <c r="K18" s="234">
        <v>70182.63</v>
      </c>
      <c r="L18" s="235">
        <v>3071.45</v>
      </c>
    </row>
    <row r="19" spans="1:12" ht="23.25" customHeight="1" thickBot="1">
      <c r="A19" t="str">
        <f t="shared" si="0"/>
        <v>D457,0 x 12,5</v>
      </c>
      <c r="B19" s="231">
        <v>457</v>
      </c>
      <c r="C19" s="231">
        <v>12.5</v>
      </c>
      <c r="D19" s="229">
        <v>137</v>
      </c>
      <c r="E19" s="229">
        <v>174.55</v>
      </c>
      <c r="F19" s="229">
        <v>1.4359999999999999</v>
      </c>
      <c r="G19" s="234">
        <v>43144.800000000003</v>
      </c>
      <c r="H19" s="234">
        <v>1888.17</v>
      </c>
      <c r="I19" s="234">
        <v>2470.4</v>
      </c>
      <c r="J19" s="229">
        <v>15.72</v>
      </c>
      <c r="K19" s="234">
        <v>86289.59</v>
      </c>
      <c r="L19" s="235">
        <v>3776.35</v>
      </c>
    </row>
    <row r="20" spans="1:12" ht="23.25" customHeight="1" thickBot="1">
      <c r="A20" t="str">
        <f t="shared" si="0"/>
        <v>D508,0 x 6,3</v>
      </c>
      <c r="B20" s="231">
        <v>508</v>
      </c>
      <c r="C20" s="231">
        <v>6.3</v>
      </c>
      <c r="D20" s="229">
        <v>78</v>
      </c>
      <c r="E20" s="229">
        <v>99.3</v>
      </c>
      <c r="F20" s="229">
        <v>1.5960000000000001</v>
      </c>
      <c r="G20" s="234">
        <v>31246.48</v>
      </c>
      <c r="H20" s="234">
        <v>1230.18</v>
      </c>
      <c r="I20" s="234">
        <v>1585.81</v>
      </c>
      <c r="J20" s="229">
        <v>17.739999999999998</v>
      </c>
      <c r="K20" s="234">
        <v>62492.959999999999</v>
      </c>
      <c r="L20" s="235">
        <v>2460.35</v>
      </c>
    </row>
    <row r="21" spans="1:12" ht="23.25" customHeight="1" thickBot="1">
      <c r="A21" t="str">
        <f t="shared" si="0"/>
        <v>D508,0 x 8,0</v>
      </c>
      <c r="B21" s="231">
        <v>508</v>
      </c>
      <c r="C21" s="231">
        <v>8</v>
      </c>
      <c r="D21" s="229">
        <v>98.7</v>
      </c>
      <c r="E21" s="229">
        <v>125.66</v>
      </c>
      <c r="F21" s="229">
        <v>1.5960000000000001</v>
      </c>
      <c r="G21" s="234">
        <v>39279.949999999997</v>
      </c>
      <c r="H21" s="234">
        <v>1546.45</v>
      </c>
      <c r="I21" s="234">
        <v>2000.17</v>
      </c>
      <c r="J21" s="229">
        <v>17.68</v>
      </c>
      <c r="K21" s="234">
        <v>78559.91</v>
      </c>
      <c r="L21" s="235">
        <v>3092.91</v>
      </c>
    </row>
    <row r="23" spans="1:12" ht="23.25" customHeight="1">
      <c r="A23" s="122" t="s">
        <v>862</v>
      </c>
    </row>
    <row r="24" spans="1:12" ht="23.25" customHeight="1">
      <c r="A24" s="243" t="s">
        <v>772</v>
      </c>
      <c r="B24" s="226" t="s">
        <v>754</v>
      </c>
      <c r="C24" s="226" t="s">
        <v>755</v>
      </c>
      <c r="D24" s="226" t="s">
        <v>756</v>
      </c>
      <c r="E24" s="226" t="s">
        <v>758</v>
      </c>
      <c r="F24" s="226" t="s">
        <v>760</v>
      </c>
      <c r="G24" s="226" t="s">
        <v>762</v>
      </c>
      <c r="H24" s="226" t="s">
        <v>764</v>
      </c>
      <c r="I24" s="226" t="s">
        <v>766</v>
      </c>
      <c r="J24" s="226" t="s">
        <v>768</v>
      </c>
      <c r="K24" s="226" t="s">
        <v>770</v>
      </c>
      <c r="L24" s="226" t="s">
        <v>771</v>
      </c>
    </row>
    <row r="25" spans="1:12" ht="23.25" customHeight="1" thickBot="1">
      <c r="A25" s="227"/>
      <c r="B25" s="227" t="s">
        <v>438</v>
      </c>
      <c r="C25" s="227" t="s">
        <v>438</v>
      </c>
      <c r="D25" s="227" t="s">
        <v>757</v>
      </c>
      <c r="E25" s="227" t="s">
        <v>759</v>
      </c>
      <c r="F25" s="227" t="s">
        <v>761</v>
      </c>
      <c r="G25" s="227" t="s">
        <v>763</v>
      </c>
      <c r="H25" s="227" t="s">
        <v>765</v>
      </c>
      <c r="I25" s="227" t="s">
        <v>767</v>
      </c>
      <c r="J25" s="227" t="s">
        <v>769</v>
      </c>
      <c r="K25" s="227" t="s">
        <v>763</v>
      </c>
      <c r="L25" s="227" t="s">
        <v>767</v>
      </c>
    </row>
    <row r="26" spans="1:12" ht="23.25" customHeight="1" thickTop="1" thickBot="1">
      <c r="A26" s="250" t="str">
        <f t="shared" ref="A26:A36" si="1">CONCATENATE("D",TEXT(B26,"###,0")," x ",TEXT(C26,"###,0"))</f>
        <v>D93,7 x 8,0</v>
      </c>
      <c r="B26" s="251">
        <v>93.7</v>
      </c>
      <c r="C26" s="251">
        <v>8</v>
      </c>
      <c r="D26" s="251">
        <v>36.6</v>
      </c>
      <c r="E26" s="251">
        <v>46.67</v>
      </c>
      <c r="F26" s="251">
        <v>0.60899999999999999</v>
      </c>
      <c r="G26" s="251">
        <v>2015.54</v>
      </c>
      <c r="H26" s="251">
        <v>208.11</v>
      </c>
      <c r="I26" s="251">
        <v>276.05</v>
      </c>
      <c r="J26" s="251">
        <v>6.57</v>
      </c>
      <c r="K26" s="251">
        <v>4031.07</v>
      </c>
      <c r="L26" s="252">
        <v>416.22</v>
      </c>
    </row>
    <row r="27" spans="1:12" ht="23.25" customHeight="1" thickBot="1">
      <c r="A27" s="250" t="str">
        <f t="shared" si="1"/>
        <v>D193,7 x 10,0</v>
      </c>
      <c r="B27" s="253">
        <v>193.7</v>
      </c>
      <c r="C27" s="253">
        <v>10</v>
      </c>
      <c r="D27" s="253">
        <v>45.3</v>
      </c>
      <c r="E27" s="253">
        <v>57.71</v>
      </c>
      <c r="F27" s="253">
        <v>0.60899999999999999</v>
      </c>
      <c r="G27" s="253">
        <v>2441.59</v>
      </c>
      <c r="H27" s="253">
        <v>252.1</v>
      </c>
      <c r="I27" s="253">
        <v>337.79</v>
      </c>
      <c r="J27" s="253">
        <v>6.5</v>
      </c>
      <c r="K27" s="253">
        <v>4883.18</v>
      </c>
      <c r="L27" s="254">
        <v>504.2</v>
      </c>
    </row>
    <row r="28" spans="1:12" ht="23.25" customHeight="1" thickBot="1">
      <c r="A28" s="250" t="str">
        <f t="shared" si="1"/>
        <v>D193,7  x 12,5</v>
      </c>
      <c r="B28" s="251" t="s">
        <v>863</v>
      </c>
      <c r="C28" s="251">
        <v>12.5</v>
      </c>
      <c r="D28" s="251">
        <v>55.9</v>
      </c>
      <c r="E28" s="251">
        <v>71.16</v>
      </c>
      <c r="F28" s="251">
        <v>0.60899999999999999</v>
      </c>
      <c r="G28" s="251">
        <v>2934.31</v>
      </c>
      <c r="H28" s="251">
        <v>302.97000000000003</v>
      </c>
      <c r="I28" s="251">
        <v>411.07</v>
      </c>
      <c r="J28" s="251">
        <v>6.42</v>
      </c>
      <c r="K28" s="251">
        <v>5868.62</v>
      </c>
      <c r="L28" s="252">
        <v>605.95000000000005</v>
      </c>
    </row>
    <row r="29" spans="1:12" ht="23.25" customHeight="1" thickBot="1">
      <c r="A29" s="250" t="str">
        <f t="shared" si="1"/>
        <v>D219,1 x 4,0</v>
      </c>
      <c r="B29" s="251">
        <v>219.1</v>
      </c>
      <c r="C29" s="251">
        <v>4</v>
      </c>
      <c r="D29" s="251">
        <v>21.2</v>
      </c>
      <c r="E29" s="251">
        <v>27.03</v>
      </c>
      <c r="F29" s="251">
        <v>0.68799999999999994</v>
      </c>
      <c r="G29" s="251">
        <v>1563.84</v>
      </c>
      <c r="H29" s="251">
        <v>142.75</v>
      </c>
      <c r="I29" s="251">
        <v>185.09</v>
      </c>
      <c r="J29" s="251">
        <v>7.61</v>
      </c>
      <c r="K29" s="251">
        <v>3127.67</v>
      </c>
      <c r="L29" s="252">
        <v>285.5</v>
      </c>
    </row>
    <row r="30" spans="1:12" ht="23.25" customHeight="1" thickBot="1">
      <c r="A30" s="250" t="str">
        <f t="shared" si="1"/>
        <v>D219,1 x 4,5</v>
      </c>
      <c r="B30" s="253">
        <v>219.1</v>
      </c>
      <c r="C30" s="253">
        <v>4.5</v>
      </c>
      <c r="D30" s="253">
        <v>23.8</v>
      </c>
      <c r="E30" s="253">
        <v>30.34</v>
      </c>
      <c r="F30" s="253">
        <v>0.68799999999999994</v>
      </c>
      <c r="G30" s="253">
        <v>1747.24</v>
      </c>
      <c r="H30" s="253">
        <v>159.49</v>
      </c>
      <c r="I30" s="253">
        <v>207.27</v>
      </c>
      <c r="J30" s="253">
        <v>7.59</v>
      </c>
      <c r="K30" s="253">
        <v>3494.48</v>
      </c>
      <c r="L30" s="254">
        <v>318.98</v>
      </c>
    </row>
    <row r="31" spans="1:12" ht="23.25" customHeight="1" thickBot="1">
      <c r="A31" s="250" t="str">
        <f t="shared" si="1"/>
        <v>D219,1 x 5,0</v>
      </c>
      <c r="B31" s="251">
        <v>219.1</v>
      </c>
      <c r="C31" s="251">
        <v>5</v>
      </c>
      <c r="D31" s="251">
        <v>26.4</v>
      </c>
      <c r="E31" s="251">
        <v>33.630000000000003</v>
      </c>
      <c r="F31" s="251">
        <v>0.68799999999999994</v>
      </c>
      <c r="G31" s="251">
        <v>1928.04</v>
      </c>
      <c r="H31" s="251">
        <v>176</v>
      </c>
      <c r="I31" s="251">
        <v>229.24</v>
      </c>
      <c r="J31" s="251">
        <v>7.57</v>
      </c>
      <c r="K31" s="251">
        <v>3856.08</v>
      </c>
      <c r="L31" s="252">
        <v>351.99</v>
      </c>
    </row>
    <row r="32" spans="1:12" ht="23.25" customHeight="1" thickBot="1">
      <c r="A32" s="250" t="str">
        <f t="shared" si="1"/>
        <v>D219,1 x 6,0</v>
      </c>
      <c r="B32" s="253">
        <v>219.1</v>
      </c>
      <c r="C32" s="253">
        <v>6</v>
      </c>
      <c r="D32" s="253">
        <v>31.5</v>
      </c>
      <c r="E32" s="253">
        <v>40.17</v>
      </c>
      <c r="F32" s="253">
        <v>0.68799999999999994</v>
      </c>
      <c r="G32" s="253">
        <v>2281.9499999999998</v>
      </c>
      <c r="H32" s="253">
        <v>208.3</v>
      </c>
      <c r="I32" s="253">
        <v>272.54000000000002</v>
      </c>
      <c r="J32" s="253">
        <v>7.54</v>
      </c>
      <c r="K32" s="253">
        <v>4563.8900000000003</v>
      </c>
      <c r="L32" s="254">
        <v>416.6</v>
      </c>
    </row>
    <row r="33" spans="1:29" ht="23.25" customHeight="1" thickBot="1">
      <c r="A33" s="250" t="str">
        <f t="shared" si="1"/>
        <v>D219,1 x 6,3</v>
      </c>
      <c r="B33" s="251">
        <v>219.1</v>
      </c>
      <c r="C33" s="251">
        <v>6.3</v>
      </c>
      <c r="D33" s="251">
        <v>33.1</v>
      </c>
      <c r="E33" s="251">
        <v>42.12</v>
      </c>
      <c r="F33" s="251">
        <v>0.68799999999999994</v>
      </c>
      <c r="G33" s="251">
        <v>2386.14</v>
      </c>
      <c r="H33" s="251">
        <v>217.81</v>
      </c>
      <c r="I33" s="251">
        <v>285.37</v>
      </c>
      <c r="J33" s="251">
        <v>7.53</v>
      </c>
      <c r="K33" s="251">
        <v>4772.28</v>
      </c>
      <c r="L33" s="252">
        <v>435.63</v>
      </c>
    </row>
    <row r="34" spans="1:29" ht="23.25" customHeight="1" thickBot="1">
      <c r="A34" s="250" t="str">
        <f t="shared" si="1"/>
        <v>D219,1 x 8,0</v>
      </c>
      <c r="B34" s="253">
        <v>219.1</v>
      </c>
      <c r="C34" s="253">
        <v>8</v>
      </c>
      <c r="D34" s="253">
        <v>41.7</v>
      </c>
      <c r="E34" s="253">
        <v>53.06</v>
      </c>
      <c r="F34" s="253">
        <v>0.68799999999999994</v>
      </c>
      <c r="G34" s="253">
        <v>2959.63</v>
      </c>
      <c r="H34" s="253">
        <v>270.16000000000003</v>
      </c>
      <c r="I34" s="253">
        <v>356.68</v>
      </c>
      <c r="J34" s="253">
        <v>7.47</v>
      </c>
      <c r="K34" s="253">
        <v>5919.26</v>
      </c>
      <c r="L34" s="254">
        <v>540.33000000000004</v>
      </c>
    </row>
    <row r="35" spans="1:29" ht="23.25" customHeight="1" thickBot="1">
      <c r="A35" s="250" t="str">
        <f t="shared" si="1"/>
        <v>D219,1 x 10,0</v>
      </c>
      <c r="B35" s="253">
        <v>219.1</v>
      </c>
      <c r="C35" s="253">
        <v>10</v>
      </c>
      <c r="D35" s="253">
        <v>51.6</v>
      </c>
      <c r="E35" s="253">
        <v>65.69</v>
      </c>
      <c r="F35" s="253">
        <v>0.68799999999999994</v>
      </c>
      <c r="G35" s="253">
        <v>3598.44</v>
      </c>
      <c r="H35" s="253">
        <v>328.47</v>
      </c>
      <c r="I35" s="253">
        <v>437.56</v>
      </c>
      <c r="J35" s="253">
        <v>7.4</v>
      </c>
      <c r="K35" s="253">
        <v>7196.88</v>
      </c>
      <c r="L35" s="254">
        <v>656.95</v>
      </c>
    </row>
    <row r="36" spans="1:29" ht="23.25" customHeight="1" thickBot="1">
      <c r="A36" s="250" t="str">
        <f t="shared" si="1"/>
        <v>D219,1 x 12,5</v>
      </c>
      <c r="B36" s="253">
        <v>219.1</v>
      </c>
      <c r="C36" s="253">
        <v>12.5</v>
      </c>
      <c r="D36" s="253">
        <v>63.7</v>
      </c>
      <c r="E36" s="253">
        <v>81.13</v>
      </c>
      <c r="F36" s="253">
        <v>0.68799999999999994</v>
      </c>
      <c r="G36" s="253">
        <v>4344.58</v>
      </c>
      <c r="H36" s="253">
        <v>396.58</v>
      </c>
      <c r="I36" s="253">
        <v>534.20000000000005</v>
      </c>
      <c r="J36" s="253">
        <v>7.32</v>
      </c>
      <c r="K36" s="253">
        <v>8689.16</v>
      </c>
      <c r="L36" s="254">
        <v>793.17</v>
      </c>
    </row>
    <row r="39" spans="1:29" ht="23.25" customHeight="1">
      <c r="A39" s="122" t="s">
        <v>873</v>
      </c>
      <c r="F39" s="255" t="s">
        <v>924</v>
      </c>
    </row>
    <row r="40" spans="1:29" ht="23.25" customHeight="1" thickBot="1">
      <c r="C40" t="s">
        <v>991</v>
      </c>
    </row>
    <row r="41" spans="1:29" ht="23.25" customHeight="1" thickBot="1">
      <c r="B41" s="256"/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</row>
    <row r="42" spans="1:29" ht="23.25" customHeight="1">
      <c r="A42" s="275" t="s">
        <v>878</v>
      </c>
      <c r="B42" s="277" t="s">
        <v>879</v>
      </c>
      <c r="C42" s="278"/>
      <c r="D42" s="278"/>
      <c r="E42" s="278"/>
      <c r="F42" s="279"/>
      <c r="G42" s="275" t="s">
        <v>880</v>
      </c>
      <c r="H42" s="257" t="s">
        <v>881</v>
      </c>
      <c r="I42" s="277" t="s">
        <v>883</v>
      </c>
      <c r="J42" s="278"/>
      <c r="K42" s="278"/>
      <c r="L42" s="278"/>
      <c r="M42" s="279"/>
      <c r="N42" s="277" t="s">
        <v>874</v>
      </c>
      <c r="O42" s="279"/>
      <c r="P42" s="283" t="s">
        <v>884</v>
      </c>
      <c r="Q42" s="284"/>
      <c r="R42" s="284"/>
      <c r="S42" s="284"/>
      <c r="T42" s="285"/>
      <c r="U42" s="283" t="s">
        <v>885</v>
      </c>
      <c r="V42" s="284"/>
      <c r="W42" s="284"/>
      <c r="X42" s="285"/>
      <c r="Y42" s="275" t="s">
        <v>886</v>
      </c>
      <c r="Z42" s="275" t="s">
        <v>887</v>
      </c>
      <c r="AA42" s="275" t="s">
        <v>888</v>
      </c>
      <c r="AB42" s="275" t="s">
        <v>889</v>
      </c>
      <c r="AC42" s="275" t="s">
        <v>890</v>
      </c>
    </row>
    <row r="43" spans="1:29" ht="23.25" customHeight="1" thickBot="1">
      <c r="A43" s="276"/>
      <c r="B43" s="280"/>
      <c r="C43" s="281"/>
      <c r="D43" s="281"/>
      <c r="E43" s="281"/>
      <c r="F43" s="282"/>
      <c r="G43" s="276"/>
      <c r="H43" s="258" t="s">
        <v>882</v>
      </c>
      <c r="I43" s="280"/>
      <c r="J43" s="281"/>
      <c r="K43" s="281"/>
      <c r="L43" s="281"/>
      <c r="M43" s="282"/>
      <c r="N43" s="280"/>
      <c r="O43" s="282"/>
      <c r="P43" s="286"/>
      <c r="Q43" s="287"/>
      <c r="R43" s="287"/>
      <c r="S43" s="287"/>
      <c r="T43" s="288"/>
      <c r="U43" s="286"/>
      <c r="V43" s="287"/>
      <c r="W43" s="287"/>
      <c r="X43" s="288"/>
      <c r="Y43" s="289"/>
      <c r="Z43" s="289"/>
      <c r="AA43" s="289"/>
      <c r="AB43" s="289"/>
      <c r="AC43" s="289"/>
    </row>
    <row r="44" spans="1:29" ht="23.25" customHeight="1" thickBot="1">
      <c r="B44" s="259" t="s">
        <v>891</v>
      </c>
      <c r="C44" s="259" t="s">
        <v>892</v>
      </c>
      <c r="D44" s="259" t="s">
        <v>893</v>
      </c>
      <c r="E44" s="259" t="s">
        <v>894</v>
      </c>
      <c r="F44" s="259" t="s">
        <v>925</v>
      </c>
      <c r="G44" s="259" t="s">
        <v>758</v>
      </c>
      <c r="H44" s="259" t="s">
        <v>895</v>
      </c>
      <c r="I44" s="259" t="s">
        <v>926</v>
      </c>
      <c r="J44" s="259" t="s">
        <v>896</v>
      </c>
      <c r="K44" s="275" t="s">
        <v>897</v>
      </c>
      <c r="L44" s="259" t="s">
        <v>898</v>
      </c>
      <c r="M44" s="259" t="s">
        <v>899</v>
      </c>
      <c r="N44" s="259" t="s">
        <v>900</v>
      </c>
      <c r="O44" s="259" t="s">
        <v>901</v>
      </c>
      <c r="P44" s="259" t="s">
        <v>902</v>
      </c>
      <c r="Q44" s="259" t="s">
        <v>903</v>
      </c>
      <c r="R44" s="259" t="s">
        <v>904</v>
      </c>
      <c r="S44" s="259" t="s">
        <v>905</v>
      </c>
      <c r="T44" s="259" t="s">
        <v>906</v>
      </c>
      <c r="U44" s="259" t="s">
        <v>907</v>
      </c>
      <c r="V44" s="259" t="s">
        <v>908</v>
      </c>
      <c r="W44" s="259" t="s">
        <v>909</v>
      </c>
      <c r="X44" s="259" t="s">
        <v>910</v>
      </c>
      <c r="Y44" s="276"/>
      <c r="Z44" s="276"/>
      <c r="AA44" s="276"/>
      <c r="AB44" s="276"/>
      <c r="AC44" s="276"/>
    </row>
    <row r="45" spans="1:29" ht="23.25" customHeight="1" thickBot="1">
      <c r="B45" s="259" t="s">
        <v>911</v>
      </c>
      <c r="C45" s="259" t="s">
        <v>911</v>
      </c>
      <c r="D45" s="259" t="s">
        <v>911</v>
      </c>
      <c r="E45" s="259" t="s">
        <v>911</v>
      </c>
      <c r="F45" s="259" t="s">
        <v>911</v>
      </c>
      <c r="G45" s="259" t="s">
        <v>912</v>
      </c>
      <c r="H45" s="259" t="s">
        <v>757</v>
      </c>
      <c r="I45" s="259" t="s">
        <v>911</v>
      </c>
      <c r="J45" s="259" t="s">
        <v>911</v>
      </c>
      <c r="K45" s="276"/>
      <c r="L45" s="259" t="s">
        <v>438</v>
      </c>
      <c r="M45" s="259" t="s">
        <v>438</v>
      </c>
      <c r="N45" s="259" t="s">
        <v>913</v>
      </c>
      <c r="O45" s="259" t="s">
        <v>914</v>
      </c>
      <c r="P45" s="259" t="s">
        <v>915</v>
      </c>
      <c r="Q45" s="259" t="s">
        <v>916</v>
      </c>
      <c r="R45" s="259" t="s">
        <v>916</v>
      </c>
      <c r="S45" s="259" t="s">
        <v>911</v>
      </c>
      <c r="T45" s="259" t="s">
        <v>912</v>
      </c>
      <c r="U45" s="259" t="s">
        <v>915</v>
      </c>
      <c r="V45" s="259" t="s">
        <v>916</v>
      </c>
      <c r="W45" s="259" t="s">
        <v>916</v>
      </c>
      <c r="X45" s="259" t="s">
        <v>911</v>
      </c>
      <c r="Y45" s="259" t="s">
        <v>438</v>
      </c>
      <c r="Z45" s="259" t="s">
        <v>915</v>
      </c>
      <c r="AA45" s="259" t="s">
        <v>917</v>
      </c>
      <c r="AB45" s="259" t="s">
        <v>438</v>
      </c>
      <c r="AC45" s="259" t="s">
        <v>438</v>
      </c>
    </row>
    <row r="46" spans="1:29" ht="23.25" customHeight="1" thickBot="1">
      <c r="A46" s="260" t="s">
        <v>927</v>
      </c>
      <c r="B46" s="261">
        <v>200</v>
      </c>
      <c r="C46" s="261">
        <v>80</v>
      </c>
      <c r="D46" s="261">
        <v>6</v>
      </c>
      <c r="E46" s="261" t="s">
        <v>919</v>
      </c>
      <c r="F46" s="261">
        <v>13</v>
      </c>
      <c r="G46" s="261">
        <v>2900</v>
      </c>
      <c r="H46" s="261" t="s">
        <v>932</v>
      </c>
      <c r="I46" s="261">
        <v>178</v>
      </c>
      <c r="J46" s="261">
        <v>152</v>
      </c>
      <c r="K46" s="261" t="s">
        <v>875</v>
      </c>
      <c r="L46" s="261">
        <v>46</v>
      </c>
      <c r="M46" s="261">
        <v>47</v>
      </c>
      <c r="N46" s="261" t="s">
        <v>933</v>
      </c>
      <c r="O46" s="261" t="s">
        <v>934</v>
      </c>
      <c r="P46" s="261">
        <v>1909</v>
      </c>
      <c r="Q46" s="261" t="s">
        <v>935</v>
      </c>
      <c r="R46" s="261" t="s">
        <v>936</v>
      </c>
      <c r="S46" s="261" t="s">
        <v>937</v>
      </c>
      <c r="T46" s="261">
        <v>1350</v>
      </c>
      <c r="U46" s="261" t="s">
        <v>938</v>
      </c>
      <c r="V46" s="261" t="s">
        <v>939</v>
      </c>
      <c r="W46" s="261" t="s">
        <v>940</v>
      </c>
      <c r="X46" s="262">
        <v>41389</v>
      </c>
      <c r="Y46" s="262">
        <v>41449</v>
      </c>
      <c r="Z46" s="263">
        <v>32721</v>
      </c>
      <c r="AA46" s="261" t="s">
        <v>941</v>
      </c>
      <c r="AB46" s="262">
        <v>41450</v>
      </c>
      <c r="AC46" s="261" t="s">
        <v>923</v>
      </c>
    </row>
    <row r="47" spans="1:29" ht="23.25" customHeight="1" thickBot="1">
      <c r="A47" s="260" t="s">
        <v>928</v>
      </c>
      <c r="B47" s="261">
        <v>220</v>
      </c>
      <c r="C47" s="261">
        <v>85</v>
      </c>
      <c r="D47" s="262">
        <v>6.4</v>
      </c>
      <c r="E47" s="261" t="s">
        <v>942</v>
      </c>
      <c r="F47" s="261">
        <v>13</v>
      </c>
      <c r="G47" s="261">
        <v>3390</v>
      </c>
      <c r="H47" s="261" t="s">
        <v>943</v>
      </c>
      <c r="I47" s="261">
        <v>196</v>
      </c>
      <c r="J47" s="261">
        <v>170</v>
      </c>
      <c r="K47" s="261" t="s">
        <v>876</v>
      </c>
      <c r="L47" s="261">
        <v>47</v>
      </c>
      <c r="M47" s="261">
        <v>49</v>
      </c>
      <c r="N47" s="261" t="s">
        <v>944</v>
      </c>
      <c r="O47" s="261" t="s">
        <v>945</v>
      </c>
      <c r="P47" s="261">
        <v>2682</v>
      </c>
      <c r="Q47" s="261" t="s">
        <v>946</v>
      </c>
      <c r="R47" s="261" t="s">
        <v>947</v>
      </c>
      <c r="S47" s="261" t="s">
        <v>948</v>
      </c>
      <c r="T47" s="261">
        <v>1581</v>
      </c>
      <c r="U47" s="261" t="s">
        <v>949</v>
      </c>
      <c r="V47" s="261" t="s">
        <v>950</v>
      </c>
      <c r="W47" s="261" t="s">
        <v>951</v>
      </c>
      <c r="X47" s="261" t="s">
        <v>920</v>
      </c>
      <c r="Y47" s="262">
        <v>41300</v>
      </c>
      <c r="Z47" s="262">
        <v>41406</v>
      </c>
      <c r="AA47" s="261" t="s">
        <v>952</v>
      </c>
      <c r="AB47" s="261" t="s">
        <v>920</v>
      </c>
      <c r="AC47" s="261" t="s">
        <v>953</v>
      </c>
    </row>
    <row r="48" spans="1:29" ht="23.25" customHeight="1" thickBot="1">
      <c r="A48" s="260" t="s">
        <v>929</v>
      </c>
      <c r="B48" s="261">
        <v>240</v>
      </c>
      <c r="C48" s="261">
        <v>90</v>
      </c>
      <c r="D48" s="261" t="s">
        <v>918</v>
      </c>
      <c r="E48" s="262">
        <v>41406</v>
      </c>
      <c r="F48" s="261">
        <v>15</v>
      </c>
      <c r="G48" s="261">
        <v>3850</v>
      </c>
      <c r="H48" s="261" t="s">
        <v>954</v>
      </c>
      <c r="I48" s="261">
        <v>215</v>
      </c>
      <c r="J48" s="261">
        <v>185</v>
      </c>
      <c r="K48" s="261" t="s">
        <v>877</v>
      </c>
      <c r="L48" s="261">
        <v>47</v>
      </c>
      <c r="M48" s="261">
        <v>51</v>
      </c>
      <c r="N48" s="261" t="s">
        <v>955</v>
      </c>
      <c r="O48" s="261" t="s">
        <v>956</v>
      </c>
      <c r="P48" s="261">
        <v>3599</v>
      </c>
      <c r="Q48" s="261" t="s">
        <v>957</v>
      </c>
      <c r="R48" s="261" t="s">
        <v>958</v>
      </c>
      <c r="S48" s="261" t="s">
        <v>959</v>
      </c>
      <c r="T48" s="261">
        <v>1877</v>
      </c>
      <c r="U48" s="261" t="s">
        <v>960</v>
      </c>
      <c r="V48" s="261" t="s">
        <v>961</v>
      </c>
      <c r="W48" s="261" t="s">
        <v>962</v>
      </c>
      <c r="X48" s="262">
        <v>41392</v>
      </c>
      <c r="Y48" s="262">
        <v>41361</v>
      </c>
      <c r="Z48" s="261" t="s">
        <v>963</v>
      </c>
      <c r="AA48" s="261" t="s">
        <v>964</v>
      </c>
      <c r="AB48" s="262">
        <v>41544</v>
      </c>
      <c r="AC48" s="261" t="s">
        <v>965</v>
      </c>
    </row>
    <row r="49" spans="1:29" ht="23.25" customHeight="1" thickBot="1">
      <c r="A49" s="260" t="s">
        <v>930</v>
      </c>
      <c r="B49" s="261">
        <v>270</v>
      </c>
      <c r="C49" s="261">
        <v>95</v>
      </c>
      <c r="D49" s="262">
        <v>41401</v>
      </c>
      <c r="E49" s="262">
        <v>41407</v>
      </c>
      <c r="F49" s="261">
        <v>15</v>
      </c>
      <c r="G49" s="261">
        <v>4480</v>
      </c>
      <c r="H49" s="261" t="s">
        <v>966</v>
      </c>
      <c r="I49" s="261">
        <v>243</v>
      </c>
      <c r="J49" s="261">
        <v>213</v>
      </c>
      <c r="K49" s="261" t="s">
        <v>967</v>
      </c>
      <c r="L49" s="261">
        <v>48</v>
      </c>
      <c r="M49" s="261">
        <v>50</v>
      </c>
      <c r="N49" s="261" t="s">
        <v>968</v>
      </c>
      <c r="O49" s="261" t="s">
        <v>969</v>
      </c>
      <c r="P49" s="261">
        <v>5255</v>
      </c>
      <c r="Q49" s="261" t="s">
        <v>970</v>
      </c>
      <c r="R49" s="261" t="s">
        <v>971</v>
      </c>
      <c r="S49" s="261" t="s">
        <v>972</v>
      </c>
      <c r="T49" s="261">
        <v>2223</v>
      </c>
      <c r="U49" s="261" t="s">
        <v>973</v>
      </c>
      <c r="V49" s="261" t="s">
        <v>974</v>
      </c>
      <c r="W49" s="261" t="s">
        <v>975</v>
      </c>
      <c r="X49" s="262">
        <v>41546</v>
      </c>
      <c r="Y49" s="262">
        <v>41515</v>
      </c>
      <c r="Z49" s="261" t="s">
        <v>976</v>
      </c>
      <c r="AA49" s="261" t="s">
        <v>977</v>
      </c>
      <c r="AB49" s="262">
        <v>41545</v>
      </c>
      <c r="AC49" s="261" t="s">
        <v>978</v>
      </c>
    </row>
    <row r="50" spans="1:29" ht="23.25" customHeight="1" thickBot="1">
      <c r="A50" s="260" t="s">
        <v>931</v>
      </c>
      <c r="B50" s="261">
        <v>300</v>
      </c>
      <c r="C50" s="261">
        <v>100</v>
      </c>
      <c r="D50" s="262">
        <v>41403</v>
      </c>
      <c r="E50" s="261" t="s">
        <v>922</v>
      </c>
      <c r="F50" s="261">
        <v>15</v>
      </c>
      <c r="G50" s="261">
        <v>5660</v>
      </c>
      <c r="H50" s="261" t="s">
        <v>979</v>
      </c>
      <c r="I50" s="261">
        <v>270</v>
      </c>
      <c r="J50" s="261">
        <v>240</v>
      </c>
      <c r="K50" s="261" t="s">
        <v>967</v>
      </c>
      <c r="L50" s="261">
        <v>50</v>
      </c>
      <c r="M50" s="261">
        <v>55</v>
      </c>
      <c r="N50" s="261" t="s">
        <v>980</v>
      </c>
      <c r="O50" s="261" t="s">
        <v>981</v>
      </c>
      <c r="P50" s="261">
        <v>7823</v>
      </c>
      <c r="Q50" s="261" t="s">
        <v>982</v>
      </c>
      <c r="R50" s="261" t="s">
        <v>983</v>
      </c>
      <c r="S50" s="261" t="s">
        <v>984</v>
      </c>
      <c r="T50" s="261">
        <v>3029</v>
      </c>
      <c r="U50" s="261" t="s">
        <v>985</v>
      </c>
      <c r="V50" s="261" t="s">
        <v>986</v>
      </c>
      <c r="W50" s="261" t="s">
        <v>987</v>
      </c>
      <c r="X50" s="262">
        <v>41516</v>
      </c>
      <c r="Y50" s="261" t="s">
        <v>921</v>
      </c>
      <c r="Z50" s="261" t="s">
        <v>988</v>
      </c>
      <c r="AA50" s="261" t="s">
        <v>989</v>
      </c>
      <c r="AB50" s="262">
        <v>41545</v>
      </c>
      <c r="AC50" s="261" t="s">
        <v>990</v>
      </c>
    </row>
    <row r="54" spans="1:29" ht="23.25" customHeight="1">
      <c r="B54" s="75"/>
    </row>
  </sheetData>
  <mergeCells count="13">
    <mergeCell ref="AB42:AB44"/>
    <mergeCell ref="AC42:AC44"/>
    <mergeCell ref="K44:K45"/>
    <mergeCell ref="P42:T43"/>
    <mergeCell ref="U42:X43"/>
    <mergeCell ref="Y42:Y44"/>
    <mergeCell ref="Z42:Z44"/>
    <mergeCell ref="AA42:AA44"/>
    <mergeCell ref="A42:A43"/>
    <mergeCell ref="B42:F43"/>
    <mergeCell ref="G42:G43"/>
    <mergeCell ref="I42:M43"/>
    <mergeCell ref="N42:O43"/>
  </mergeCells>
  <hyperlinks>
    <hyperlink ref="F39" r:id="rId1"/>
  </hyperlinks>
  <pageMargins left="0.7" right="0.7" top="0.75" bottom="0.75" header="0.3" footer="0.3"/>
  <pageSetup paperSize="9" orientation="portrait" horizontalDpi="300" verticalDpi="0" copies="0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>
  <dimension ref="A2:C24"/>
  <sheetViews>
    <sheetView workbookViewId="0">
      <selection activeCell="P19" sqref="P19"/>
    </sheetView>
  </sheetViews>
  <sheetFormatPr defaultColWidth="5.125" defaultRowHeight="15.75" customHeight="1"/>
  <cols>
    <col min="1" max="1" width="2" style="121" customWidth="1"/>
    <col min="2" max="2" width="2" style="224" customWidth="1"/>
    <col min="3" max="3" width="2" style="223" customWidth="1"/>
    <col min="4" max="4" width="5.875" customWidth="1"/>
    <col min="5" max="5" width="6.625" customWidth="1"/>
    <col min="6" max="6" width="4.875" customWidth="1"/>
    <col min="7" max="7" width="1.625" customWidth="1"/>
  </cols>
  <sheetData>
    <row r="2" spans="1:3" ht="15.75" customHeight="1">
      <c r="A2" s="121" t="s">
        <v>732</v>
      </c>
    </row>
    <row r="4" spans="1:3" ht="15.75" customHeight="1">
      <c r="B4" s="224" t="s">
        <v>733</v>
      </c>
    </row>
    <row r="6" spans="1:3" ht="15.75" customHeight="1">
      <c r="B6" s="224" t="s">
        <v>734</v>
      </c>
    </row>
    <row r="8" spans="1:3" ht="15.75" customHeight="1">
      <c r="B8" s="224" t="s">
        <v>735</v>
      </c>
    </row>
    <row r="10" spans="1:3" ht="15.75" customHeight="1">
      <c r="B10" s="224" t="s">
        <v>736</v>
      </c>
    </row>
    <row r="12" spans="1:3" ht="15.75" customHeight="1">
      <c r="B12" s="224" t="s">
        <v>737</v>
      </c>
    </row>
    <row r="14" spans="1:3" ht="15.75" customHeight="1">
      <c r="C14" s="223" t="s">
        <v>739</v>
      </c>
    </row>
    <row r="16" spans="1:3" ht="15.75" customHeight="1">
      <c r="C16" s="223" t="s">
        <v>740</v>
      </c>
    </row>
    <row r="18" spans="2:3" ht="15.75" customHeight="1">
      <c r="B18" s="224" t="s">
        <v>738</v>
      </c>
    </row>
    <row r="20" spans="2:3" ht="15.75" customHeight="1">
      <c r="C20" s="223" t="s">
        <v>741</v>
      </c>
    </row>
    <row r="22" spans="2:3" ht="15.75" customHeight="1">
      <c r="C22" s="223" t="s">
        <v>742</v>
      </c>
    </row>
    <row r="24" spans="2:3" ht="15.75" customHeight="1">
      <c r="C24" s="223" t="s">
        <v>743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1:Y52"/>
  <sheetViews>
    <sheetView workbookViewId="0">
      <selection activeCell="R30" sqref="R30"/>
    </sheetView>
  </sheetViews>
  <sheetFormatPr defaultRowHeight="11.25"/>
  <cols>
    <col min="1" max="1" width="2" customWidth="1"/>
    <col min="2" max="3" width="2.125" customWidth="1"/>
    <col min="4" max="4" width="4.25" customWidth="1"/>
    <col min="5" max="5" width="6.375" bestFit="1" customWidth="1"/>
    <col min="6" max="10" width="4.25" customWidth="1"/>
    <col min="11" max="11" width="6.375" bestFit="1" customWidth="1"/>
    <col min="12" max="12" width="8.5" bestFit="1" customWidth="1"/>
    <col min="13" max="17" width="4.25" customWidth="1"/>
    <col min="18" max="18" width="7" bestFit="1" customWidth="1"/>
    <col min="19" max="19" width="9.625" customWidth="1"/>
    <col min="20" max="23" width="4.25" customWidth="1"/>
    <col min="24" max="24" width="6.25" customWidth="1"/>
    <col min="25" max="25" width="8.5" customWidth="1"/>
    <col min="26" max="26" width="4.25" customWidth="1"/>
  </cols>
  <sheetData>
    <row r="1" spans="2:6" ht="18" customHeight="1"/>
    <row r="2" spans="2:6" ht="18" customHeight="1"/>
    <row r="3" spans="2:6" ht="18" customHeight="1">
      <c r="C3" t="s">
        <v>230</v>
      </c>
    </row>
    <row r="4" spans="2:6" ht="18" customHeight="1">
      <c r="C4" t="s">
        <v>241</v>
      </c>
    </row>
    <row r="5" spans="2:6" ht="18" customHeight="1"/>
    <row r="6" spans="2:6" ht="18" customHeight="1">
      <c r="B6" t="s">
        <v>231</v>
      </c>
    </row>
    <row r="7" spans="2:6" ht="18" customHeight="1">
      <c r="C7" t="s">
        <v>233</v>
      </c>
    </row>
    <row r="8" spans="2:6" ht="18" customHeight="1">
      <c r="D8" s="74" t="s">
        <v>234</v>
      </c>
      <c r="E8">
        <v>3.5</v>
      </c>
      <c r="F8" t="s">
        <v>237</v>
      </c>
    </row>
    <row r="9" spans="2:6" ht="18" customHeight="1">
      <c r="D9" s="74" t="s">
        <v>235</v>
      </c>
      <c r="E9">
        <f>E8*8</f>
        <v>28</v>
      </c>
      <c r="F9" t="s">
        <v>237</v>
      </c>
    </row>
    <row r="10" spans="2:6" ht="18" customHeight="1">
      <c r="D10" s="74" t="s">
        <v>236</v>
      </c>
      <c r="E10" s="87">
        <f>9.81*E9</f>
        <v>274.68</v>
      </c>
      <c r="F10" t="s">
        <v>154</v>
      </c>
    </row>
    <row r="11" spans="2:6" ht="18" customHeight="1">
      <c r="D11" s="74"/>
      <c r="E11" s="75"/>
    </row>
    <row r="12" spans="2:6" ht="18" customHeight="1">
      <c r="B12" t="s">
        <v>232</v>
      </c>
    </row>
    <row r="13" spans="2:6" ht="18" customHeight="1">
      <c r="D13" s="74" t="s">
        <v>238</v>
      </c>
      <c r="E13">
        <v>6</v>
      </c>
      <c r="F13" t="s">
        <v>237</v>
      </c>
    </row>
    <row r="14" spans="2:6" ht="18" customHeight="1">
      <c r="D14" s="74" t="s">
        <v>239</v>
      </c>
      <c r="E14">
        <f>E13*8</f>
        <v>48</v>
      </c>
      <c r="F14" t="s">
        <v>237</v>
      </c>
    </row>
    <row r="15" spans="2:6" ht="18" customHeight="1">
      <c r="D15" s="74" t="s">
        <v>240</v>
      </c>
      <c r="E15" s="87">
        <f>9.81*E14</f>
        <v>470.88</v>
      </c>
      <c r="F15" t="s">
        <v>154</v>
      </c>
    </row>
    <row r="16" spans="2:6" ht="18" customHeight="1"/>
    <row r="17" spans="10:25" ht="18" customHeight="1"/>
    <row r="18" spans="10:25" ht="18" customHeight="1"/>
    <row r="19" spans="10:25" ht="18" customHeight="1">
      <c r="K19" s="74"/>
      <c r="L19" s="180"/>
      <c r="R19" s="74"/>
      <c r="S19" s="180"/>
      <c r="X19" s="74"/>
      <c r="Y19" s="180"/>
    </row>
    <row r="20" spans="10:25" ht="18" customHeight="1">
      <c r="K20" s="74"/>
      <c r="R20" s="74"/>
      <c r="X20" s="74"/>
    </row>
    <row r="21" spans="10:25" ht="18" customHeight="1">
      <c r="K21" s="74"/>
      <c r="L21" s="180"/>
      <c r="R21" s="74"/>
      <c r="S21" s="180"/>
      <c r="X21" s="74"/>
      <c r="Y21" s="180"/>
    </row>
    <row r="22" spans="10:25" ht="18" customHeight="1"/>
    <row r="23" spans="10:25" ht="18" customHeight="1">
      <c r="K23" s="181"/>
      <c r="L23" s="75"/>
      <c r="R23" s="181"/>
      <c r="S23" s="75"/>
      <c r="X23" s="181"/>
      <c r="Y23" s="75"/>
    </row>
    <row r="24" spans="10:25" ht="18" customHeight="1">
      <c r="K24" s="181"/>
      <c r="L24" s="75"/>
      <c r="R24" s="181"/>
      <c r="S24" s="75"/>
      <c r="X24" s="181"/>
      <c r="Y24" s="75"/>
    </row>
    <row r="25" spans="10:25" ht="18" customHeight="1">
      <c r="K25" s="181"/>
      <c r="L25" s="75"/>
      <c r="R25" s="181"/>
      <c r="S25" s="75"/>
      <c r="X25" s="181"/>
      <c r="Y25" s="75"/>
    </row>
    <row r="26" spans="10:25" ht="18" customHeight="1">
      <c r="K26" s="181"/>
      <c r="L26" s="75"/>
      <c r="R26" s="181"/>
      <c r="S26" s="75"/>
      <c r="X26" s="181"/>
      <c r="Y26" s="75"/>
    </row>
    <row r="27" spans="10:25" ht="18" customHeight="1">
      <c r="K27" s="182"/>
      <c r="L27" s="75"/>
      <c r="R27" s="182"/>
      <c r="S27" s="75"/>
      <c r="X27" s="182"/>
      <c r="Y27" s="75"/>
    </row>
    <row r="28" spans="10:25" ht="18" customHeight="1">
      <c r="J28" s="75"/>
      <c r="L28" s="75"/>
      <c r="Q28" s="75"/>
      <c r="R28" s="75"/>
      <c r="S28" s="75"/>
      <c r="W28" s="75"/>
      <c r="X28" s="75"/>
      <c r="Y28" s="75"/>
    </row>
    <row r="29" spans="10:25" ht="18" customHeight="1"/>
    <row r="30" spans="10:25" ht="18" customHeight="1"/>
    <row r="31" spans="10:25" ht="18" customHeight="1">
      <c r="Q31" s="181"/>
      <c r="R31" s="75"/>
    </row>
    <row r="32" spans="10:25" ht="18" customHeight="1">
      <c r="Q32" s="181"/>
      <c r="R32" s="75"/>
    </row>
    <row r="33" spans="17:18" ht="18" customHeight="1">
      <c r="Q33" s="181"/>
      <c r="R33" s="75"/>
    </row>
    <row r="34" spans="17:18" ht="18" customHeight="1"/>
    <row r="35" spans="17:18" ht="18" customHeight="1"/>
    <row r="36" spans="17:18" ht="18" customHeight="1"/>
    <row r="37" spans="17:18" ht="18" customHeight="1"/>
    <row r="38" spans="17:18" ht="18" customHeight="1"/>
    <row r="39" spans="17:18" ht="18" customHeight="1"/>
    <row r="40" spans="17:18" ht="18" customHeight="1"/>
    <row r="41" spans="17:18" ht="18" customHeight="1"/>
    <row r="42" spans="17:18" ht="18" customHeight="1"/>
    <row r="43" spans="17:18" ht="18" customHeight="1"/>
    <row r="44" spans="17:18" ht="18" customHeight="1"/>
    <row r="45" spans="17:18" ht="18" customHeight="1"/>
    <row r="46" spans="17:18" ht="18" customHeight="1"/>
    <row r="47" spans="17:18" ht="18" customHeight="1"/>
    <row r="48" spans="17:18" ht="18" customHeight="1"/>
    <row r="49" ht="18" customHeight="1"/>
    <row r="50" ht="18" customHeight="1"/>
    <row r="51" ht="18" customHeight="1"/>
    <row r="52" ht="18" customHeight="1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/>
  </sheetPr>
  <dimension ref="A2:AB421"/>
  <sheetViews>
    <sheetView workbookViewId="0">
      <selection activeCell="Z11" sqref="Z11"/>
    </sheetView>
  </sheetViews>
  <sheetFormatPr defaultRowHeight="18" outlineLevelRow="1"/>
  <cols>
    <col min="1" max="1" width="1.375" style="71" customWidth="1"/>
    <col min="2" max="2" width="1.5" style="71" customWidth="1"/>
    <col min="3" max="4" width="1.5" style="35" customWidth="1"/>
    <col min="5" max="5" width="6.125" style="23" customWidth="1"/>
    <col min="6" max="6" width="8.5" style="23" customWidth="1"/>
    <col min="7" max="7" width="6.125" style="58" customWidth="1"/>
    <col min="8" max="8" width="0.875" style="23" customWidth="1"/>
    <col min="9" max="9" width="3.625" style="23" customWidth="1"/>
    <col min="10" max="11" width="6.125" style="23" customWidth="1"/>
    <col min="12" max="20" width="6.25" style="23" customWidth="1"/>
    <col min="21" max="21" width="1.375" style="23" customWidth="1"/>
    <col min="22" max="22" width="6.25" style="23" customWidth="1"/>
    <col min="23" max="16384" width="9" style="23"/>
  </cols>
  <sheetData>
    <row r="2" spans="1:18" ht="31.5" customHeight="1">
      <c r="A2" s="264" t="s">
        <v>324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</row>
    <row r="3" spans="1:18" ht="19.5" outlineLevel="1">
      <c r="E3" s="24" t="s">
        <v>42</v>
      </c>
      <c r="F3" s="23">
        <v>21</v>
      </c>
      <c r="G3" s="58" t="s">
        <v>43</v>
      </c>
      <c r="I3" s="23" t="s">
        <v>44</v>
      </c>
    </row>
    <row r="4" spans="1:18" ht="19.5" outlineLevel="1">
      <c r="E4" s="24" t="s">
        <v>45</v>
      </c>
      <c r="F4" s="23">
        <f>F3</f>
        <v>21</v>
      </c>
      <c r="G4" s="58" t="s">
        <v>43</v>
      </c>
      <c r="I4" s="23" t="s">
        <v>46</v>
      </c>
    </row>
    <row r="5" spans="1:18" outlineLevel="1">
      <c r="E5" s="25" t="s">
        <v>47</v>
      </c>
      <c r="F5" s="23">
        <v>1.2250000000000001</v>
      </c>
      <c r="G5" s="58" t="s">
        <v>48</v>
      </c>
      <c r="I5" s="23" t="s">
        <v>49</v>
      </c>
    </row>
    <row r="6" spans="1:18" ht="19.5" outlineLevel="1">
      <c r="E6" s="25" t="s">
        <v>58</v>
      </c>
      <c r="F6" s="23">
        <v>0.19</v>
      </c>
      <c r="I6" s="32" t="s">
        <v>59</v>
      </c>
    </row>
    <row r="7" spans="1:18" ht="19.5" outlineLevel="1">
      <c r="E7" s="25" t="s">
        <v>60</v>
      </c>
      <c r="F7" s="23">
        <v>0.05</v>
      </c>
      <c r="G7" s="59" t="s">
        <v>51</v>
      </c>
      <c r="I7" s="32" t="s">
        <v>61</v>
      </c>
    </row>
    <row r="8" spans="1:18" ht="19.5" outlineLevel="1">
      <c r="E8" s="25" t="s">
        <v>62</v>
      </c>
      <c r="F8" s="23">
        <v>10</v>
      </c>
      <c r="G8" s="59" t="s">
        <v>51</v>
      </c>
      <c r="I8" s="34" t="s">
        <v>63</v>
      </c>
    </row>
    <row r="9" spans="1:18" ht="19.5" outlineLevel="1">
      <c r="E9" s="114" t="s">
        <v>502</v>
      </c>
      <c r="F9" s="23">
        <v>1.1499999999999999</v>
      </c>
      <c r="I9" s="109" t="s">
        <v>503</v>
      </c>
    </row>
    <row r="10" spans="1:18" outlineLevel="1">
      <c r="E10" s="24"/>
    </row>
    <row r="11" spans="1:18">
      <c r="E11" s="24"/>
    </row>
    <row r="12" spans="1:18">
      <c r="B12" s="72" t="s">
        <v>53</v>
      </c>
      <c r="C12" s="36"/>
      <c r="D12" s="36"/>
      <c r="E12" s="29"/>
      <c r="F12" s="29"/>
      <c r="G12" s="60"/>
      <c r="H12" s="29"/>
      <c r="I12" s="29"/>
      <c r="J12" s="29"/>
      <c r="K12" s="29"/>
      <c r="L12" s="29"/>
    </row>
    <row r="13" spans="1:18" outlineLevel="1">
      <c r="B13" s="72"/>
      <c r="C13" s="35" t="s">
        <v>100</v>
      </c>
      <c r="D13" s="36"/>
      <c r="E13" s="29"/>
      <c r="F13" s="29"/>
      <c r="G13" s="60"/>
      <c r="H13" s="29"/>
      <c r="I13" s="29"/>
      <c r="J13" s="29"/>
      <c r="K13" s="29"/>
      <c r="L13" s="29"/>
    </row>
    <row r="14" spans="1:18" outlineLevel="1">
      <c r="C14" s="38" t="s">
        <v>101</v>
      </c>
      <c r="E14" s="24"/>
      <c r="K14" s="38"/>
    </row>
    <row r="15" spans="1:18" outlineLevel="1">
      <c r="E15" s="114" t="s">
        <v>54</v>
      </c>
      <c r="F15" s="33">
        <v>36</v>
      </c>
      <c r="G15" s="59" t="s">
        <v>51</v>
      </c>
      <c r="I15" s="32" t="s">
        <v>55</v>
      </c>
    </row>
    <row r="16" spans="1:18" outlineLevel="1">
      <c r="E16" s="114" t="s">
        <v>514</v>
      </c>
      <c r="F16" s="33">
        <v>0.32400000000000001</v>
      </c>
      <c r="G16" s="59" t="s">
        <v>51</v>
      </c>
      <c r="I16" s="32" t="s">
        <v>56</v>
      </c>
    </row>
    <row r="17" spans="3:12" outlineLevel="1">
      <c r="C17" s="38" t="s">
        <v>82</v>
      </c>
      <c r="D17" s="38"/>
      <c r="E17" s="28"/>
      <c r="F17" s="27"/>
      <c r="G17" s="59"/>
      <c r="I17" s="32"/>
    </row>
    <row r="18" spans="3:12" ht="19.5" outlineLevel="1">
      <c r="E18" s="114" t="s">
        <v>97</v>
      </c>
      <c r="F18" s="45">
        <f>F16*F15</f>
        <v>11.664</v>
      </c>
      <c r="G18" s="61" t="s">
        <v>81</v>
      </c>
      <c r="H18" s="31" t="str">
        <f>[3]!EQS(F18,"Units= ; EqnPrefix=Valem  ; EqnNo= 0; Multiplication= 1; ShowWorking= 1; EqnStyle=2; Eqp$G$17_0")</f>
        <v/>
      </c>
      <c r="I18" s="30" t="s">
        <v>83</v>
      </c>
      <c r="L18" s="26"/>
    </row>
    <row r="19" spans="3:12" outlineLevel="1">
      <c r="C19" s="35" t="s">
        <v>65</v>
      </c>
      <c r="F19" s="27"/>
      <c r="G19" s="59"/>
      <c r="I19" s="32"/>
    </row>
    <row r="20" spans="3:12" ht="16.5" customHeight="1" outlineLevel="1">
      <c r="E20" s="114" t="s">
        <v>57</v>
      </c>
      <c r="F20" s="42">
        <f>$F$6*LN(F15/$F$7)*$F$3</f>
        <v>26.251212335920307</v>
      </c>
      <c r="G20" s="59" t="s">
        <v>43</v>
      </c>
      <c r="H20" s="31" t="str">
        <f>[3]!EQS(F20,"Units= ; EqnPrefix=Valem  ; EqnNo= 0; Multiplication= 1; ShowWorking= 0; EqnStyle= 2; Eqp$H$21_2")</f>
        <v/>
      </c>
      <c r="I20" s="40" t="s">
        <v>526</v>
      </c>
      <c r="J20" s="31"/>
    </row>
    <row r="21" spans="3:12" ht="12" customHeight="1" outlineLevel="1">
      <c r="E21" s="28"/>
      <c r="F21" s="42"/>
      <c r="G21" s="59"/>
      <c r="H21" s="31" t="str">
        <f>[3]!EQS(F20,"Units= ; EqnPrefix=Valem  ; EqnNo= 0; Multiplication= 1; ShowWorking= 1; EqnStyle= 2; Eqp$H$21_$H$22_3")</f>
        <v/>
      </c>
      <c r="I21" s="40" t="s">
        <v>64</v>
      </c>
      <c r="J21" s="31"/>
    </row>
    <row r="22" spans="3:12" outlineLevel="1">
      <c r="C22" s="41" t="s">
        <v>77</v>
      </c>
      <c r="D22" s="41"/>
      <c r="F22" s="42"/>
      <c r="G22" s="59"/>
      <c r="H22" s="31"/>
      <c r="I22" s="40"/>
      <c r="J22" s="31"/>
    </row>
    <row r="23" spans="3:12" ht="19.5" outlineLevel="1">
      <c r="E23" s="114" t="s">
        <v>75</v>
      </c>
      <c r="F23" s="42">
        <f>1/2*$F$5*F20^2</f>
        <v>422.08976632716445</v>
      </c>
      <c r="G23" s="61" t="s">
        <v>76</v>
      </c>
      <c r="H23" s="31" t="str">
        <f>[3]!EQS(F23,"Units= ; EqnPrefix=Valem  ; EqnNo= 0; Multiplication= 1; ShowWorking= 0; EqnStyle= 2; Eqp$G$21_0")</f>
        <v/>
      </c>
      <c r="I23" s="40" t="s">
        <v>527</v>
      </c>
      <c r="J23" s="31"/>
    </row>
    <row r="24" spans="3:12" outlineLevel="1">
      <c r="E24" s="37"/>
      <c r="F24" s="42"/>
      <c r="G24" s="61"/>
      <c r="H24" s="31" t="str">
        <f>[3]!EQS(F23,"Units= ; EqnPrefix=Valem  ; EqnNo= 0; Multiplication= 1; ShowWorking= 1; EqnStyle= 2; Eqp$G$21_$G$25_1")</f>
        <v/>
      </c>
      <c r="I24" s="40" t="s">
        <v>528</v>
      </c>
      <c r="J24" s="31"/>
    </row>
    <row r="25" spans="3:12" outlineLevel="1">
      <c r="C25" s="35" t="s">
        <v>79</v>
      </c>
      <c r="E25" s="37"/>
      <c r="F25" s="42"/>
      <c r="G25" s="61"/>
      <c r="I25" s="40"/>
      <c r="J25" s="31"/>
    </row>
    <row r="26" spans="3:12" ht="19.5" outlineLevel="1">
      <c r="E26" s="114" t="s">
        <v>80</v>
      </c>
      <c r="F26" s="42">
        <f>(1+2.28/LN(F15/$F$7))^2</f>
        <v>1.8131807308313552</v>
      </c>
      <c r="G26" s="61"/>
      <c r="H26" s="31" t="str">
        <f>[3]!EQS(F26,"Units= ; EqnPrefix=Valem  ; EqnNo= 0; Multiplication= 1; ShowWorking= 0; EqnStyle= 2; Eqp$G$24_0")</f>
        <v/>
      </c>
      <c r="I26" s="40" t="s">
        <v>529</v>
      </c>
      <c r="J26" s="31"/>
    </row>
    <row r="27" spans="3:12" outlineLevel="1">
      <c r="E27" s="37"/>
      <c r="F27" s="42"/>
      <c r="G27" s="61"/>
      <c r="H27" s="31" t="str">
        <f>[3]!EQS(F26,"Units= ; EqnPrefix=Valem  ; EqnNo= 0; Multiplication= 1; ShowWorking= 1; EqnStyle= 2; Eqp$G$24_$G$28_1")</f>
        <v/>
      </c>
      <c r="I27" s="40" t="s">
        <v>530</v>
      </c>
      <c r="J27" s="31"/>
    </row>
    <row r="28" spans="3:12" outlineLevel="1">
      <c r="C28" s="23" t="s">
        <v>50</v>
      </c>
      <c r="D28" s="23"/>
      <c r="E28" s="37"/>
      <c r="F28" s="42"/>
      <c r="G28" s="61"/>
      <c r="J28" s="31"/>
    </row>
    <row r="29" spans="3:12" ht="19.5" outlineLevel="1">
      <c r="E29" s="28" t="s">
        <v>52</v>
      </c>
      <c r="F29" s="23">
        <v>1.1499999999999999</v>
      </c>
      <c r="J29" s="31"/>
    </row>
    <row r="30" spans="3:12" ht="19.5" outlineLevel="1">
      <c r="C30" s="39" t="s">
        <v>70</v>
      </c>
      <c r="D30" s="39"/>
      <c r="E30" s="24"/>
      <c r="F30" s="43"/>
      <c r="H30" s="31"/>
      <c r="I30" s="31"/>
      <c r="J30" s="31"/>
    </row>
    <row r="31" spans="3:12" outlineLevel="1">
      <c r="E31" s="114" t="s">
        <v>515</v>
      </c>
      <c r="F31" s="31">
        <f>15*10^-6</f>
        <v>1.4999999999999999E-5</v>
      </c>
      <c r="G31" s="61" t="s">
        <v>66</v>
      </c>
      <c r="H31" s="31"/>
      <c r="I31" s="41" t="s">
        <v>67</v>
      </c>
      <c r="J31" s="31"/>
    </row>
    <row r="32" spans="3:12" outlineLevel="1">
      <c r="E32" s="114" t="s">
        <v>516</v>
      </c>
      <c r="F32" s="31">
        <f>F16</f>
        <v>0.32400000000000001</v>
      </c>
      <c r="G32" s="61" t="s">
        <v>51</v>
      </c>
      <c r="H32" s="31"/>
      <c r="I32" s="41" t="s">
        <v>68</v>
      </c>
      <c r="J32" s="31"/>
    </row>
    <row r="33" spans="2:12" outlineLevel="1">
      <c r="C33" s="23"/>
      <c r="D33" s="41" t="s">
        <v>73</v>
      </c>
      <c r="E33" s="37"/>
      <c r="F33" s="31"/>
      <c r="G33" s="61"/>
      <c r="H33" s="31"/>
      <c r="I33" s="41"/>
      <c r="J33" s="31"/>
    </row>
    <row r="34" spans="2:12" outlineLevel="1">
      <c r="C34" s="23"/>
      <c r="E34" s="37" t="s">
        <v>69</v>
      </c>
      <c r="F34" s="44">
        <f>F32*F20/F31</f>
        <v>567026.18645587866</v>
      </c>
      <c r="H34" s="31" t="str">
        <f>[3]!EQS(F34,"Units= ; EqnPrefix=Valem  ; EqnNo= 0; Multiplication= 1; ShowWorking= 1; EqnStyle= 2; Eqp$G$27_0")</f>
        <v/>
      </c>
      <c r="I34" s="30" t="s">
        <v>78</v>
      </c>
      <c r="J34" s="31"/>
    </row>
    <row r="35" spans="2:12" outlineLevel="1">
      <c r="C35" s="23"/>
      <c r="E35" s="37" t="s">
        <v>71</v>
      </c>
      <c r="F35" s="44">
        <f>6.175*10^-4</f>
        <v>6.1749999999999999E-4</v>
      </c>
      <c r="H35" s="31"/>
      <c r="I35" s="41" t="s">
        <v>72</v>
      </c>
      <c r="J35" s="31"/>
    </row>
    <row r="36" spans="2:12" outlineLevel="1">
      <c r="C36" s="23"/>
      <c r="D36" s="41" t="s">
        <v>84</v>
      </c>
      <c r="E36" s="37"/>
      <c r="F36" s="44"/>
      <c r="H36" s="31"/>
      <c r="I36" s="41"/>
      <c r="J36" s="31"/>
    </row>
    <row r="37" spans="2:12" ht="19.5" outlineLevel="1">
      <c r="C37" s="23"/>
      <c r="E37" s="114" t="s">
        <v>74</v>
      </c>
      <c r="F37" s="42">
        <f>1.2+(0.18*LOG(10*F35))/(1+0.4*LOG(F34/10^6))</f>
        <v>0.75883386915863227</v>
      </c>
      <c r="H37" s="31" t="str">
        <f>[3]!EQS(F37,"Units= ; EqnPrefix=Valem  ; EqnNo= 0; Multiplication= 1; ShowWorking= 0; EqnStyle=2; Eqp$G$36_2")</f>
        <v/>
      </c>
      <c r="I37" s="30" t="s">
        <v>531</v>
      </c>
      <c r="J37" s="31"/>
    </row>
    <row r="38" spans="2:12" outlineLevel="1">
      <c r="C38" s="23"/>
      <c r="E38" s="31"/>
      <c r="F38" s="31"/>
      <c r="H38" s="31" t="str">
        <f>[3]!EQS(F37,"Units= ; EqnPrefix=Valem  ; EqnNo= 0; Multiplication= 1; ShowWorking= 1; EqnStyle=2; Eqp$G$36_$G$37_3")</f>
        <v/>
      </c>
      <c r="I38" s="40" t="s">
        <v>532</v>
      </c>
      <c r="J38" s="31"/>
    </row>
    <row r="39" spans="2:12">
      <c r="C39" s="35" t="s">
        <v>89</v>
      </c>
    </row>
    <row r="40" spans="2:12" ht="19.5">
      <c r="E40" s="114" t="s">
        <v>85</v>
      </c>
      <c r="F40" s="46">
        <f>F23*F26*F29*F37*F16</f>
        <v>216.38914697938665</v>
      </c>
      <c r="G40" s="61" t="s">
        <v>86</v>
      </c>
      <c r="H40" s="31" t="str">
        <f>[3]!EQS(F40,"Units= ; EqnPrefix=Valem  ; EqnNo= 0; Multiplication= 1; ShowWorking= 0; EqnStyle= 2; Eqp$G$39_0")</f>
        <v/>
      </c>
      <c r="I40" s="30" t="s">
        <v>533</v>
      </c>
    </row>
    <row r="41" spans="2:12">
      <c r="H41" s="23" t="str">
        <f>[3]!EQS(F40,"Units= ; EqnPrefix=Valem  ; EqnNo= 0; Multiplication= 1; ShowWorking= 1; EqnStyle= 2; Eqp$G$39_$G$40_1")</f>
        <v/>
      </c>
      <c r="I41" s="30" t="s">
        <v>88</v>
      </c>
    </row>
    <row r="42" spans="2:12">
      <c r="C42" s="35" t="s">
        <v>87</v>
      </c>
    </row>
    <row r="43" spans="2:12" ht="19.5">
      <c r="E43" s="114" t="s">
        <v>221</v>
      </c>
      <c r="F43" s="70">
        <f>COS(RADIANS(4))*F40</f>
        <v>215.86203389302534</v>
      </c>
      <c r="G43" s="84" t="s">
        <v>86</v>
      </c>
    </row>
    <row r="44" spans="2:12" ht="19.5">
      <c r="E44" s="114" t="s">
        <v>222</v>
      </c>
      <c r="F44" s="70">
        <f>SIN(RADIANS(4))*F40</f>
        <v>15.094543849781257</v>
      </c>
      <c r="G44" s="84" t="s">
        <v>86</v>
      </c>
    </row>
    <row r="46" spans="2:12">
      <c r="B46" s="72" t="s">
        <v>90</v>
      </c>
      <c r="C46" s="36"/>
      <c r="D46" s="36"/>
      <c r="E46" s="29"/>
      <c r="F46" s="29"/>
      <c r="G46" s="60"/>
      <c r="H46" s="29"/>
      <c r="I46" s="29"/>
      <c r="J46" s="29"/>
      <c r="K46" s="29"/>
      <c r="L46" s="29"/>
    </row>
    <row r="47" spans="2:12" outlineLevel="1">
      <c r="C47" s="35" t="s">
        <v>93</v>
      </c>
      <c r="E47" s="24"/>
    </row>
    <row r="48" spans="2:12" outlineLevel="1">
      <c r="E48" s="114" t="s">
        <v>517</v>
      </c>
      <c r="F48" s="33">
        <v>14</v>
      </c>
      <c r="G48" s="59" t="s">
        <v>51</v>
      </c>
      <c r="I48" s="38" t="s">
        <v>91</v>
      </c>
    </row>
    <row r="49" spans="3:10" outlineLevel="1">
      <c r="E49" s="114" t="s">
        <v>514</v>
      </c>
      <c r="F49" s="33">
        <v>0.27300000000000002</v>
      </c>
      <c r="G49" s="59" t="s">
        <v>51</v>
      </c>
      <c r="I49" s="38" t="s">
        <v>92</v>
      </c>
    </row>
    <row r="50" spans="3:10" outlineLevel="1">
      <c r="E50" s="114" t="s">
        <v>518</v>
      </c>
      <c r="F50" s="33">
        <v>15.5</v>
      </c>
      <c r="G50" s="61" t="s">
        <v>51</v>
      </c>
      <c r="I50" s="38" t="s">
        <v>94</v>
      </c>
    </row>
    <row r="51" spans="3:10" outlineLevel="1">
      <c r="C51" s="38" t="s">
        <v>99</v>
      </c>
      <c r="D51" s="38"/>
      <c r="E51" s="28"/>
      <c r="F51" s="27"/>
      <c r="G51" s="59"/>
      <c r="I51" s="32"/>
    </row>
    <row r="52" spans="3:10" ht="19.5" outlineLevel="1">
      <c r="E52" s="114" t="s">
        <v>140</v>
      </c>
      <c r="F52" s="45">
        <f>F49*F50</f>
        <v>4.2315000000000005</v>
      </c>
      <c r="G52" s="61" t="s">
        <v>81</v>
      </c>
      <c r="H52" s="31" t="str">
        <f>[3]!EQS(F52,"Units= ; EqnPrefix=Valem  ; EqnNo= 0; Multiplication= 1; ShowWorking= 1; EqnStyle=2; Eqp$G$17_0")</f>
        <v/>
      </c>
      <c r="I52" s="30" t="s">
        <v>95</v>
      </c>
    </row>
    <row r="53" spans="3:10" outlineLevel="1">
      <c r="C53" s="35" t="s">
        <v>65</v>
      </c>
      <c r="F53" s="27"/>
      <c r="G53" s="59"/>
      <c r="I53" s="32"/>
    </row>
    <row r="54" spans="3:10" outlineLevel="1">
      <c r="E54" s="28"/>
      <c r="F54" s="27"/>
      <c r="G54" s="59"/>
      <c r="I54" s="32"/>
    </row>
    <row r="55" spans="3:10" outlineLevel="1"/>
    <row r="56" spans="3:10" ht="16.5" customHeight="1" outlineLevel="1">
      <c r="E56" s="114" t="s">
        <v>57</v>
      </c>
      <c r="F56" s="42">
        <f>$F$6*LN(F48/$F$7)*$F$3</f>
        <v>22.482810516645301</v>
      </c>
      <c r="G56" s="59" t="s">
        <v>43</v>
      </c>
      <c r="H56" s="31" t="str">
        <f>[3]!EQS(F56,"Units= ; EqnPrefix=Valem  ; EqnNo= 0; Multiplication= 1; ShowWorking= 0; EqnStyle= 2; Eqp$H$54_2")</f>
        <v/>
      </c>
      <c r="I56" s="40" t="s">
        <v>534</v>
      </c>
      <c r="J56" s="31"/>
    </row>
    <row r="57" spans="3:10" ht="12" customHeight="1" outlineLevel="1">
      <c r="E57" s="28"/>
      <c r="F57" s="42"/>
      <c r="G57" s="59"/>
      <c r="H57" s="31" t="str">
        <f>[3]!EQS(F56,"Units= ; EqnPrefix=Valem  ; EqnNo= 0; Multiplication= 1; ShowWorking= 1; EqnStyle= 2; Eqp$H$54_$H$55_3")</f>
        <v/>
      </c>
      <c r="I57" s="40" t="s">
        <v>102</v>
      </c>
      <c r="J57" s="31"/>
    </row>
    <row r="58" spans="3:10" outlineLevel="1">
      <c r="C58" s="41" t="s">
        <v>77</v>
      </c>
      <c r="D58" s="41"/>
      <c r="F58" s="42"/>
      <c r="G58" s="59"/>
      <c r="H58" s="31"/>
      <c r="I58" s="40"/>
      <c r="J58" s="31"/>
    </row>
    <row r="59" spans="3:10" ht="19.5" outlineLevel="1">
      <c r="E59" s="114" t="s">
        <v>75</v>
      </c>
      <c r="F59" s="42">
        <f>1/2*$F$5*F56^2</f>
        <v>309.60452084551815</v>
      </c>
      <c r="G59" s="61" t="s">
        <v>76</v>
      </c>
      <c r="H59" s="31" t="str">
        <f>[3]!EQS(F59,"Units= ; EqnPrefix=Valem  ; EqnNo= 0; Multiplication= 1; ShowWorking= 0; EqnStyle= 2; Eqp$G$21_0")</f>
        <v/>
      </c>
      <c r="I59" s="40" t="s">
        <v>527</v>
      </c>
      <c r="J59" s="31"/>
    </row>
    <row r="60" spans="3:10" outlineLevel="1">
      <c r="E60" s="37"/>
      <c r="F60" s="42"/>
      <c r="G60" s="61"/>
      <c r="H60" s="31" t="str">
        <f>[3]!EQS(F59,"Units= ; EqnPrefix=Valem  ; EqnNo= 0; Multiplication= 1; ShowWorking= 1; EqnStyle= 2; Eqp$G$21_$G$25_1")</f>
        <v/>
      </c>
      <c r="I60" s="40" t="s">
        <v>535</v>
      </c>
      <c r="J60" s="31"/>
    </row>
    <row r="61" spans="3:10" outlineLevel="1">
      <c r="C61" s="35" t="s">
        <v>79</v>
      </c>
      <c r="E61" s="37"/>
      <c r="F61" s="42"/>
      <c r="G61" s="61"/>
      <c r="I61" s="40"/>
      <c r="J61" s="31"/>
    </row>
    <row r="62" spans="3:10" ht="19.5" outlineLevel="1">
      <c r="E62" s="114" t="s">
        <v>80</v>
      </c>
      <c r="F62" s="42">
        <f>(1+2.28/LN(F48/$F$7))^2</f>
        <v>1.9729829854343099</v>
      </c>
      <c r="G62" s="61"/>
      <c r="H62" s="31" t="str">
        <f>[3]!EQS(F62,"Units= ; EqnPrefix=Valem  ; EqnNo= 0; Multiplication= 1; ShowWorking= 0; EqnStyle= 2; Eqp$G$24_0")</f>
        <v/>
      </c>
      <c r="I62" s="40" t="s">
        <v>536</v>
      </c>
      <c r="J62" s="31"/>
    </row>
    <row r="63" spans="3:10" outlineLevel="1">
      <c r="E63" s="37"/>
      <c r="F63" s="42"/>
      <c r="G63" s="61"/>
      <c r="H63" s="31" t="str">
        <f>[3]!EQS(F62,"Units= ; EqnPrefix=Valem  ; EqnNo= 0; Multiplication= 1; ShowWorking= 1; EqnStyle= 2; Eqp$G$24_$G$28_1")</f>
        <v/>
      </c>
      <c r="I63" s="40" t="s">
        <v>537</v>
      </c>
      <c r="J63" s="31"/>
    </row>
    <row r="64" spans="3:10" outlineLevel="1">
      <c r="C64" s="23" t="s">
        <v>50</v>
      </c>
      <c r="D64" s="23"/>
      <c r="E64" s="37"/>
      <c r="F64" s="42"/>
      <c r="G64" s="61"/>
      <c r="J64" s="31"/>
    </row>
    <row r="65" spans="3:10" ht="19.5" outlineLevel="1">
      <c r="E65" s="28" t="s">
        <v>52</v>
      </c>
      <c r="F65" s="23">
        <v>1.1499999999999999</v>
      </c>
      <c r="J65" s="31"/>
    </row>
    <row r="66" spans="3:10" ht="19.5" outlineLevel="1">
      <c r="C66" s="56" t="s">
        <v>139</v>
      </c>
      <c r="D66" s="39"/>
      <c r="E66" s="24"/>
      <c r="F66" s="43"/>
      <c r="H66" s="31"/>
      <c r="I66" s="31"/>
      <c r="J66" s="31"/>
    </row>
    <row r="67" spans="3:10" outlineLevel="1">
      <c r="E67" s="114" t="s">
        <v>515</v>
      </c>
      <c r="F67" s="31">
        <f>15*10^-6</f>
        <v>1.4999999999999999E-5</v>
      </c>
      <c r="G67" s="61" t="s">
        <v>66</v>
      </c>
      <c r="H67" s="31"/>
      <c r="I67" s="41" t="s">
        <v>67</v>
      </c>
      <c r="J67" s="31"/>
    </row>
    <row r="68" spans="3:10" outlineLevel="1">
      <c r="E68" s="114" t="s">
        <v>516</v>
      </c>
      <c r="F68" s="31">
        <f>F49</f>
        <v>0.27300000000000002</v>
      </c>
      <c r="G68" s="61" t="s">
        <v>51</v>
      </c>
      <c r="H68" s="31"/>
      <c r="I68" s="41" t="s">
        <v>68</v>
      </c>
      <c r="J68" s="31"/>
    </row>
    <row r="69" spans="3:10" outlineLevel="1">
      <c r="C69" s="23"/>
      <c r="D69" s="41" t="s">
        <v>73</v>
      </c>
      <c r="E69" s="37"/>
      <c r="F69" s="31"/>
      <c r="G69" s="61"/>
      <c r="H69" s="31"/>
      <c r="I69" s="41"/>
      <c r="J69" s="31"/>
    </row>
    <row r="70" spans="3:10" ht="19.5" outlineLevel="1">
      <c r="C70" s="23"/>
      <c r="E70" s="37" t="s">
        <v>69</v>
      </c>
      <c r="F70" s="44">
        <f>F68*F56/F67</f>
        <v>409187.15140294458</v>
      </c>
      <c r="H70" s="31" t="str">
        <f>[3]!EQS(F70,"Units= ; EqnPrefix=Valem  ; EqnNo= 0; Multiplication= 1; ShowWorking= 0; EqnStyle= 2; Eqp$G$27_0")</f>
        <v/>
      </c>
      <c r="I70" s="30" t="s">
        <v>538</v>
      </c>
      <c r="J70" s="31"/>
    </row>
    <row r="71" spans="3:10" outlineLevel="1">
      <c r="C71" s="23"/>
      <c r="E71" s="37"/>
      <c r="F71" s="44"/>
      <c r="H71" s="31" t="str">
        <f>[3]!EQS(F70,"Units= ; EqnPrefix=Valem  ; EqnNo= 0; Multiplication= 1; ShowWorking= 1; EqnStyle= 2; Eqp$G$27_$H$69_1")</f>
        <v/>
      </c>
      <c r="I71" s="30" t="s">
        <v>96</v>
      </c>
      <c r="J71" s="31"/>
    </row>
    <row r="72" spans="3:10" outlineLevel="1">
      <c r="C72" s="23"/>
      <c r="E72" s="37" t="s">
        <v>71</v>
      </c>
      <c r="F72" s="47">
        <f>0.2/F49*1000</f>
        <v>732.6007326007325</v>
      </c>
      <c r="H72" s="31"/>
      <c r="I72" s="41" t="s">
        <v>72</v>
      </c>
      <c r="J72" s="31"/>
    </row>
    <row r="73" spans="3:10" outlineLevel="1">
      <c r="C73" s="23"/>
      <c r="D73" s="41" t="s">
        <v>84</v>
      </c>
      <c r="E73" s="37"/>
      <c r="F73" s="44"/>
      <c r="H73" s="31"/>
      <c r="I73" s="41"/>
      <c r="J73" s="31"/>
    </row>
    <row r="74" spans="3:10" ht="19.5" outlineLevel="1">
      <c r="E74" s="114" t="s">
        <v>138</v>
      </c>
      <c r="F74" s="42">
        <f>1.2+(0.18*LOG(10*F72))/(1+0.4*LOG(F70/10^6))</f>
        <v>2.0235106772562297</v>
      </c>
      <c r="H74" s="31" t="str">
        <f>[3]!EQS(F74,"Units= ; EqnPrefix=Valem  ; EqnNo= 0; Multiplication= 1; ShowWorking= 0; EqnStyle=2; Eqp$G$36_2")</f>
        <v/>
      </c>
      <c r="I74" s="30" t="s">
        <v>531</v>
      </c>
      <c r="J74" s="31"/>
    </row>
    <row r="75" spans="3:10" outlineLevel="1">
      <c r="E75" s="31"/>
      <c r="F75" s="31"/>
      <c r="H75" s="31" t="str">
        <f>[3]!EQS(F74,"Units= ; EqnPrefix=Valem  ; EqnNo= 0; Multiplication= 1; ShowWorking= 1; EqnStyle=2; Eqp$G$36_$G$37_3")</f>
        <v/>
      </c>
      <c r="I75" s="40" t="s">
        <v>539</v>
      </c>
      <c r="J75" s="31"/>
    </row>
    <row r="76" spans="3:10" outlineLevel="1">
      <c r="C76" s="35" t="s">
        <v>104</v>
      </c>
      <c r="E76" s="31"/>
      <c r="F76" s="31"/>
      <c r="H76" s="31"/>
      <c r="I76" s="40"/>
      <c r="J76" s="31"/>
    </row>
    <row r="77" spans="3:10" ht="19.5" outlineLevel="1">
      <c r="E77" s="115" t="s">
        <v>105</v>
      </c>
      <c r="F77" s="126">
        <f>COS(RADIANS(86))^2</f>
        <v>4.8659656292148329E-3</v>
      </c>
      <c r="H77" s="31" t="str">
        <f>[3]!EQS(F77,"Units= ; EqnPrefix=Valem  ; EqnNo= 0; Multiplication= 1; ShowWorking= 0; EqnStyle= 2; Eqp$H$75_2")</f>
        <v/>
      </c>
      <c r="I77" s="40" t="s">
        <v>540</v>
      </c>
      <c r="J77" s="31"/>
    </row>
    <row r="78" spans="3:10">
      <c r="C78" s="35" t="s">
        <v>103</v>
      </c>
    </row>
    <row r="79" spans="3:10" ht="19.5">
      <c r="E79" s="114" t="s">
        <v>137</v>
      </c>
      <c r="F79" s="46">
        <f>F59*F62*F65*F74*F49*F77</f>
        <v>1.8882768045303107</v>
      </c>
      <c r="G79" s="61" t="s">
        <v>86</v>
      </c>
      <c r="H79" s="31" t="str">
        <f>[3]!EQS(F79,"Units= ; EqnPrefix=Valem  ; EqnNo= 0; Multiplication= 1; ShowWorking= 0; EqnStyle= 2; Eqp$G$39_0")</f>
        <v/>
      </c>
      <c r="I79" s="30" t="s">
        <v>541</v>
      </c>
    </row>
    <row r="80" spans="3:10">
      <c r="H80" s="23" t="str">
        <f>[3]!EQS(F79,"Units= ; EqnPrefix=Valem  ; EqnNo= 0; Multiplication= 1; ShowWorking= 1; EqnStyle= 2; Eqp$G$39_$G$40_1")</f>
        <v/>
      </c>
      <c r="I80" s="30" t="s">
        <v>106</v>
      </c>
    </row>
    <row r="83" spans="2:12">
      <c r="B83" s="73" t="s">
        <v>107</v>
      </c>
      <c r="C83" s="36"/>
      <c r="D83" s="36"/>
      <c r="E83" s="29"/>
      <c r="F83" s="29"/>
      <c r="G83" s="60"/>
      <c r="H83" s="29"/>
      <c r="I83" s="29"/>
      <c r="J83" s="29"/>
      <c r="K83" s="29"/>
      <c r="L83" s="29"/>
    </row>
    <row r="84" spans="2:12" outlineLevel="1">
      <c r="C84" s="35" t="s">
        <v>108</v>
      </c>
      <c r="E84" s="24"/>
    </row>
    <row r="85" spans="2:12" outlineLevel="1">
      <c r="E85" s="114" t="s">
        <v>517</v>
      </c>
      <c r="F85" s="33">
        <v>28</v>
      </c>
      <c r="G85" s="59" t="s">
        <v>51</v>
      </c>
      <c r="I85" s="38" t="s">
        <v>109</v>
      </c>
    </row>
    <row r="86" spans="2:12" outlineLevel="1">
      <c r="E86" s="114" t="s">
        <v>519</v>
      </c>
      <c r="F86" s="33">
        <v>0.22</v>
      </c>
      <c r="G86" s="59" t="s">
        <v>51</v>
      </c>
      <c r="I86" s="38" t="s">
        <v>110</v>
      </c>
    </row>
    <row r="87" spans="2:12" outlineLevel="1">
      <c r="E87" s="114" t="s">
        <v>518</v>
      </c>
      <c r="F87" s="33">
        <v>23</v>
      </c>
      <c r="G87" s="61" t="s">
        <v>51</v>
      </c>
      <c r="I87" s="38" t="s">
        <v>94</v>
      </c>
    </row>
    <row r="88" spans="2:12" outlineLevel="1">
      <c r="C88" s="38" t="s">
        <v>99</v>
      </c>
      <c r="D88" s="38"/>
      <c r="E88" s="28"/>
      <c r="F88" s="27"/>
      <c r="G88" s="59"/>
      <c r="I88" s="32"/>
    </row>
    <row r="89" spans="2:12" ht="19.5" outlineLevel="1">
      <c r="E89" s="114" t="s">
        <v>98</v>
      </c>
      <c r="F89" s="45">
        <f>F86*F87</f>
        <v>5.0599999999999996</v>
      </c>
      <c r="G89" s="61" t="s">
        <v>81</v>
      </c>
      <c r="H89" s="31" t="str">
        <f>[3]!EQS(F89,"Units= ; EqnPrefix=Valem  ; EqnNo= 0; Multiplication= 1; ShowWorking= 1; EqnStyle=2; Eqp$G$17_0")</f>
        <v/>
      </c>
      <c r="I89" s="30" t="s">
        <v>121</v>
      </c>
    </row>
    <row r="90" spans="2:12" outlineLevel="1">
      <c r="C90" s="48" t="s">
        <v>112</v>
      </c>
      <c r="E90" s="37"/>
      <c r="F90" s="45"/>
      <c r="G90" s="61"/>
      <c r="H90" s="31"/>
      <c r="I90" s="30"/>
    </row>
    <row r="91" spans="2:12" outlineLevel="1">
      <c r="C91" s="35" t="s">
        <v>65</v>
      </c>
      <c r="F91" s="27"/>
      <c r="G91" s="59"/>
      <c r="I91" s="32"/>
    </row>
    <row r="92" spans="2:12" outlineLevel="1">
      <c r="E92" s="28"/>
      <c r="F92" s="27"/>
      <c r="G92" s="59"/>
      <c r="I92" s="32"/>
    </row>
    <row r="93" spans="2:12" outlineLevel="1"/>
    <row r="94" spans="2:12" ht="16.5" customHeight="1" outlineLevel="1">
      <c r="E94" s="114" t="s">
        <v>57</v>
      </c>
      <c r="F94" s="42">
        <f>$F$6*LN(F85/$F$7)*$F$3</f>
        <v>25.248467767079489</v>
      </c>
      <c r="G94" s="59" t="s">
        <v>43</v>
      </c>
      <c r="H94" s="31" t="str">
        <f>[3]!EQS(F94,"Units= ; EqnPrefix=Valem  ; EqnNo= 0; Multiplication= 1; ShowWorking= 0; EqnStyle= 2; Eqp$H$54_2")</f>
        <v/>
      </c>
      <c r="I94" s="40" t="s">
        <v>534</v>
      </c>
      <c r="J94" s="31"/>
    </row>
    <row r="95" spans="2:12" ht="12" customHeight="1" outlineLevel="1">
      <c r="E95" s="28"/>
      <c r="F95" s="42"/>
      <c r="G95" s="59"/>
      <c r="H95" s="31" t="str">
        <f>[3]!EQS(F94,"Units= ; EqnPrefix=Valem  ; EqnNo= 0; Multiplication= 1; ShowWorking= 1; EqnStyle= 2; Eqp$H$54_$H$55_3")</f>
        <v/>
      </c>
      <c r="I95" s="40" t="s">
        <v>111</v>
      </c>
      <c r="J95" s="31"/>
    </row>
    <row r="96" spans="2:12" outlineLevel="1">
      <c r="C96" s="41" t="s">
        <v>77</v>
      </c>
      <c r="D96" s="41"/>
      <c r="F96" s="42"/>
      <c r="G96" s="59"/>
      <c r="H96" s="31"/>
      <c r="I96" s="40"/>
      <c r="J96" s="31"/>
    </row>
    <row r="97" spans="3:10" ht="19.5" outlineLevel="1">
      <c r="E97" s="114" t="s">
        <v>75</v>
      </c>
      <c r="F97" s="42">
        <f>1/2*$F$5*F94^2</f>
        <v>390.45963880846682</v>
      </c>
      <c r="G97" s="61" t="s">
        <v>76</v>
      </c>
      <c r="H97" s="31" t="str">
        <f>[3]!EQS(F97,"Units= ; EqnPrefix=Valem  ; EqnNo= 0; Multiplication= 1; ShowWorking= 0; EqnStyle= 2; Eqp$G$21_0")</f>
        <v/>
      </c>
      <c r="I97" s="40" t="s">
        <v>527</v>
      </c>
      <c r="J97" s="31"/>
    </row>
    <row r="98" spans="3:10" outlineLevel="1">
      <c r="E98" s="37"/>
      <c r="F98" s="42"/>
      <c r="G98" s="61"/>
      <c r="H98" s="31" t="str">
        <f>[3]!EQS(F97,"Units= ; EqnPrefix=Valem  ; EqnNo= 0; Multiplication= 1; ShowWorking= 1; EqnStyle= 2; Eqp$G$21_$G$25_1")</f>
        <v/>
      </c>
      <c r="I98" s="40" t="s">
        <v>542</v>
      </c>
      <c r="J98" s="31"/>
    </row>
    <row r="99" spans="3:10" outlineLevel="1">
      <c r="C99" s="35" t="s">
        <v>79</v>
      </c>
      <c r="E99" s="37"/>
      <c r="F99" s="42"/>
      <c r="G99" s="61"/>
      <c r="I99" s="40"/>
      <c r="J99" s="31"/>
    </row>
    <row r="100" spans="3:10" ht="19.5" outlineLevel="1">
      <c r="E100" s="114" t="s">
        <v>80</v>
      </c>
      <c r="F100" s="42">
        <f>(1+2.28/LN(F85/$F$7))^2</f>
        <v>1.8504351691877789</v>
      </c>
      <c r="G100" s="61"/>
      <c r="H100" s="31" t="str">
        <f>[3]!EQS(F100,"Units= ; EqnPrefix=Valem  ; EqnNo= 0; Multiplication= 1; ShowWorking= 0; EqnStyle= 2; Eqp$G$24_0")</f>
        <v/>
      </c>
      <c r="I100" s="40" t="s">
        <v>536</v>
      </c>
      <c r="J100" s="31"/>
    </row>
    <row r="101" spans="3:10" outlineLevel="1">
      <c r="E101" s="37"/>
      <c r="F101" s="42"/>
      <c r="G101" s="61"/>
      <c r="H101" s="31" t="str">
        <f>[3]!EQS(F100,"Units= ; EqnPrefix=Valem  ; EqnNo= 0; Multiplication= 1; ShowWorking= 1; EqnStyle= 2; Eqp$G$24_$G$28_1")</f>
        <v/>
      </c>
      <c r="I101" s="40" t="s">
        <v>543</v>
      </c>
      <c r="J101" s="31"/>
    </row>
    <row r="102" spans="3:10" outlineLevel="1">
      <c r="C102" s="23" t="s">
        <v>50</v>
      </c>
      <c r="D102" s="23"/>
      <c r="E102" s="37"/>
      <c r="F102" s="42"/>
      <c r="G102" s="61"/>
      <c r="J102" s="31"/>
    </row>
    <row r="103" spans="3:10" ht="19.5" outlineLevel="1">
      <c r="E103" s="28" t="s">
        <v>52</v>
      </c>
      <c r="F103" s="23">
        <v>1.1499999999999999</v>
      </c>
      <c r="J103" s="31"/>
    </row>
    <row r="104" spans="3:10" ht="19.5" outlineLevel="1">
      <c r="C104" s="49" t="s">
        <v>113</v>
      </c>
      <c r="D104" s="39"/>
      <c r="E104" s="24"/>
      <c r="F104" s="43"/>
      <c r="H104" s="31"/>
      <c r="I104" s="31"/>
      <c r="J104" s="31"/>
    </row>
    <row r="105" spans="3:10" outlineLevel="1">
      <c r="C105" s="23"/>
      <c r="D105" s="41" t="s">
        <v>84</v>
      </c>
      <c r="E105" s="37"/>
      <c r="F105" s="44"/>
      <c r="H105" s="31"/>
      <c r="I105" s="41"/>
      <c r="J105" s="31"/>
    </row>
    <row r="106" spans="3:10" ht="19.5" outlineLevel="1">
      <c r="E106" s="114" t="s">
        <v>115</v>
      </c>
      <c r="F106" s="42">
        <v>2</v>
      </c>
      <c r="H106" s="31"/>
      <c r="I106" s="30"/>
      <c r="J106" s="31"/>
    </row>
    <row r="107" spans="3:10" outlineLevel="1">
      <c r="D107" s="48" t="s">
        <v>116</v>
      </c>
      <c r="E107" s="31"/>
      <c r="F107" s="31"/>
      <c r="H107" s="31"/>
      <c r="I107" s="40"/>
      <c r="J107" s="31"/>
    </row>
    <row r="108" spans="3:10" outlineLevel="1">
      <c r="D108" s="48"/>
      <c r="E108" s="115" t="s">
        <v>520</v>
      </c>
      <c r="F108" s="51">
        <f>MIN(70,2*F87/F86)</f>
        <v>70</v>
      </c>
      <c r="H108" s="31"/>
      <c r="I108" s="40"/>
      <c r="J108" s="31"/>
    </row>
    <row r="109" spans="3:10" outlineLevel="1">
      <c r="D109" s="48" t="s">
        <v>117</v>
      </c>
      <c r="E109" s="31"/>
      <c r="F109" s="31"/>
      <c r="H109" s="31"/>
      <c r="I109" s="40"/>
      <c r="J109" s="31"/>
    </row>
    <row r="110" spans="3:10" outlineLevel="1">
      <c r="D110" s="48"/>
      <c r="E110" s="115" t="s">
        <v>521</v>
      </c>
      <c r="F110" s="31">
        <v>1</v>
      </c>
      <c r="H110" s="31"/>
      <c r="I110" s="40"/>
      <c r="J110" s="31"/>
    </row>
    <row r="111" spans="3:10" outlineLevel="1">
      <c r="D111" s="49" t="s">
        <v>119</v>
      </c>
      <c r="F111" s="31"/>
      <c r="H111" s="31"/>
      <c r="I111" s="40"/>
      <c r="J111" s="31"/>
    </row>
    <row r="112" spans="3:10" ht="19.5" outlineLevel="1">
      <c r="E112" s="115" t="s">
        <v>118</v>
      </c>
      <c r="F112" s="23">
        <v>0.92</v>
      </c>
      <c r="H112" s="31"/>
      <c r="I112" s="40"/>
      <c r="J112" s="31"/>
    </row>
    <row r="113" spans="2:12" outlineLevel="1">
      <c r="C113" s="48" t="s">
        <v>120</v>
      </c>
      <c r="E113" s="31"/>
      <c r="F113" s="50"/>
      <c r="H113" s="31"/>
      <c r="I113" s="40"/>
      <c r="J113" s="31"/>
    </row>
    <row r="114" spans="2:12" ht="19.5" outlineLevel="1">
      <c r="E114" s="114" t="s">
        <v>114</v>
      </c>
      <c r="F114" s="52">
        <f>F106*F112</f>
        <v>1.84</v>
      </c>
      <c r="H114" s="31" t="str">
        <f>[3]!EQS(F114,"Units= ; EqnPrefix=Valem  ; EqnNo= 0; Multiplication= 1; ShowWorking= 0; EqnStyle= 2; Eqp$H$119_2")</f>
        <v/>
      </c>
      <c r="I114" s="40" t="s">
        <v>544</v>
      </c>
      <c r="J114" s="31"/>
    </row>
    <row r="115" spans="2:12" outlineLevel="1">
      <c r="E115" s="31"/>
      <c r="F115" s="50"/>
      <c r="H115" s="31" t="str">
        <f>[3]!EQS(F114,"Units= ; EqnPrefix=Valem  ; EqnNo= 0; Multiplication= 1; ShowWorking= 1; EqnStyle= 2; Eqp$H$119_$H$120_3")</f>
        <v/>
      </c>
      <c r="I115" s="40" t="s">
        <v>130</v>
      </c>
      <c r="J115" s="31"/>
    </row>
    <row r="116" spans="2:12" outlineLevel="1">
      <c r="C116" s="35" t="s">
        <v>104</v>
      </c>
      <c r="E116" s="31"/>
      <c r="F116" s="31"/>
      <c r="H116" s="31"/>
      <c r="I116" s="40"/>
      <c r="J116" s="31"/>
    </row>
    <row r="117" spans="2:12" ht="19.5" outlineLevel="1">
      <c r="E117" s="115" t="s">
        <v>105</v>
      </c>
      <c r="F117" s="125">
        <f>COS(RADIANS(86))^2</f>
        <v>4.8659656292148329E-3</v>
      </c>
      <c r="H117" s="31" t="str">
        <f>[3]!EQS(F117,"Units= ; EqnPrefix=Valem  ; EqnNo= 0; Multiplication= 1; ShowWorking= 0; EqnStyle= 2; Eqp$H$75_2")</f>
        <v/>
      </c>
      <c r="I117" s="40" t="s">
        <v>540</v>
      </c>
      <c r="J117" s="31"/>
    </row>
    <row r="118" spans="2:12" outlineLevel="1">
      <c r="C118" s="48" t="s">
        <v>122</v>
      </c>
    </row>
    <row r="119" spans="2:12" ht="19.5">
      <c r="E119" s="114" t="s">
        <v>136</v>
      </c>
      <c r="F119" s="46">
        <f>F97*F100*F103*F114*F86*F117</f>
        <v>1.6366559863949766</v>
      </c>
      <c r="G119" s="61" t="s">
        <v>86</v>
      </c>
      <c r="H119" s="31" t="str">
        <f>[3]!EQS(F119,"Units= ; EqnPrefix=Valem  ; EqnNo= 0; Multiplication= 1; ShowWorking= 0; EqnStyle= 2; Eqp$G$39_0")</f>
        <v/>
      </c>
      <c r="I119" s="30" t="s">
        <v>545</v>
      </c>
    </row>
    <row r="120" spans="2:12">
      <c r="H120" s="23" t="str">
        <f>[3]!EQS(F119,"Units= ; EqnPrefix=Valem  ; EqnNo= 0; Multiplication= 1; ShowWorking= 1; EqnStyle= 2; Eqp$G$39_$G$40_1")</f>
        <v/>
      </c>
      <c r="I120" s="30" t="s">
        <v>131</v>
      </c>
    </row>
    <row r="123" spans="2:12">
      <c r="B123" s="73" t="s">
        <v>123</v>
      </c>
      <c r="C123" s="36"/>
      <c r="D123" s="36"/>
      <c r="E123" s="29"/>
      <c r="F123" s="29"/>
      <c r="G123" s="60"/>
      <c r="H123" s="29"/>
      <c r="I123" s="29"/>
      <c r="J123" s="29"/>
      <c r="K123" s="29"/>
      <c r="L123" s="29"/>
    </row>
    <row r="124" spans="2:12" outlineLevel="1">
      <c r="C124" s="57" t="s">
        <v>141</v>
      </c>
      <c r="E124" s="24"/>
    </row>
    <row r="125" spans="2:12" outlineLevel="1">
      <c r="E125" s="114" t="s">
        <v>517</v>
      </c>
      <c r="F125" s="33">
        <v>36</v>
      </c>
      <c r="G125" s="59" t="s">
        <v>51</v>
      </c>
      <c r="I125" s="38" t="s">
        <v>109</v>
      </c>
    </row>
    <row r="126" spans="2:12" outlineLevel="1">
      <c r="E126" s="114" t="s">
        <v>519</v>
      </c>
      <c r="F126" s="33">
        <v>0.25</v>
      </c>
      <c r="G126" s="59" t="s">
        <v>51</v>
      </c>
    </row>
    <row r="127" spans="2:12" outlineLevel="1">
      <c r="E127" s="114" t="s">
        <v>516</v>
      </c>
      <c r="F127" s="33">
        <v>0.25</v>
      </c>
      <c r="G127" s="62" t="s">
        <v>51</v>
      </c>
      <c r="I127" s="54" t="s">
        <v>124</v>
      </c>
    </row>
    <row r="128" spans="2:12" outlineLevel="1">
      <c r="E128" s="114" t="s">
        <v>518</v>
      </c>
      <c r="F128" s="33">
        <v>23</v>
      </c>
      <c r="G128" s="61" t="s">
        <v>51</v>
      </c>
      <c r="I128" s="38" t="s">
        <v>94</v>
      </c>
    </row>
    <row r="129" spans="3:10" outlineLevel="1">
      <c r="C129" s="38" t="s">
        <v>99</v>
      </c>
      <c r="D129" s="38"/>
      <c r="E129" s="28"/>
      <c r="F129" s="27"/>
      <c r="G129" s="59"/>
      <c r="I129" s="32"/>
    </row>
    <row r="130" spans="3:10" ht="19.5" outlineLevel="1">
      <c r="E130" s="114" t="s">
        <v>98</v>
      </c>
      <c r="F130" s="45">
        <f>F126*F128</f>
        <v>5.75</v>
      </c>
      <c r="G130" s="61" t="s">
        <v>81</v>
      </c>
      <c r="H130" s="31" t="str">
        <f>[3]!EQS(F130,"Units= ; EqnPrefix=Valem  ; EqnNo= 0; Multiplication= 1; ShowWorking= 1; EqnStyle=2; Eqp$G$17_0")</f>
        <v/>
      </c>
      <c r="I130" s="30" t="s">
        <v>127</v>
      </c>
    </row>
    <row r="131" spans="3:10" outlineLevel="1">
      <c r="C131" s="57" t="s">
        <v>165</v>
      </c>
      <c r="E131" s="37"/>
      <c r="F131" s="45"/>
      <c r="G131" s="61"/>
      <c r="H131" s="31"/>
      <c r="I131" s="30"/>
    </row>
    <row r="132" spans="3:10" ht="19.5" outlineLevel="1">
      <c r="C132" s="48"/>
      <c r="E132" s="114" t="s">
        <v>125</v>
      </c>
      <c r="F132" s="45">
        <f>F127*F126</f>
        <v>6.25E-2</v>
      </c>
      <c r="G132" s="61" t="s">
        <v>81</v>
      </c>
      <c r="H132" s="31" t="str">
        <f>[3]!EQS(F132,"Units= ; EqnPrefix=Valem  ; EqnNo= 0; Multiplication= 1; ShowWorking= 1; EqnStyle= 2; Eqp$H$137_2")</f>
        <v/>
      </c>
      <c r="I132" s="30" t="s">
        <v>128</v>
      </c>
    </row>
    <row r="133" spans="3:10" outlineLevel="1">
      <c r="C133" s="35" t="s">
        <v>65</v>
      </c>
      <c r="F133" s="27"/>
      <c r="G133" s="59"/>
      <c r="I133" s="32"/>
    </row>
    <row r="134" spans="3:10" outlineLevel="1">
      <c r="E134" s="28"/>
      <c r="F134" s="27"/>
      <c r="G134" s="59"/>
      <c r="I134" s="32"/>
    </row>
    <row r="135" spans="3:10" outlineLevel="1"/>
    <row r="136" spans="3:10" ht="19.5" outlineLevel="1">
      <c r="E136" s="114" t="s">
        <v>57</v>
      </c>
      <c r="F136" s="42">
        <f>$F$6*LN(F125/$F$7)*$F$3</f>
        <v>26.251212335920307</v>
      </c>
      <c r="G136" s="59" t="s">
        <v>43</v>
      </c>
      <c r="H136" s="31" t="str">
        <f>[3]!EQS(F136,"Units= ; EqnPrefix=Valem  ; EqnNo= 0; Multiplication= 1; ShowWorking= 0; EqnStyle= 2; Eqp$H$54_2")</f>
        <v/>
      </c>
      <c r="I136" s="40" t="s">
        <v>534</v>
      </c>
      <c r="J136" s="31"/>
    </row>
    <row r="137" spans="3:10" outlineLevel="1">
      <c r="E137" s="28"/>
      <c r="F137" s="42"/>
      <c r="G137" s="59"/>
      <c r="H137" s="31" t="str">
        <f>[3]!EQS(F136,"Units= ; EqnPrefix=Valem  ; EqnNo= 0; Multiplication= 1; ShowWorking= 1; EqnStyle= 2; Eqp$H$54_$H$55_3")</f>
        <v/>
      </c>
      <c r="I137" s="40" t="s">
        <v>64</v>
      </c>
      <c r="J137" s="31"/>
    </row>
    <row r="138" spans="3:10" outlineLevel="1">
      <c r="C138" s="41" t="s">
        <v>77</v>
      </c>
      <c r="D138" s="41"/>
      <c r="F138" s="42"/>
      <c r="G138" s="59"/>
      <c r="H138" s="31"/>
      <c r="I138" s="40"/>
      <c r="J138" s="31"/>
    </row>
    <row r="139" spans="3:10" ht="19.5" outlineLevel="1">
      <c r="E139" s="114" t="s">
        <v>75</v>
      </c>
      <c r="F139" s="42">
        <f>1/2*$F$5*F136^2</f>
        <v>422.08976632716445</v>
      </c>
      <c r="G139" s="61" t="s">
        <v>76</v>
      </c>
      <c r="H139" s="31" t="str">
        <f>[3]!EQS(F139,"Units= ; EqnPrefix=Valem  ; EqnNo= 0; Multiplication= 1; ShowWorking= 0; EqnStyle= 2; Eqp$G$21_0")</f>
        <v/>
      </c>
      <c r="I139" s="40" t="s">
        <v>527</v>
      </c>
      <c r="J139" s="31"/>
    </row>
    <row r="140" spans="3:10" outlineLevel="1">
      <c r="E140" s="37"/>
      <c r="F140" s="42"/>
      <c r="G140" s="61"/>
      <c r="H140" s="31" t="str">
        <f>[3]!EQS(F139,"Units= ; EqnPrefix=Valem  ; EqnNo= 0; Multiplication= 1; ShowWorking= 1; EqnStyle= 2; Eqp$G$21_$G$25_1")</f>
        <v/>
      </c>
      <c r="I140" s="40" t="s">
        <v>528</v>
      </c>
      <c r="J140" s="31"/>
    </row>
    <row r="141" spans="3:10" outlineLevel="1">
      <c r="C141" s="35" t="s">
        <v>79</v>
      </c>
      <c r="E141" s="37"/>
      <c r="F141" s="42"/>
      <c r="G141" s="61"/>
      <c r="I141" s="40"/>
      <c r="J141" s="31"/>
    </row>
    <row r="142" spans="3:10" ht="19.5" outlineLevel="1">
      <c r="E142" s="114" t="s">
        <v>80</v>
      </c>
      <c r="F142" s="42">
        <f>(1+2.28/LN(F125/$F$7))^2</f>
        <v>1.8131807308313552</v>
      </c>
      <c r="G142" s="61"/>
      <c r="H142" s="31" t="str">
        <f>[3]!EQS(F142,"Units= ; EqnPrefix=Valem  ; EqnNo= 0; Multiplication= 1; ShowWorking= 0; EqnStyle= 2; Eqp$G$24_0")</f>
        <v/>
      </c>
      <c r="I142" s="40" t="s">
        <v>536</v>
      </c>
      <c r="J142" s="31"/>
    </row>
    <row r="143" spans="3:10" outlineLevel="1">
      <c r="E143" s="37"/>
      <c r="F143" s="42"/>
      <c r="G143" s="61"/>
      <c r="H143" s="31" t="str">
        <f>[3]!EQS(F142,"Units= ; EqnPrefix=Valem  ; EqnNo= 0; Multiplication= 1; ShowWorking= 1; EqnStyle= 2; Eqp$G$24_$G$28_1")</f>
        <v/>
      </c>
      <c r="I143" s="40" t="s">
        <v>530</v>
      </c>
      <c r="J143" s="31"/>
    </row>
    <row r="144" spans="3:10" outlineLevel="1">
      <c r="C144" s="23" t="s">
        <v>50</v>
      </c>
      <c r="D144" s="23"/>
      <c r="E144" s="37"/>
      <c r="F144" s="42"/>
      <c r="G144" s="61"/>
      <c r="J144" s="31"/>
    </row>
    <row r="145" spans="3:10" ht="19.5" outlineLevel="1">
      <c r="E145" s="28" t="s">
        <v>52</v>
      </c>
      <c r="F145" s="23">
        <v>1.1499999999999999</v>
      </c>
      <c r="J145" s="31"/>
    </row>
    <row r="146" spans="3:10" ht="19.5" outlineLevel="1">
      <c r="C146" s="56" t="s">
        <v>129</v>
      </c>
      <c r="D146" s="39"/>
      <c r="E146" s="24"/>
      <c r="F146" s="43"/>
      <c r="H146" s="31"/>
      <c r="I146" s="31"/>
      <c r="J146" s="31"/>
    </row>
    <row r="147" spans="3:10" outlineLevel="1">
      <c r="C147" s="23"/>
      <c r="D147" s="41" t="s">
        <v>84</v>
      </c>
      <c r="E147" s="37"/>
      <c r="F147" s="44"/>
      <c r="H147" s="31"/>
      <c r="I147" s="41"/>
      <c r="J147" s="31"/>
    </row>
    <row r="148" spans="3:10" ht="19.5" outlineLevel="1">
      <c r="E148" s="114" t="s">
        <v>132</v>
      </c>
      <c r="F148" s="42">
        <v>2</v>
      </c>
      <c r="H148" s="31"/>
      <c r="I148" s="30"/>
      <c r="J148" s="31"/>
    </row>
    <row r="149" spans="3:10" outlineLevel="1">
      <c r="D149" s="48" t="s">
        <v>116</v>
      </c>
      <c r="E149" s="31"/>
      <c r="F149" s="31"/>
      <c r="H149" s="31"/>
      <c r="I149" s="40"/>
      <c r="J149" s="31"/>
    </row>
    <row r="150" spans="3:10" outlineLevel="1">
      <c r="D150" s="48"/>
      <c r="E150" s="115" t="s">
        <v>520</v>
      </c>
      <c r="F150" s="51">
        <f>MIN(70,2*F128/F126)</f>
        <v>70</v>
      </c>
      <c r="H150" s="31" t="str">
        <f>[3]!EQS(F150,"Units= ; EqnPrefix=Valem  ; EqnNo= 0; Multiplication= 1; ShowWorking= 1; EqnStyle=2; Eqp$H$148_0")</f>
        <v/>
      </c>
      <c r="I150" s="40" t="s">
        <v>133</v>
      </c>
      <c r="J150" s="31"/>
    </row>
    <row r="151" spans="3:10" outlineLevel="1">
      <c r="D151" s="48" t="s">
        <v>117</v>
      </c>
      <c r="E151" s="31"/>
      <c r="F151" s="31"/>
      <c r="H151" s="31"/>
      <c r="I151" s="40"/>
      <c r="J151" s="31"/>
    </row>
    <row r="152" spans="3:10" outlineLevel="1">
      <c r="D152" s="48"/>
      <c r="E152" s="115" t="s">
        <v>521</v>
      </c>
      <c r="F152" s="31">
        <v>1</v>
      </c>
      <c r="H152" s="31"/>
      <c r="I152" s="40"/>
      <c r="J152" s="31"/>
    </row>
    <row r="153" spans="3:10" outlineLevel="1">
      <c r="D153" s="49" t="s">
        <v>119</v>
      </c>
      <c r="F153" s="31"/>
      <c r="H153" s="31"/>
      <c r="I153" s="40"/>
      <c r="J153" s="31"/>
    </row>
    <row r="154" spans="3:10" ht="19.5" outlineLevel="1">
      <c r="E154" s="115" t="s">
        <v>118</v>
      </c>
      <c r="F154" s="23">
        <v>0.92</v>
      </c>
      <c r="H154" s="31"/>
      <c r="I154" s="40"/>
      <c r="J154" s="31"/>
    </row>
    <row r="155" spans="3:10" outlineLevel="1">
      <c r="D155" s="57" t="s">
        <v>142</v>
      </c>
      <c r="E155" s="55"/>
      <c r="H155" s="31"/>
      <c r="I155" s="40"/>
      <c r="J155" s="31"/>
    </row>
    <row r="156" spans="3:10" ht="19.5" outlineLevel="1">
      <c r="E156" s="115" t="s">
        <v>143</v>
      </c>
      <c r="F156" s="23">
        <v>0.88</v>
      </c>
      <c r="H156" s="31"/>
      <c r="I156" s="63" t="s">
        <v>144</v>
      </c>
      <c r="J156" s="31"/>
    </row>
    <row r="157" spans="3:10" outlineLevel="1">
      <c r="C157" s="57" t="s">
        <v>145</v>
      </c>
      <c r="E157" s="31"/>
      <c r="F157" s="50"/>
      <c r="H157" s="31"/>
      <c r="I157" s="40"/>
      <c r="J157" s="31"/>
    </row>
    <row r="158" spans="3:10" ht="19.5" outlineLevel="1">
      <c r="E158" s="114" t="s">
        <v>149</v>
      </c>
      <c r="F158" s="52">
        <f>F148*F154*F156</f>
        <v>1.6192</v>
      </c>
      <c r="H158" s="31" t="str">
        <f>[3]!EQS(F158,"Units= ; EqnPrefix=Valem  ; EqnNo= 0; Multiplication= 1; ShowWorking= 0; EqnStyle= 2; Eqp$H$119_2")</f>
        <v/>
      </c>
      <c r="I158" s="40" t="s">
        <v>546</v>
      </c>
      <c r="J158" s="31"/>
    </row>
    <row r="159" spans="3:10" outlineLevel="1">
      <c r="E159" s="31"/>
      <c r="F159" s="50"/>
      <c r="H159" s="31" t="str">
        <f>[3]!EQS(F158,"Units= ; EqnPrefix=Valem  ; EqnNo= 0; Multiplication= 1; ShowWorking= 1; EqnStyle= 2; Eqp$H$119_$H$120_3")</f>
        <v/>
      </c>
      <c r="I159" s="40" t="s">
        <v>147</v>
      </c>
      <c r="J159" s="31"/>
    </row>
    <row r="160" spans="3:10" outlineLevel="1">
      <c r="C160" s="57" t="s">
        <v>146</v>
      </c>
      <c r="E160" s="31"/>
      <c r="F160" s="50"/>
      <c r="H160" s="31"/>
      <c r="I160" s="40"/>
      <c r="J160" s="31"/>
    </row>
    <row r="161" spans="2:12" ht="19.5" outlineLevel="1">
      <c r="C161" s="57"/>
      <c r="E161" s="114" t="s">
        <v>150</v>
      </c>
      <c r="F161" s="52">
        <f>F148*F154</f>
        <v>1.84</v>
      </c>
      <c r="H161" s="31" t="str">
        <f>[3]!EQS(F161,"Units= ; EqnPrefix=Valem  ; EqnNo= 0; Multiplication= 1; ShowWorking= 0; EqnStyle= 2; Eqp$H$119_2")</f>
        <v/>
      </c>
      <c r="I161" s="40" t="s">
        <v>547</v>
      </c>
      <c r="J161" s="31"/>
    </row>
    <row r="162" spans="2:12" outlineLevel="1">
      <c r="E162" s="31"/>
      <c r="F162" s="50"/>
      <c r="H162" s="31" t="str">
        <f>[3]!EQS(F161,"Units= ; EqnPrefix=Valem  ; EqnNo= 0; Multiplication= 1; ShowWorking= 1; EqnStyle= 2; Eqp$H$119_$H$120_3")</f>
        <v/>
      </c>
      <c r="I162" s="40" t="s">
        <v>130</v>
      </c>
      <c r="J162" s="31"/>
    </row>
    <row r="163" spans="2:12" outlineLevel="1">
      <c r="C163" s="57" t="s">
        <v>134</v>
      </c>
      <c r="E163" s="31"/>
      <c r="F163" s="31"/>
      <c r="H163" s="31"/>
      <c r="I163" s="40"/>
      <c r="J163" s="31"/>
    </row>
    <row r="164" spans="2:12" ht="19.5" outlineLevel="1">
      <c r="E164" s="115" t="s">
        <v>155</v>
      </c>
      <c r="F164" s="125">
        <f>COS(RADIANS(86))^2</f>
        <v>4.8659656292148329E-3</v>
      </c>
      <c r="H164" s="31" t="str">
        <f>[3]!EQS(F164,"Units= ; EqnPrefix=Valem  ; EqnNo= 0; Multiplication= 1; ShowWorking= 0; EqnStyle= 2; Eqp$H$75_2")</f>
        <v/>
      </c>
      <c r="I164" s="40" t="s">
        <v>540</v>
      </c>
      <c r="J164" s="31"/>
    </row>
    <row r="165" spans="2:12" outlineLevel="1">
      <c r="C165" s="57" t="s">
        <v>151</v>
      </c>
      <c r="E165" s="55"/>
      <c r="F165" s="53"/>
      <c r="H165" s="31"/>
      <c r="I165" s="40"/>
      <c r="J165" s="31"/>
    </row>
    <row r="166" spans="2:12" ht="19.5" outlineLevel="1">
      <c r="E166" s="115" t="s">
        <v>156</v>
      </c>
      <c r="F166" s="125">
        <f>COS(RADIANS(4))^2</f>
        <v>0.99513403437078507</v>
      </c>
      <c r="H166" s="31" t="str">
        <f>[3]!EQS(F166,"Units= ; EqnPrefix=Valem  ; EqnNo= 0; Multiplication= 1; ShowWorking= 0; EqnStyle= 2; Eqp$H$75_2")</f>
        <v/>
      </c>
      <c r="I166" s="40" t="s">
        <v>548</v>
      </c>
      <c r="J166" s="31"/>
    </row>
    <row r="167" spans="2:12">
      <c r="C167" s="57" t="s">
        <v>135</v>
      </c>
    </row>
    <row r="168" spans="2:12" ht="19.5">
      <c r="E168" s="114" t="s">
        <v>152</v>
      </c>
      <c r="F168" s="46">
        <f>F139*F142*F145*F158*F126*F164</f>
        <v>1.7336175661721971</v>
      </c>
      <c r="G168" s="61" t="s">
        <v>86</v>
      </c>
      <c r="H168" s="31" t="str">
        <f>[3]!EQS(F168,"Units= ; EqnPrefix=Valem  ; EqnNo= 0; Multiplication= 1; ShowWorking= 0; EqnStyle= 2; Eqp$G$39_0")</f>
        <v/>
      </c>
      <c r="I168" s="30" t="s">
        <v>549</v>
      </c>
    </row>
    <row r="169" spans="2:12">
      <c r="H169" s="23" t="str">
        <f>[3]!EQS(F168,"Units= ; EqnPrefix=Valem  ; EqnNo= 0; Multiplication= 1; ShowWorking= 1; EqnStyle= 2; Eqp$G$39_$G$40_1")</f>
        <v/>
      </c>
      <c r="I169" s="30" t="s">
        <v>148</v>
      </c>
    </row>
    <row r="170" spans="2:12">
      <c r="C170" s="57" t="s">
        <v>158</v>
      </c>
    </row>
    <row r="171" spans="2:12" ht="19.5">
      <c r="E171" s="114" t="s">
        <v>153</v>
      </c>
      <c r="F171" s="46">
        <f>F139*F142*F145*F161*F127*F126*F166</f>
        <v>100.72173035744572</v>
      </c>
      <c r="G171" s="62" t="s">
        <v>154</v>
      </c>
      <c r="H171" s="31" t="str">
        <f>[3]!EQS(F171,"Units= ; EqnPrefix=Valem  ; EqnNo= 0; Multiplication= 1; ShowWorking= 0; EqnStyle= 2; Eqp$G$39_0")</f>
        <v/>
      </c>
      <c r="I171" s="30" t="s">
        <v>550</v>
      </c>
    </row>
    <row r="172" spans="2:12">
      <c r="H172" s="23" t="str">
        <f>[3]!EQS(F171,"Units= ; EqnPrefix=Valem  ; EqnNo= 0; Multiplication= 1; ShowWorking= 1; EqnStyle= 2; Eqp$G$39_$G$40_1")</f>
        <v/>
      </c>
      <c r="I172" s="30" t="s">
        <v>157</v>
      </c>
    </row>
    <row r="173" spans="2:12">
      <c r="B173" s="73" t="s">
        <v>159</v>
      </c>
      <c r="C173" s="36"/>
      <c r="D173" s="36"/>
      <c r="E173" s="29"/>
      <c r="F173" s="29"/>
      <c r="G173" s="60"/>
      <c r="H173" s="29"/>
      <c r="I173" s="29"/>
      <c r="J173" s="29"/>
      <c r="K173" s="29"/>
      <c r="L173" s="29"/>
    </row>
    <row r="174" spans="2:12" outlineLevel="1">
      <c r="C174" s="57" t="s">
        <v>160</v>
      </c>
      <c r="E174" s="24"/>
    </row>
    <row r="175" spans="2:12" outlineLevel="1">
      <c r="E175" s="114" t="s">
        <v>517</v>
      </c>
      <c r="F175" s="33">
        <v>41</v>
      </c>
      <c r="G175" s="59" t="s">
        <v>51</v>
      </c>
      <c r="I175" s="38" t="s">
        <v>109</v>
      </c>
    </row>
    <row r="176" spans="2:12" outlineLevel="1">
      <c r="E176" s="114" t="s">
        <v>519</v>
      </c>
      <c r="F176" s="33">
        <v>0.25</v>
      </c>
      <c r="G176" s="59" t="s">
        <v>51</v>
      </c>
    </row>
    <row r="177" spans="3:10" outlineLevel="1">
      <c r="E177" s="114" t="s">
        <v>516</v>
      </c>
      <c r="F177" s="33">
        <v>0.15</v>
      </c>
      <c r="G177" s="62" t="s">
        <v>51</v>
      </c>
      <c r="I177" s="54" t="s">
        <v>124</v>
      </c>
    </row>
    <row r="178" spans="3:10" outlineLevel="1">
      <c r="E178" s="114" t="s">
        <v>518</v>
      </c>
      <c r="F178" s="33">
        <v>5</v>
      </c>
      <c r="G178" s="61" t="s">
        <v>51</v>
      </c>
      <c r="I178" s="38" t="s">
        <v>94</v>
      </c>
    </row>
    <row r="179" spans="3:10" outlineLevel="1">
      <c r="C179" s="38" t="s">
        <v>99</v>
      </c>
      <c r="D179" s="38"/>
      <c r="E179" s="28"/>
      <c r="F179" s="27"/>
      <c r="G179" s="59"/>
      <c r="I179" s="32"/>
    </row>
    <row r="180" spans="3:10" ht="19.5" outlineLevel="1">
      <c r="E180" s="114" t="s">
        <v>98</v>
      </c>
      <c r="F180" s="45">
        <f>F177*F178</f>
        <v>0.75</v>
      </c>
      <c r="G180" s="61" t="s">
        <v>81</v>
      </c>
      <c r="H180" s="31" t="str">
        <f>[3]!EQS(F180,"Units= ; EqnPrefix=Valem  ; EqnNo= 0; Multiplication= 1; ShowWorking= 1; EqnStyle=2; Eqp$G$17_0")</f>
        <v/>
      </c>
      <c r="I180" s="30" t="s">
        <v>163</v>
      </c>
    </row>
    <row r="181" spans="3:10" outlineLevel="1">
      <c r="C181" s="57" t="s">
        <v>165</v>
      </c>
      <c r="E181" s="37"/>
      <c r="F181" s="45"/>
      <c r="G181" s="61"/>
      <c r="H181" s="31"/>
      <c r="I181" s="30"/>
    </row>
    <row r="182" spans="3:10" ht="19.5" outlineLevel="1">
      <c r="C182" s="48"/>
      <c r="E182" s="114" t="s">
        <v>125</v>
      </c>
      <c r="F182" s="45">
        <f>F178*F176</f>
        <v>1.25</v>
      </c>
      <c r="G182" s="61" t="s">
        <v>81</v>
      </c>
      <c r="H182" s="31" t="str">
        <f>[3]!EQS(F182,"Units= ; EqnPrefix=Valem  ; EqnNo= 0; Multiplication= 1; ShowWorking= 1; EqnStyle= 2; Eqp$H$137_2")</f>
        <v/>
      </c>
      <c r="I182" s="30" t="s">
        <v>164</v>
      </c>
    </row>
    <row r="183" spans="3:10" outlineLevel="1">
      <c r="C183" s="35" t="s">
        <v>65</v>
      </c>
      <c r="F183" s="27"/>
      <c r="G183" s="59"/>
      <c r="I183" s="32"/>
    </row>
    <row r="184" spans="3:10" outlineLevel="1">
      <c r="E184" s="28"/>
      <c r="F184" s="27"/>
      <c r="G184" s="59"/>
      <c r="I184" s="32"/>
    </row>
    <row r="185" spans="3:10" outlineLevel="1"/>
    <row r="186" spans="3:10" ht="19.5" outlineLevel="1">
      <c r="E186" s="114" t="s">
        <v>57</v>
      </c>
      <c r="F186" s="42">
        <f>$F$6*LN(F175/$F$7)*$F$3</f>
        <v>26.770124317630611</v>
      </c>
      <c r="G186" s="59" t="s">
        <v>43</v>
      </c>
      <c r="H186" s="31" t="str">
        <f>[3]!EQS(F186,"Units= ; EqnPrefix=Valem  ; EqnNo= 0; Multiplication= 1; ShowWorking= 0; EqnStyle= 2; Eqp$H$54_2")</f>
        <v/>
      </c>
      <c r="I186" s="40" t="s">
        <v>534</v>
      </c>
      <c r="J186" s="31"/>
    </row>
    <row r="187" spans="3:10" outlineLevel="1">
      <c r="E187" s="28"/>
      <c r="F187" s="42"/>
      <c r="G187" s="59"/>
      <c r="H187" s="31" t="str">
        <f>[3]!EQS(F186,"Units= ; EqnPrefix=Valem  ; EqnNo= 0; Multiplication= 1; ShowWorking= 1; EqnStyle= 2; Eqp$H$54_$H$55_3")</f>
        <v/>
      </c>
      <c r="I187" s="40" t="s">
        <v>161</v>
      </c>
      <c r="J187" s="31"/>
    </row>
    <row r="188" spans="3:10" outlineLevel="1">
      <c r="C188" s="41" t="s">
        <v>77</v>
      </c>
      <c r="D188" s="41"/>
      <c r="F188" s="42"/>
      <c r="G188" s="59"/>
      <c r="H188" s="31"/>
      <c r="I188" s="40"/>
      <c r="J188" s="31"/>
    </row>
    <row r="189" spans="3:10" ht="19.5" outlineLevel="1">
      <c r="E189" s="114" t="s">
        <v>75</v>
      </c>
      <c r="F189" s="42">
        <f>1/2*$F$5*F186^2</f>
        <v>438.94172803860613</v>
      </c>
      <c r="G189" s="61" t="s">
        <v>76</v>
      </c>
      <c r="H189" s="31" t="str">
        <f>[3]!EQS(F189,"Units= ; EqnPrefix=Valem  ; EqnNo= 0; Multiplication= 1; ShowWorking= 0; EqnStyle= 2; Eqp$G$21_0")</f>
        <v/>
      </c>
      <c r="I189" s="40" t="s">
        <v>527</v>
      </c>
      <c r="J189" s="31"/>
    </row>
    <row r="190" spans="3:10" outlineLevel="1">
      <c r="E190" s="37"/>
      <c r="F190" s="42"/>
      <c r="G190" s="61"/>
      <c r="H190" s="31" t="str">
        <f>[3]!EQS(F189,"Units= ; EqnPrefix=Valem  ; EqnNo= 0; Multiplication= 1; ShowWorking= 1; EqnStyle= 2; Eqp$G$21_$G$25_1")</f>
        <v/>
      </c>
      <c r="I190" s="40" t="s">
        <v>551</v>
      </c>
      <c r="J190" s="31"/>
    </row>
    <row r="191" spans="3:10" outlineLevel="1">
      <c r="C191" s="35" t="s">
        <v>79</v>
      </c>
      <c r="E191" s="37"/>
      <c r="F191" s="42"/>
      <c r="G191" s="61"/>
      <c r="I191" s="40"/>
      <c r="J191" s="31"/>
    </row>
    <row r="192" spans="3:10" ht="19.5" outlineLevel="1">
      <c r="E192" s="114" t="s">
        <v>80</v>
      </c>
      <c r="F192" s="42">
        <f>(1+2.28/LN(F175/$F$7))^2</f>
        <v>1.7951352851913878</v>
      </c>
      <c r="G192" s="61"/>
      <c r="H192" s="31" t="str">
        <f>[3]!EQS(F192,"Units= ; EqnPrefix=Valem  ; EqnNo= 0; Multiplication= 1; ShowWorking= 0; EqnStyle= 2; Eqp$G$24_0")</f>
        <v/>
      </c>
      <c r="I192" s="40" t="s">
        <v>536</v>
      </c>
      <c r="J192" s="31"/>
    </row>
    <row r="193" spans="3:10" outlineLevel="1">
      <c r="E193" s="37"/>
      <c r="F193" s="42"/>
      <c r="G193" s="61"/>
      <c r="H193" s="31" t="str">
        <f>[3]!EQS(F192,"Units= ; EqnPrefix=Valem  ; EqnNo= 0; Multiplication= 1; ShowWorking= 1; EqnStyle= 2; Eqp$G$24_$G$28_1")</f>
        <v/>
      </c>
      <c r="I193" s="40" t="s">
        <v>552</v>
      </c>
      <c r="J193" s="31"/>
    </row>
    <row r="194" spans="3:10" outlineLevel="1">
      <c r="C194" s="23" t="s">
        <v>50</v>
      </c>
      <c r="D194" s="23"/>
      <c r="E194" s="37"/>
      <c r="F194" s="42"/>
      <c r="G194" s="61"/>
      <c r="J194" s="31"/>
    </row>
    <row r="195" spans="3:10" ht="19.5" outlineLevel="1">
      <c r="E195" s="28" t="s">
        <v>52</v>
      </c>
      <c r="F195" s="23">
        <v>1.1499999999999999</v>
      </c>
      <c r="J195" s="31"/>
    </row>
    <row r="196" spans="3:10" ht="19.5" outlineLevel="1">
      <c r="C196" s="56" t="s">
        <v>166</v>
      </c>
      <c r="D196" s="39"/>
      <c r="E196" s="24"/>
      <c r="F196" s="43"/>
      <c r="H196" s="31"/>
      <c r="I196" s="31"/>
      <c r="J196" s="31"/>
    </row>
    <row r="197" spans="3:10" outlineLevel="1">
      <c r="C197" s="23"/>
      <c r="D197" s="41" t="s">
        <v>84</v>
      </c>
      <c r="E197" s="37"/>
      <c r="F197" s="44"/>
      <c r="H197" s="31"/>
      <c r="I197" s="41"/>
      <c r="J197" s="31"/>
    </row>
    <row r="198" spans="3:10" ht="19.5" outlineLevel="1">
      <c r="E198" s="114" t="s">
        <v>167</v>
      </c>
      <c r="F198" s="42">
        <v>2</v>
      </c>
      <c r="H198" s="31"/>
      <c r="I198" s="30"/>
      <c r="J198" s="31"/>
    </row>
    <row r="199" spans="3:10" outlineLevel="1">
      <c r="D199" s="48" t="s">
        <v>116</v>
      </c>
      <c r="E199" s="31"/>
      <c r="F199" s="31"/>
      <c r="H199" s="31"/>
      <c r="I199" s="40"/>
      <c r="J199" s="31"/>
    </row>
    <row r="200" spans="3:10" outlineLevel="1">
      <c r="D200" s="48"/>
      <c r="E200" s="115" t="s">
        <v>520</v>
      </c>
      <c r="F200" s="51">
        <f>MIN(70,2*F178/F176)</f>
        <v>40</v>
      </c>
      <c r="H200" s="31"/>
      <c r="I200" s="100" t="s">
        <v>437</v>
      </c>
      <c r="J200" s="31"/>
    </row>
    <row r="201" spans="3:10" outlineLevel="1">
      <c r="D201" s="48" t="s">
        <v>117</v>
      </c>
      <c r="E201" s="31"/>
      <c r="F201" s="31"/>
      <c r="H201" s="31"/>
      <c r="I201" s="40"/>
      <c r="J201" s="31"/>
    </row>
    <row r="202" spans="3:10" outlineLevel="1">
      <c r="D202" s="48"/>
      <c r="E202" s="115" t="s">
        <v>521</v>
      </c>
      <c r="F202" s="31">
        <v>1</v>
      </c>
      <c r="H202" s="31"/>
      <c r="I202" s="40"/>
      <c r="J202" s="31"/>
    </row>
    <row r="203" spans="3:10" outlineLevel="1">
      <c r="D203" s="49" t="s">
        <v>119</v>
      </c>
      <c r="F203" s="31"/>
      <c r="H203" s="31"/>
      <c r="I203" s="40"/>
      <c r="J203" s="31"/>
    </row>
    <row r="204" spans="3:10" ht="19.5" outlineLevel="1">
      <c r="E204" s="115" t="s">
        <v>118</v>
      </c>
      <c r="F204" s="23">
        <v>0.85</v>
      </c>
      <c r="H204" s="31"/>
      <c r="I204" s="40"/>
      <c r="J204" s="31"/>
    </row>
    <row r="205" spans="3:10" outlineLevel="1">
      <c r="D205" s="57" t="s">
        <v>142</v>
      </c>
      <c r="E205" s="55"/>
      <c r="H205" s="31"/>
      <c r="I205" s="40"/>
      <c r="J205" s="31"/>
    </row>
    <row r="206" spans="3:10" ht="19.5" outlineLevel="1">
      <c r="E206" s="115" t="s">
        <v>143</v>
      </c>
      <c r="F206" s="23">
        <v>0.9</v>
      </c>
      <c r="H206" s="31"/>
      <c r="J206" s="101" t="s">
        <v>168</v>
      </c>
    </row>
    <row r="207" spans="3:10" outlineLevel="1">
      <c r="C207" s="57" t="s">
        <v>145</v>
      </c>
      <c r="E207" s="31"/>
      <c r="F207" s="50"/>
      <c r="H207" s="31"/>
      <c r="I207" s="40"/>
      <c r="J207" s="31"/>
    </row>
    <row r="208" spans="3:10" ht="19.5" outlineLevel="1">
      <c r="E208" s="114" t="s">
        <v>170</v>
      </c>
      <c r="F208" s="52">
        <f>F198*F204*F206</f>
        <v>1.53</v>
      </c>
      <c r="H208" s="31" t="str">
        <f>[3]!EQS(F208,"Units= ; EqnPrefix=Valem  ; EqnNo= 0; Multiplication= 1; ShowWorking= 0; EqnStyle= 2; Eqp$H$119_2")</f>
        <v/>
      </c>
      <c r="I208" s="40" t="s">
        <v>553</v>
      </c>
      <c r="J208" s="31"/>
    </row>
    <row r="209" spans="2:10" outlineLevel="1">
      <c r="E209" s="31"/>
      <c r="F209" s="50"/>
      <c r="H209" s="31" t="str">
        <f>[3]!EQS(F208,"Units= ; EqnPrefix=Valem  ; EqnNo= 0; Multiplication= 1; ShowWorking= 1; EqnStyle= 2; Eqp$H$119_$H$120_3")</f>
        <v/>
      </c>
      <c r="I209" s="40" t="s">
        <v>169</v>
      </c>
      <c r="J209" s="31"/>
    </row>
    <row r="210" spans="2:10" outlineLevel="1">
      <c r="C210" s="57" t="s">
        <v>146</v>
      </c>
      <c r="E210" s="31"/>
      <c r="F210" s="50"/>
      <c r="H210" s="31"/>
      <c r="I210" s="40"/>
      <c r="J210" s="31"/>
    </row>
    <row r="211" spans="2:10" ht="19.5" outlineLevel="1">
      <c r="C211" s="57"/>
      <c r="E211" s="114" t="s">
        <v>171</v>
      </c>
      <c r="F211" s="52">
        <f>F198*F204*F206</f>
        <v>1.53</v>
      </c>
      <c r="H211" s="31" t="str">
        <f>[3]!EQS(F211,"Units= ; EqnPrefix=Valem  ; EqnNo= 0; Multiplication= 1; ShowWorking= 0; EqnStyle= 2; Eqp$H$119_2")</f>
        <v/>
      </c>
      <c r="I211" s="40" t="s">
        <v>553</v>
      </c>
      <c r="J211" s="31"/>
    </row>
    <row r="212" spans="2:10" outlineLevel="1">
      <c r="E212" s="31"/>
      <c r="F212" s="50"/>
      <c r="H212" s="31" t="str">
        <f>[3]!EQS(F211,"Units= ; EqnPrefix=Valem  ; EqnNo= 0; Multiplication= 1; ShowWorking= 1; EqnStyle= 2; Eqp$H$119_$H$120_3")</f>
        <v/>
      </c>
      <c r="I212" s="40" t="s">
        <v>169</v>
      </c>
      <c r="J212" s="31"/>
    </row>
    <row r="213" spans="2:10" outlineLevel="1">
      <c r="C213" s="57" t="s">
        <v>134</v>
      </c>
      <c r="E213" s="31"/>
      <c r="F213" s="31"/>
      <c r="H213" s="31"/>
      <c r="I213" s="40"/>
      <c r="J213" s="31"/>
    </row>
    <row r="214" spans="2:10" ht="19.5" outlineLevel="1">
      <c r="E214" s="115" t="s">
        <v>155</v>
      </c>
      <c r="F214" s="125">
        <f>COS(RADIANS(86))^2</f>
        <v>4.8659656292148329E-3</v>
      </c>
      <c r="H214" s="31" t="str">
        <f>[3]!EQS(F214,"Units= ; EqnPrefix=Valem  ; EqnNo= 0; Multiplication= 1; ShowWorking= 0; EqnStyle= 2; Eqp$H$75_2")</f>
        <v/>
      </c>
      <c r="I214" s="40" t="s">
        <v>540</v>
      </c>
      <c r="J214" s="31"/>
    </row>
    <row r="215" spans="2:10" outlineLevel="1">
      <c r="C215" s="57" t="s">
        <v>151</v>
      </c>
      <c r="E215" s="55"/>
      <c r="F215" s="53"/>
      <c r="H215" s="31"/>
      <c r="I215" s="40"/>
      <c r="J215" s="31"/>
    </row>
    <row r="216" spans="2:10" ht="19.5" outlineLevel="1">
      <c r="E216" s="115" t="s">
        <v>156</v>
      </c>
      <c r="F216" s="125">
        <f>COS(RADIANS(4))^2</f>
        <v>0.99513403437078507</v>
      </c>
      <c r="H216" s="31" t="str">
        <f>[3]!EQS(F216,"Units= ; EqnPrefix=Valem  ; EqnNo= 0; Multiplication= 1; ShowWorking= 0; EqnStyle= 2; Eqp$H$75_2")</f>
        <v/>
      </c>
      <c r="I216" s="40" t="s">
        <v>548</v>
      </c>
      <c r="J216" s="31"/>
    </row>
    <row r="217" spans="2:10">
      <c r="C217" s="57" t="s">
        <v>173</v>
      </c>
    </row>
    <row r="218" spans="2:10" ht="19.5">
      <c r="E218" s="114" t="s">
        <v>152</v>
      </c>
      <c r="F218" s="46">
        <f>F189*F192*F195*F208*F177*F214</f>
        <v>1.0119373359971857</v>
      </c>
      <c r="G218" s="61" t="s">
        <v>86</v>
      </c>
      <c r="H218" s="31" t="str">
        <f>[3]!EQS(F218,"Units= ; EqnPrefix=Valem  ; EqnNo= 0; Multiplication= 1; ShowWorking= 0; EqnStyle= 2; Eqp$G$39_0")</f>
        <v/>
      </c>
      <c r="I218" s="30" t="s">
        <v>554</v>
      </c>
    </row>
    <row r="219" spans="2:10">
      <c r="H219" s="23" t="str">
        <f>[3]!EQS(F218,"Units= ; EqnPrefix=Valem  ; EqnNo= 0; Multiplication= 1; ShowWorking= 1; EqnStyle= 2; Eqp$G$39_$G$40_1")</f>
        <v/>
      </c>
      <c r="I219" s="30" t="s">
        <v>172</v>
      </c>
    </row>
    <row r="220" spans="2:10">
      <c r="C220" s="57" t="s">
        <v>174</v>
      </c>
    </row>
    <row r="221" spans="2:10" ht="19.5">
      <c r="E221" s="114" t="s">
        <v>153</v>
      </c>
      <c r="F221" s="46">
        <f>F189*F192*F195*F211*F176*F216</f>
        <v>344.91724782411268</v>
      </c>
      <c r="G221" s="62" t="s">
        <v>86</v>
      </c>
      <c r="H221" s="31" t="str">
        <f>[3]!EQS(F221,"Units= ; EqnPrefix=Valem  ; EqnNo= 0; Multiplication= 1; ShowWorking= 0; EqnStyle= 2; Eqp$G$39_0")</f>
        <v/>
      </c>
      <c r="I221" s="30" t="s">
        <v>555</v>
      </c>
    </row>
    <row r="222" spans="2:10">
      <c r="H222" s="23" t="str">
        <f>[3]!EQS(F221,"Units= ; EqnPrefix=Valem  ; EqnNo= 0; Multiplication= 1; ShowWorking= 1; EqnStyle= 2; Eqp$G$39_$G$40_1")</f>
        <v/>
      </c>
      <c r="I222" s="30" t="s">
        <v>175</v>
      </c>
    </row>
    <row r="224" spans="2:10">
      <c r="B224" s="73" t="s">
        <v>183</v>
      </c>
      <c r="C224" s="36"/>
      <c r="D224" s="36"/>
      <c r="E224" s="29"/>
    </row>
    <row r="225" spans="3:10" outlineLevel="1">
      <c r="C225" s="57" t="s">
        <v>176</v>
      </c>
      <c r="E225" s="24"/>
    </row>
    <row r="226" spans="3:10" outlineLevel="1">
      <c r="C226" s="57" t="s">
        <v>177</v>
      </c>
    </row>
    <row r="227" spans="3:10" outlineLevel="1"/>
    <row r="228" spans="3:10" outlineLevel="1">
      <c r="C228" s="64" t="s">
        <v>181</v>
      </c>
    </row>
    <row r="229" spans="3:10" outlineLevel="1"/>
    <row r="230" spans="3:10" outlineLevel="1">
      <c r="C230" s="65" t="s">
        <v>182</v>
      </c>
      <c r="E230" s="24"/>
    </row>
    <row r="231" spans="3:10" outlineLevel="1">
      <c r="E231" s="114" t="s">
        <v>54</v>
      </c>
      <c r="F231" s="33">
        <v>36</v>
      </c>
      <c r="G231" s="59" t="s">
        <v>51</v>
      </c>
      <c r="I231" s="65" t="s">
        <v>184</v>
      </c>
    </row>
    <row r="232" spans="3:10" outlineLevel="1">
      <c r="E232" s="114" t="s">
        <v>514</v>
      </c>
      <c r="F232" s="33">
        <v>2.01E-2</v>
      </c>
      <c r="G232" s="59" t="s">
        <v>51</v>
      </c>
      <c r="I232" s="65" t="s">
        <v>185</v>
      </c>
    </row>
    <row r="233" spans="3:10" outlineLevel="1">
      <c r="E233" s="114" t="s">
        <v>126</v>
      </c>
      <c r="F233" s="33">
        <v>40.590000000000003</v>
      </c>
      <c r="G233" s="67" t="s">
        <v>51</v>
      </c>
      <c r="I233" s="65" t="s">
        <v>198</v>
      </c>
    </row>
    <row r="234" spans="3:10" outlineLevel="1">
      <c r="C234" s="38" t="s">
        <v>82</v>
      </c>
      <c r="D234" s="38"/>
      <c r="E234" s="28"/>
      <c r="F234" s="27"/>
      <c r="G234" s="59"/>
      <c r="I234" s="32"/>
    </row>
    <row r="235" spans="3:10" ht="19.5" outlineLevel="1">
      <c r="E235" s="114" t="s">
        <v>97</v>
      </c>
      <c r="F235" s="45">
        <f>F232*F233</f>
        <v>0.81585900000000011</v>
      </c>
      <c r="G235" s="61" t="s">
        <v>81</v>
      </c>
      <c r="H235" s="31" t="str">
        <f>[3]!EQS(F235,"Units= ; EqnPrefix=Valem  ; EqnNo= 0; Multiplication= 1; ShowWorking= 1; EqnStyle=2; Eqp$G$17_0")</f>
        <v/>
      </c>
      <c r="I235" s="30" t="s">
        <v>186</v>
      </c>
    </row>
    <row r="236" spans="3:10" outlineLevel="1">
      <c r="C236" s="35" t="s">
        <v>65</v>
      </c>
      <c r="F236" s="27"/>
      <c r="G236" s="59"/>
      <c r="I236" s="32"/>
    </row>
    <row r="237" spans="3:10" ht="19.5" outlineLevel="1">
      <c r="E237" s="114" t="s">
        <v>57</v>
      </c>
      <c r="F237" s="42">
        <f>$F$6*LN(F231/$F$7)*$F$3</f>
        <v>26.251212335920307</v>
      </c>
      <c r="G237" s="59" t="s">
        <v>43</v>
      </c>
      <c r="H237" s="31" t="str">
        <f>[3]!EQS(F237,"Units= ; EqnPrefix=Valem  ; EqnNo= 0; Multiplication= 1; ShowWorking= 0; EqnStyle= 2; Eqp$H$21_2")</f>
        <v/>
      </c>
      <c r="I237" s="40" t="s">
        <v>526</v>
      </c>
      <c r="J237" s="31"/>
    </row>
    <row r="238" spans="3:10" outlineLevel="1">
      <c r="E238" s="28"/>
      <c r="F238" s="42"/>
      <c r="G238" s="59"/>
      <c r="H238" s="31" t="str">
        <f>[3]!EQS(F237,"Units= ; EqnPrefix=Valem  ; EqnNo= 0; Multiplication= 1; ShowWorking= 1; EqnStyle= 2; Eqp$H$21_$H$22_3")</f>
        <v/>
      </c>
      <c r="I238" s="40" t="s">
        <v>64</v>
      </c>
      <c r="J238" s="31"/>
    </row>
    <row r="239" spans="3:10" outlineLevel="1">
      <c r="C239" s="41" t="s">
        <v>77</v>
      </c>
      <c r="D239" s="41"/>
      <c r="F239" s="42"/>
      <c r="G239" s="59"/>
      <c r="H239" s="31"/>
      <c r="I239" s="40"/>
      <c r="J239" s="31"/>
    </row>
    <row r="240" spans="3:10" ht="19.5" outlineLevel="1">
      <c r="E240" s="114" t="s">
        <v>75</v>
      </c>
      <c r="F240" s="42">
        <f>1/2*$F$5*F237^2</f>
        <v>422.08976632716445</v>
      </c>
      <c r="G240" s="61" t="s">
        <v>76</v>
      </c>
      <c r="H240" s="31" t="str">
        <f>[3]!EQS(F240,"Units= ; EqnPrefix=Valem  ; EqnNo= 0; Multiplication= 1; ShowWorking= 0; EqnStyle= 2; Eqp$G$21_0")</f>
        <v/>
      </c>
      <c r="I240" s="40" t="s">
        <v>527</v>
      </c>
      <c r="J240" s="31"/>
    </row>
    <row r="241" spans="3:10" outlineLevel="1">
      <c r="E241" s="37"/>
      <c r="F241" s="42"/>
      <c r="G241" s="61"/>
      <c r="H241" s="31" t="str">
        <f>[3]!EQS(F240,"Units= ; EqnPrefix=Valem  ; EqnNo= 0; Multiplication= 1; ShowWorking= 1; EqnStyle= 2; Eqp$G$21_$G$25_1")</f>
        <v/>
      </c>
      <c r="I241" s="40" t="s">
        <v>528</v>
      </c>
      <c r="J241" s="31"/>
    </row>
    <row r="242" spans="3:10" outlineLevel="1">
      <c r="C242" s="35" t="s">
        <v>79</v>
      </c>
      <c r="E242" s="37"/>
      <c r="F242" s="42"/>
      <c r="G242" s="61"/>
      <c r="I242" s="40"/>
      <c r="J242" s="31"/>
    </row>
    <row r="243" spans="3:10" ht="19.5" outlineLevel="1">
      <c r="E243" s="114" t="s">
        <v>80</v>
      </c>
      <c r="F243" s="42">
        <f>(1+2.28/LN(F231/$F$7))^2</f>
        <v>1.8131807308313552</v>
      </c>
      <c r="G243" s="61"/>
      <c r="H243" s="31" t="str">
        <f>[3]!EQS(F243,"Units= ; EqnPrefix=Valem  ; EqnNo= 0; Multiplication= 1; ShowWorking= 0; EqnStyle= 2; Eqp$G$24_0")</f>
        <v/>
      </c>
      <c r="I243" s="40" t="s">
        <v>529</v>
      </c>
      <c r="J243" s="31"/>
    </row>
    <row r="244" spans="3:10" outlineLevel="1">
      <c r="E244" s="37"/>
      <c r="F244" s="42"/>
      <c r="G244" s="61"/>
      <c r="H244" s="31" t="str">
        <f>[3]!EQS(F243,"Units= ; EqnPrefix=Valem  ; EqnNo= 0; Multiplication= 1; ShowWorking= 1; EqnStyle= 2; Eqp$G$24_$G$28_1")</f>
        <v/>
      </c>
      <c r="I244" s="40" t="s">
        <v>530</v>
      </c>
      <c r="J244" s="31"/>
    </row>
    <row r="245" spans="3:10" outlineLevel="1">
      <c r="C245" s="23" t="s">
        <v>50</v>
      </c>
      <c r="D245" s="23"/>
      <c r="E245" s="37"/>
      <c r="F245" s="42"/>
      <c r="G245" s="61"/>
      <c r="J245" s="31"/>
    </row>
    <row r="246" spans="3:10" ht="19.5" outlineLevel="1">
      <c r="E246" s="28" t="s">
        <v>52</v>
      </c>
      <c r="F246" s="23">
        <v>1.1499999999999999</v>
      </c>
      <c r="J246" s="31"/>
    </row>
    <row r="247" spans="3:10" ht="19.5" outlineLevel="1">
      <c r="C247" s="69" t="s">
        <v>187</v>
      </c>
      <c r="D247" s="39"/>
      <c r="E247" s="24"/>
      <c r="F247" s="43"/>
      <c r="H247" s="31"/>
      <c r="I247" s="31"/>
      <c r="J247" s="31"/>
    </row>
    <row r="248" spans="3:10" outlineLevel="1">
      <c r="E248" s="114" t="s">
        <v>515</v>
      </c>
      <c r="F248" s="31">
        <f>15*10^-6</f>
        <v>1.4999999999999999E-5</v>
      </c>
      <c r="G248" s="61" t="s">
        <v>66</v>
      </c>
      <c r="H248" s="31"/>
      <c r="I248" s="41" t="s">
        <v>67</v>
      </c>
      <c r="J248" s="31"/>
    </row>
    <row r="249" spans="3:10" outlineLevel="1">
      <c r="E249" s="114" t="s">
        <v>516</v>
      </c>
      <c r="F249" s="31">
        <f>F232</f>
        <v>2.01E-2</v>
      </c>
      <c r="G249" s="61" t="s">
        <v>51</v>
      </c>
      <c r="H249" s="31"/>
      <c r="I249" s="41" t="s">
        <v>68</v>
      </c>
      <c r="J249" s="31"/>
    </row>
    <row r="250" spans="3:10" outlineLevel="1">
      <c r="C250" s="23"/>
      <c r="D250" s="41" t="s">
        <v>73</v>
      </c>
      <c r="E250" s="37"/>
      <c r="F250" s="31"/>
      <c r="G250" s="61"/>
      <c r="H250" s="31"/>
      <c r="I250" s="41"/>
      <c r="J250" s="31"/>
    </row>
    <row r="251" spans="3:10" outlineLevel="1">
      <c r="C251" s="23"/>
      <c r="E251" s="37" t="s">
        <v>69</v>
      </c>
      <c r="F251" s="44">
        <f>F249*F237/F248</f>
        <v>35176.624530133209</v>
      </c>
      <c r="H251" s="31" t="str">
        <f>[3]!EQS(F251,"Units= ; EqnPrefix=Valem  ; EqnNo= 0; Multiplication= 1; ShowWorking= 1; EqnStyle= 2; Eqp$G$27_0")</f>
        <v/>
      </c>
      <c r="I251" s="30" t="s">
        <v>207</v>
      </c>
      <c r="J251" s="31"/>
    </row>
    <row r="252" spans="3:10" outlineLevel="1">
      <c r="C252" s="23"/>
      <c r="D252" s="64" t="s">
        <v>188</v>
      </c>
      <c r="E252" s="37"/>
      <c r="F252" s="44"/>
      <c r="H252" s="31"/>
      <c r="I252" s="41"/>
      <c r="J252" s="31"/>
    </row>
    <row r="253" spans="3:10" ht="19.5" outlineLevel="1">
      <c r="C253" s="23"/>
      <c r="D253" s="41"/>
      <c r="E253" s="114" t="s">
        <v>189</v>
      </c>
      <c r="F253" s="42">
        <v>1.2</v>
      </c>
      <c r="H253" s="31"/>
      <c r="I253" s="41"/>
      <c r="J253" s="31"/>
    </row>
    <row r="254" spans="3:10" outlineLevel="1">
      <c r="C254" s="64" t="s">
        <v>190</v>
      </c>
      <c r="E254" s="31"/>
      <c r="F254" s="31"/>
      <c r="H254" s="31"/>
      <c r="I254" s="40"/>
      <c r="J254" s="31"/>
    </row>
    <row r="255" spans="3:10" ht="19.5" outlineLevel="1">
      <c r="E255" s="115" t="s">
        <v>196</v>
      </c>
      <c r="F255" s="125">
        <f>COS(RADIANS(49))^2</f>
        <v>0.43041344951996724</v>
      </c>
      <c r="H255" s="31" t="str">
        <f>[3]!EQS(F255,"Units= ; EqnPrefix=Valem  ; EqnNo= 0; Multiplication= 1; ShowWorking= 0; EqnStyle= 2; Eqp$H$75_2")</f>
        <v/>
      </c>
      <c r="I255" s="40" t="s">
        <v>556</v>
      </c>
      <c r="J255" s="31"/>
    </row>
    <row r="256" spans="3:10" outlineLevel="1">
      <c r="C256" s="64" t="s">
        <v>191</v>
      </c>
      <c r="E256" s="55"/>
      <c r="F256" s="53"/>
      <c r="H256" s="31"/>
      <c r="I256" s="40"/>
      <c r="J256" s="31"/>
    </row>
    <row r="257" spans="2:10" ht="19.5" outlineLevel="1">
      <c r="E257" s="115" t="s">
        <v>197</v>
      </c>
      <c r="F257" s="125">
        <f>COS(RADIANS(41))^2</f>
        <v>0.56958655048003271</v>
      </c>
      <c r="H257" s="31" t="str">
        <f>[3]!EQS(F257,"Units= ; EqnPrefix=Valem  ; EqnNo= 0; Multiplication= 1; ShowWorking= 0; EqnStyle= 2; Eqp$H$75_2")</f>
        <v/>
      </c>
      <c r="I257" s="40" t="s">
        <v>557</v>
      </c>
      <c r="J257" s="31"/>
    </row>
    <row r="258" spans="2:10">
      <c r="C258" s="64" t="s">
        <v>192</v>
      </c>
    </row>
    <row r="259" spans="2:10" ht="19.5">
      <c r="E259" s="115" t="s">
        <v>199</v>
      </c>
      <c r="F259" s="46">
        <f>F240*F243*F246*F253*F232*F255</f>
        <v>9.137068803646045</v>
      </c>
      <c r="G259" s="61" t="s">
        <v>86</v>
      </c>
      <c r="H259" s="31" t="str">
        <f>[3]!EQS(F259,"Units= ; EqnPrefix=Valem  ; EqnNo= 0; Multiplication= 1; ShowWorking= 0; EqnStyle= 2; Eqp$G$39_0")</f>
        <v/>
      </c>
      <c r="I259" s="30" t="s">
        <v>558</v>
      </c>
    </row>
    <row r="260" spans="2:10">
      <c r="H260" s="23" t="str">
        <f>[3]!EQS(F259,"Units= ; EqnPrefix=Valem  ; EqnNo= 0; Multiplication= 1; ShowWorking= 1; EqnStyle= 2; Eqp$G$39_$G$40_1")</f>
        <v/>
      </c>
      <c r="I260" s="30" t="s">
        <v>194</v>
      </c>
    </row>
    <row r="261" spans="2:10" ht="19.5">
      <c r="E261" s="115" t="s">
        <v>201</v>
      </c>
      <c r="F261" s="70">
        <f>COS(RADIANS(45))*F259</f>
        <v>6.4608833112261737</v>
      </c>
      <c r="G261" s="61" t="s">
        <v>86</v>
      </c>
      <c r="H261" s="31" t="str">
        <f>[3]!EQS(F261,"Units= ; EqnPrefix=Valem  ; EqnNo= 0; Multiplication= 1; ShowWorking= 0; EqnStyle= 2; Eqp$H$259_2")</f>
        <v/>
      </c>
      <c r="I261" s="30" t="s">
        <v>559</v>
      </c>
    </row>
    <row r="262" spans="2:10" ht="19.5">
      <c r="E262" s="115" t="s">
        <v>202</v>
      </c>
      <c r="F262" s="68" t="s">
        <v>203</v>
      </c>
      <c r="I262" s="30"/>
    </row>
    <row r="263" spans="2:10">
      <c r="C263" s="64" t="s">
        <v>193</v>
      </c>
    </row>
    <row r="264" spans="2:10" ht="19.5">
      <c r="E264" s="114" t="s">
        <v>200</v>
      </c>
      <c r="F264" s="46">
        <f>F240*F243*F246*F253*F232*F257</f>
        <v>12.091516905830415</v>
      </c>
      <c r="G264" s="61" t="s">
        <v>86</v>
      </c>
      <c r="H264" s="31" t="str">
        <f>[3]!EQS(F264,"Units= ; EqnPrefix=Valem  ; EqnNo= 0; Multiplication= 1; ShowWorking= 0; EqnStyle= 2; Eqp$G$39_0")</f>
        <v/>
      </c>
      <c r="I264" s="30" t="s">
        <v>560</v>
      </c>
    </row>
    <row r="265" spans="2:10">
      <c r="H265" s="23" t="str">
        <f>[3]!EQS(F264,"Units= ; EqnPrefix=Valem  ; EqnNo= 0; Multiplication= 1; ShowWorking= 1; EqnStyle= 2; Eqp$G$39_$G$40_1")</f>
        <v/>
      </c>
      <c r="I265" s="30" t="s">
        <v>195</v>
      </c>
    </row>
    <row r="266" spans="2:10" ht="19.5">
      <c r="E266" s="115" t="s">
        <v>204</v>
      </c>
      <c r="F266" s="70">
        <f>COS(RADIANS(45))*F264</f>
        <v>8.549993598944468</v>
      </c>
      <c r="G266" s="61" t="s">
        <v>86</v>
      </c>
      <c r="H266" s="31" t="str">
        <f>[3]!EQS(F266,"Units= ; EqnPrefix=Valem  ; EqnNo= 0; Multiplication= 1; ShowWorking= 0; EqnStyle= 2; Eqp$H$264_2")</f>
        <v/>
      </c>
      <c r="I266" s="30" t="s">
        <v>561</v>
      </c>
    </row>
    <row r="267" spans="2:10" ht="19.5">
      <c r="E267" s="115" t="s">
        <v>205</v>
      </c>
      <c r="F267" s="68" t="s">
        <v>206</v>
      </c>
      <c r="I267" s="30"/>
    </row>
    <row r="271" spans="2:10">
      <c r="B271" s="71" t="s">
        <v>178</v>
      </c>
      <c r="C271" s="64"/>
    </row>
    <row r="272" spans="2:10">
      <c r="B272" s="35"/>
      <c r="E272" s="114" t="s">
        <v>522</v>
      </c>
      <c r="F272" s="33">
        <v>30</v>
      </c>
      <c r="G272" s="59" t="s">
        <v>51</v>
      </c>
      <c r="I272" s="109" t="s">
        <v>482</v>
      </c>
    </row>
    <row r="273" spans="2:9">
      <c r="B273" s="35"/>
      <c r="E273" s="114" t="s">
        <v>523</v>
      </c>
      <c r="F273" s="33">
        <v>21.8</v>
      </c>
      <c r="G273" s="110" t="s">
        <v>438</v>
      </c>
      <c r="I273" s="109" t="s">
        <v>484</v>
      </c>
    </row>
    <row r="274" spans="2:9">
      <c r="B274" s="35"/>
      <c r="E274" s="114" t="s">
        <v>524</v>
      </c>
      <c r="F274" s="33">
        <v>2</v>
      </c>
      <c r="G274" s="59"/>
      <c r="I274" s="109" t="s">
        <v>483</v>
      </c>
    </row>
    <row r="275" spans="2:9">
      <c r="B275" s="35"/>
      <c r="C275" s="35" t="s">
        <v>65</v>
      </c>
      <c r="F275" s="27"/>
      <c r="G275" s="59"/>
      <c r="I275" s="32"/>
    </row>
    <row r="276" spans="2:9" ht="19.5">
      <c r="B276" s="35"/>
      <c r="E276" s="114" t="s">
        <v>57</v>
      </c>
      <c r="F276" s="42">
        <f>$F$6*LN(F272/$F$7)*$F$3</f>
        <v>25.523749324312423</v>
      </c>
      <c r="G276" s="59" t="s">
        <v>43</v>
      </c>
      <c r="H276" s="31" t="str">
        <f>[3]!EQS(F276,"Units= ; EqnPrefix=Valem  ; EqnNo= 0; Multiplication= 1; ShowWorking= 0; EqnStyle= 2; Eqp$H$21_2")</f>
        <v/>
      </c>
      <c r="I276" s="40" t="s">
        <v>526</v>
      </c>
    </row>
    <row r="277" spans="2:9">
      <c r="B277" s="35"/>
      <c r="E277" s="28"/>
      <c r="F277" s="42"/>
      <c r="G277" s="59"/>
      <c r="H277" s="31" t="str">
        <f>[3]!EQS(F276,"Units= ; EqnPrefix=Valem  ; EqnNo= 0; Multiplication= 1; ShowWorking= 1; EqnStyle= 2; Eqp$H$21_$H$22_3")</f>
        <v/>
      </c>
      <c r="I277" s="40" t="s">
        <v>493</v>
      </c>
    </row>
    <row r="278" spans="2:9">
      <c r="B278" s="35"/>
      <c r="C278" s="41" t="s">
        <v>77</v>
      </c>
      <c r="D278" s="41"/>
      <c r="F278" s="42"/>
      <c r="G278" s="59"/>
      <c r="H278" s="31"/>
      <c r="I278" s="40"/>
    </row>
    <row r="279" spans="2:9" ht="19.5">
      <c r="B279" s="35"/>
      <c r="E279" s="114" t="s">
        <v>75</v>
      </c>
      <c r="F279" s="42">
        <f>1/2*$F$5*F276^2</f>
        <v>399.0203399868326</v>
      </c>
      <c r="G279" s="61" t="s">
        <v>76</v>
      </c>
      <c r="H279" s="31" t="str">
        <f>[3]!EQS(F279,"Units= ; EqnPrefix=Valem  ; EqnNo= 0; Multiplication= 1; ShowWorking= 0; EqnStyle= 2; Eqp$G$21_0")</f>
        <v/>
      </c>
      <c r="I279" s="40" t="s">
        <v>527</v>
      </c>
    </row>
    <row r="280" spans="2:9">
      <c r="B280" s="35"/>
      <c r="E280" s="37"/>
      <c r="F280" s="42"/>
      <c r="G280" s="61"/>
      <c r="H280" s="31" t="str">
        <f>[3]!EQS(F279,"Units= ; EqnPrefix=Valem  ; EqnNo= 0; Multiplication= 1; ShowWorking= 1; EqnStyle= 2; Eqp$G$21_$G$25_1")</f>
        <v/>
      </c>
      <c r="I280" s="40" t="s">
        <v>562</v>
      </c>
    </row>
    <row r="281" spans="2:9">
      <c r="B281" s="35"/>
      <c r="C281" s="35" t="s">
        <v>79</v>
      </c>
      <c r="E281" s="37"/>
      <c r="F281" s="42"/>
      <c r="G281" s="61"/>
      <c r="I281" s="40"/>
    </row>
    <row r="282" spans="2:9" ht="19.5">
      <c r="B282" s="35"/>
      <c r="E282" s="114" t="s">
        <v>80</v>
      </c>
      <c r="F282" s="42">
        <f>(1+2.28/LN(F272/$F$7))^2</f>
        <v>1.8398779018273839</v>
      </c>
      <c r="G282" s="61"/>
      <c r="H282" s="31" t="str">
        <f>[3]!EQS(F282,"Units= ; EqnPrefix=Valem  ; EqnNo= 0; Multiplication= 1; ShowWorking= 0; EqnStyle= 2; Eqp$G$24_0")</f>
        <v/>
      </c>
      <c r="I282" s="40" t="s">
        <v>529</v>
      </c>
    </row>
    <row r="283" spans="2:9">
      <c r="B283" s="35"/>
      <c r="E283" s="37"/>
      <c r="F283" s="42"/>
      <c r="G283" s="61"/>
      <c r="H283" s="31" t="str">
        <f>[3]!EQS(F282,"Units= ; EqnPrefix=Valem  ; EqnNo= 0; Multiplication= 1; ShowWorking= 1; EqnStyle= 2; Eqp$G$24_$G$28_1")</f>
        <v/>
      </c>
      <c r="I283" s="40" t="s">
        <v>563</v>
      </c>
    </row>
    <row r="284" spans="2:9">
      <c r="B284" s="35"/>
      <c r="C284" s="107" t="s">
        <v>486</v>
      </c>
      <c r="E284" s="37"/>
      <c r="F284" s="42"/>
      <c r="G284" s="61"/>
      <c r="H284" s="31"/>
      <c r="I284" s="40"/>
    </row>
    <row r="285" spans="2:9">
      <c r="B285" s="35"/>
      <c r="E285" s="114" t="s">
        <v>525</v>
      </c>
      <c r="F285" s="33">
        <v>360</v>
      </c>
      <c r="G285" s="110" t="s">
        <v>51</v>
      </c>
      <c r="H285" s="31"/>
      <c r="I285" s="40"/>
    </row>
    <row r="286" spans="2:9">
      <c r="B286" s="35"/>
      <c r="C286" s="107" t="s">
        <v>485</v>
      </c>
      <c r="E286" s="37"/>
      <c r="F286" s="42"/>
      <c r="G286" s="61"/>
      <c r="H286" s="31"/>
      <c r="I286" s="40"/>
    </row>
    <row r="287" spans="2:9" ht="19.5">
      <c r="B287" s="35"/>
      <c r="E287" s="114" t="s">
        <v>487</v>
      </c>
      <c r="F287" s="42">
        <f>1.3-0.082*LN(F285)</f>
        <v>0.81733946942108726</v>
      </c>
      <c r="G287" s="61"/>
      <c r="H287" s="31" t="str">
        <f>[3]!EQS(F287,"Units= ; EqnPrefix=Valem  ; EqnNo= 0; Multiplication= 1; ShowWorking= 0; EqnStyle= 2; Eqp$G$24_0")</f>
        <v/>
      </c>
      <c r="I287" s="40" t="s">
        <v>495</v>
      </c>
    </row>
    <row r="288" spans="2:9">
      <c r="B288" s="35"/>
      <c r="C288" s="107" t="s">
        <v>488</v>
      </c>
      <c r="E288" s="108"/>
      <c r="F288" s="42"/>
      <c r="G288" s="61"/>
      <c r="H288" s="31"/>
      <c r="I288" s="40"/>
    </row>
    <row r="289" spans="2:28" ht="19.5">
      <c r="B289" s="35"/>
      <c r="E289" s="114" t="s">
        <v>489</v>
      </c>
      <c r="F289" s="42">
        <v>1.1000000000000001</v>
      </c>
      <c r="G289" s="61"/>
      <c r="H289" s="31"/>
      <c r="I289" s="40"/>
    </row>
    <row r="290" spans="2:28">
      <c r="B290" s="35"/>
      <c r="C290" s="107" t="s">
        <v>490</v>
      </c>
      <c r="E290" s="37"/>
      <c r="F290" s="42"/>
      <c r="G290" s="61"/>
      <c r="H290" s="31"/>
      <c r="I290" s="40"/>
    </row>
    <row r="291" spans="2:28" ht="19.5">
      <c r="B291" s="35"/>
      <c r="C291" s="107"/>
      <c r="E291" s="114" t="s">
        <v>492</v>
      </c>
      <c r="F291" s="42">
        <f>F279*F282*F287*F289*F273/1000</f>
        <v>14.389168156300371</v>
      </c>
      <c r="G291" s="110" t="s">
        <v>86</v>
      </c>
      <c r="H291" s="31" t="str">
        <f>[3]!EQS(F291,"Units= ; EqnPrefix=Valem  ; EqnNo= 0; Multiplication= 1; ShowWorking= 0; EqnStyle= 2; Eqp$G$24_0")</f>
        <v/>
      </c>
      <c r="I291" s="40" t="s">
        <v>564</v>
      </c>
    </row>
    <row r="292" spans="2:28">
      <c r="B292" s="35"/>
      <c r="C292" s="107"/>
      <c r="E292" s="108"/>
      <c r="F292" s="42"/>
      <c r="G292" s="110"/>
      <c r="H292" s="31" t="str">
        <f>[3]!EQS(F291,"Units= ; EqnPrefix=Valem  ; EqnNo= 0; Multiplication= 1; ShowWorking= 1; EqnStyle= 2; Eqp$G$24_$H$294_1")</f>
        <v/>
      </c>
      <c r="I292" s="40" t="s">
        <v>494</v>
      </c>
    </row>
    <row r="293" spans="2:28">
      <c r="B293" s="35"/>
      <c r="C293" s="107" t="s">
        <v>491</v>
      </c>
      <c r="E293" s="37"/>
      <c r="F293" s="42"/>
      <c r="G293" s="61"/>
      <c r="H293" s="31"/>
      <c r="I293" s="40"/>
    </row>
    <row r="294" spans="2:28" ht="19.5">
      <c r="E294" s="114" t="s">
        <v>209</v>
      </c>
      <c r="F294" s="46">
        <f>F291*F274</f>
        <v>28.778336312600743</v>
      </c>
      <c r="G294" s="110" t="s">
        <v>86</v>
      </c>
      <c r="H294" s="31" t="str">
        <f>[3]!EQS(F294,"Units= ; EqnPrefix=Valem  ; EqnNo= 0; Multiplication= 1; ShowWorking= 0; EqnStyle= 2; Eqp$G$24_0")</f>
        <v/>
      </c>
      <c r="I294" s="30" t="s">
        <v>565</v>
      </c>
    </row>
    <row r="295" spans="2:28">
      <c r="E295" s="108"/>
      <c r="F295" s="70"/>
      <c r="G295" s="110"/>
      <c r="H295" s="31"/>
      <c r="I295" s="30"/>
    </row>
    <row r="296" spans="2:28">
      <c r="C296" s="64" t="s">
        <v>210</v>
      </c>
    </row>
    <row r="297" spans="2:28" ht="19.5">
      <c r="E297" s="114" t="s">
        <v>211</v>
      </c>
      <c r="F297" s="117">
        <f>COS(RADIANS(0))^2</f>
        <v>1</v>
      </c>
      <c r="H297" s="31" t="str">
        <f>[3]!EQS(F297,"Units= ; EqnPrefix=Valem  ; EqnNo= 0; Multiplication= 1; ShowWorking= 0; EqnStyle= 2; Eqp$H$274_2")</f>
        <v/>
      </c>
      <c r="I297" s="30" t="s">
        <v>591</v>
      </c>
    </row>
    <row r="298" spans="2:28">
      <c r="C298" s="64" t="s">
        <v>219</v>
      </c>
    </row>
    <row r="299" spans="2:28" ht="19.5">
      <c r="E299" s="114" t="s">
        <v>213</v>
      </c>
      <c r="F299" s="46">
        <f>F294*F297</f>
        <v>28.778336312600743</v>
      </c>
      <c r="G299" s="67" t="s">
        <v>86</v>
      </c>
      <c r="H299" s="31" t="str">
        <f>[3]!EQS(F299,"Units= ; EqnPrefix=Valem  ; EqnNo= 0; Multiplication= 1; ShowWorking= 0; EqnStyle= 2; Eqp$H$276_2")</f>
        <v/>
      </c>
      <c r="I299" s="30" t="s">
        <v>566</v>
      </c>
    </row>
    <row r="300" spans="2:28">
      <c r="D300" s="64" t="s">
        <v>225</v>
      </c>
      <c r="F300" s="70"/>
      <c r="G300" s="67"/>
      <c r="H300" s="31"/>
      <c r="I300" s="30"/>
      <c r="AB300" s="26"/>
    </row>
    <row r="301" spans="2:28" ht="19.5">
      <c r="E301" s="114" t="s">
        <v>221</v>
      </c>
      <c r="F301" s="70">
        <f>COS(RADIANS(4))*F299</f>
        <v>28.708233731737373</v>
      </c>
      <c r="G301" s="67" t="s">
        <v>86</v>
      </c>
      <c r="H301" s="31" t="str">
        <f>[3]!EQS(F301,"Units= ; EqnPrefix=Valem  ; EqnNo= 0; Multiplication= 1; ShowWorking= 0; EqnStyle= 2; Eqp$H$277_2")</f>
        <v/>
      </c>
      <c r="I301" s="30" t="s">
        <v>567</v>
      </c>
    </row>
    <row r="302" spans="2:28" ht="19.5">
      <c r="E302" s="114" t="s">
        <v>222</v>
      </c>
      <c r="F302" s="70">
        <f>SIN(RADIANS(4))*F299</f>
        <v>2.0074752613895415</v>
      </c>
      <c r="G302" s="67" t="s">
        <v>86</v>
      </c>
      <c r="H302" s="31" t="str">
        <f>[3]!EQS(F302,"Units= ; EqnPrefix=Valem  ; EqnNo= 0; Multiplication= 1; ShowWorking= 0; EqnStyle=2; Eqp$H$278_2")</f>
        <v/>
      </c>
      <c r="I302" s="30" t="s">
        <v>568</v>
      </c>
      <c r="Z302" s="31"/>
    </row>
    <row r="303" spans="2:28">
      <c r="C303" s="64" t="s">
        <v>214</v>
      </c>
      <c r="Z303" s="31"/>
    </row>
    <row r="304" spans="2:28" ht="19.5">
      <c r="E304" s="114" t="s">
        <v>211</v>
      </c>
      <c r="F304" s="117">
        <f>COS(RADIANS(8))^2</f>
        <v>0.98063084796915956</v>
      </c>
      <c r="H304" s="31" t="str">
        <f>[3]!EQS(F304,"Units= ; EqnPrefix=Valem  ; EqnNo= 0; Multiplication= 1; ShowWorking= 0; EqnStyle= 2; Eqp$H$278_2")</f>
        <v/>
      </c>
      <c r="I304" s="30" t="s">
        <v>590</v>
      </c>
      <c r="Z304" s="31"/>
    </row>
    <row r="305" spans="2:26">
      <c r="C305" s="64" t="s">
        <v>220</v>
      </c>
      <c r="Z305" s="31"/>
    </row>
    <row r="306" spans="2:26" ht="19.5">
      <c r="E306" s="114" t="s">
        <v>216</v>
      </c>
      <c r="F306" s="46">
        <f>F294*F304</f>
        <v>28.220924341367322</v>
      </c>
      <c r="G306" s="67" t="s">
        <v>86</v>
      </c>
      <c r="H306" s="31" t="str">
        <f>[3]!EQS(F306,"Units= ; EqnPrefix=Valem  ; EqnNo= 0; Multiplication= 1; ShowWorking= 0; EqnStyle= 2; Eqp$H$276_2")</f>
        <v/>
      </c>
      <c r="I306" s="30" t="s">
        <v>566</v>
      </c>
      <c r="Z306" s="31"/>
    </row>
    <row r="307" spans="2:26">
      <c r="D307" s="64" t="s">
        <v>225</v>
      </c>
      <c r="E307" s="66"/>
      <c r="F307" s="70"/>
      <c r="G307" s="67"/>
      <c r="H307" s="31"/>
      <c r="I307" s="30"/>
      <c r="Z307" s="31"/>
    </row>
    <row r="308" spans="2:26" ht="19.5">
      <c r="E308" s="114" t="s">
        <v>221</v>
      </c>
      <c r="F308" s="70">
        <f>COS(RADIANS(4))*F306</f>
        <v>28.152179588050448</v>
      </c>
      <c r="G308" s="67" t="s">
        <v>86</v>
      </c>
      <c r="H308" s="31" t="str">
        <f>[3]!EQS(F308,"Units= ; EqnPrefix=Valem  ; EqnNo= 0; Multiplication= 1; ShowWorking= 0; EqnStyle= 2; Eqp$H$277_2")</f>
        <v/>
      </c>
      <c r="I308" s="30" t="s">
        <v>569</v>
      </c>
      <c r="Z308" s="31"/>
    </row>
    <row r="309" spans="2:26" ht="19.5">
      <c r="E309" s="114" t="s">
        <v>222</v>
      </c>
      <c r="F309" s="70">
        <f>SIN(RADIANS(4))*F306</f>
        <v>1.9685921678535363</v>
      </c>
      <c r="G309" s="67" t="s">
        <v>86</v>
      </c>
      <c r="H309" s="31" t="str">
        <f>[3]!EQS(F309,"Units= ; EqnPrefix=Valem  ; EqnNo= 0; Multiplication= 1; ShowWorking= 0; EqnStyle=2; Eqp$H$278_2")</f>
        <v/>
      </c>
      <c r="I309" s="30" t="s">
        <v>570</v>
      </c>
      <c r="Z309" s="31"/>
    </row>
    <row r="311" spans="2:26">
      <c r="B311" s="71" t="s">
        <v>226</v>
      </c>
      <c r="D311" s="94"/>
      <c r="E311" s="96"/>
      <c r="F311" s="70"/>
      <c r="G311" s="67"/>
      <c r="H311" s="31"/>
      <c r="I311" s="30"/>
    </row>
    <row r="313" spans="2:26" ht="19.5">
      <c r="E313" s="116" t="s">
        <v>75</v>
      </c>
      <c r="F313" s="111">
        <f>F279</f>
        <v>399.0203399868326</v>
      </c>
      <c r="G313" s="110" t="s">
        <v>76</v>
      </c>
      <c r="H313" s="31"/>
      <c r="I313" s="109" t="s">
        <v>504</v>
      </c>
    </row>
    <row r="314" spans="2:26" ht="19.5">
      <c r="E314" s="116" t="s">
        <v>80</v>
      </c>
      <c r="F314" s="111">
        <f>F282</f>
        <v>1.8398779018273839</v>
      </c>
      <c r="G314" s="110"/>
      <c r="H314" s="31">
        <v>1.8</v>
      </c>
      <c r="I314" s="109" t="s">
        <v>505</v>
      </c>
    </row>
    <row r="315" spans="2:26" ht="19.5">
      <c r="E315" s="116" t="s">
        <v>498</v>
      </c>
      <c r="F315" s="111">
        <f>F9</f>
        <v>1.1499999999999999</v>
      </c>
      <c r="G315" s="67"/>
      <c r="H315" s="31">
        <v>1.05</v>
      </c>
      <c r="I315" s="109" t="s">
        <v>506</v>
      </c>
    </row>
    <row r="316" spans="2:26" ht="19.5">
      <c r="E316" s="116" t="s">
        <v>499</v>
      </c>
      <c r="F316" s="111">
        <v>1.2</v>
      </c>
      <c r="G316" s="67"/>
      <c r="H316" s="31"/>
      <c r="I316" s="109" t="s">
        <v>507</v>
      </c>
    </row>
    <row r="317" spans="2:26" ht="19.5">
      <c r="E317" s="116" t="s">
        <v>500</v>
      </c>
      <c r="F317" s="112">
        <v>8.8999999999999999E-3</v>
      </c>
      <c r="G317" s="67" t="s">
        <v>81</v>
      </c>
      <c r="H317" s="31"/>
      <c r="I317" s="109" t="s">
        <v>510</v>
      </c>
    </row>
    <row r="318" spans="2:26">
      <c r="E318" s="116" t="s">
        <v>524</v>
      </c>
      <c r="F318" s="111">
        <v>9</v>
      </c>
      <c r="G318" s="110" t="s">
        <v>508</v>
      </c>
      <c r="H318" s="31"/>
      <c r="I318" s="109" t="s">
        <v>509</v>
      </c>
    </row>
    <row r="319" spans="2:26" ht="19.5">
      <c r="E319" s="116" t="s">
        <v>229</v>
      </c>
      <c r="F319" s="104">
        <f>F313*F314*F315*F316*F317*F318</f>
        <v>81.151329655142234</v>
      </c>
      <c r="G319" s="110" t="s">
        <v>154</v>
      </c>
      <c r="H319" s="31" t="str">
        <f>[3]!EQS(F319,"Units= ; EqnPrefix=Valem  ; EqnNo= 0; Multiplication= 1; ShowWorking= 0; EqnStyle=2; Eqp$H$278_2")</f>
        <v/>
      </c>
      <c r="I319" s="30" t="s">
        <v>571</v>
      </c>
    </row>
    <row r="320" spans="2:26">
      <c r="E320" s="99"/>
      <c r="F320" s="46"/>
      <c r="G320" s="67"/>
      <c r="H320" s="31"/>
      <c r="I320" s="30"/>
    </row>
    <row r="321" spans="2:9">
      <c r="D321" s="64" t="s">
        <v>225</v>
      </c>
      <c r="E321" s="66"/>
      <c r="F321" s="70"/>
      <c r="G321" s="67"/>
      <c r="H321" s="31"/>
      <c r="I321" s="30"/>
    </row>
    <row r="322" spans="2:9" ht="19.5">
      <c r="E322" s="114" t="s">
        <v>221</v>
      </c>
      <c r="F322" s="70">
        <f>COS(RADIANS(4))*F319</f>
        <v>80.953649094753871</v>
      </c>
      <c r="G322" s="67" t="s">
        <v>154</v>
      </c>
      <c r="H322" s="31" t="str">
        <f>[3]!EQS(F322,"Units= ; EqnPrefix=Valem  ; EqnNo= 0; Multiplication= 1; ShowWorking= 0; EqnStyle= 2; Eqp$H$277_2")</f>
        <v/>
      </c>
      <c r="I322" s="30" t="s">
        <v>572</v>
      </c>
    </row>
    <row r="323" spans="2:9" ht="19.5">
      <c r="E323" s="114" t="s">
        <v>222</v>
      </c>
      <c r="F323" s="70">
        <f>SIN(RADIANS(4))*F319</f>
        <v>5.6608305963897863</v>
      </c>
      <c r="G323" s="67" t="s">
        <v>154</v>
      </c>
      <c r="H323" s="31" t="str">
        <f>[3]!EQS(F323,"Units= ; EqnPrefix=Valem  ; EqnNo= 0; Multiplication= 1; ShowWorking= 0; EqnStyle=2; Eqp$H$278_2")</f>
        <v/>
      </c>
      <c r="I323" s="30" t="s">
        <v>573</v>
      </c>
    </row>
    <row r="324" spans="2:9">
      <c r="E324" s="66"/>
      <c r="F324" s="70"/>
      <c r="G324" s="67"/>
      <c r="H324" s="31"/>
      <c r="I324" s="30"/>
    </row>
    <row r="325" spans="2:9">
      <c r="E325" s="66"/>
      <c r="F325" s="70"/>
      <c r="G325" s="67"/>
      <c r="H325" s="31"/>
      <c r="I325" s="30"/>
    </row>
    <row r="326" spans="2:9">
      <c r="B326" s="71" t="s">
        <v>179</v>
      </c>
    </row>
    <row r="327" spans="2:9">
      <c r="B327" s="35"/>
      <c r="E327" s="114" t="s">
        <v>522</v>
      </c>
      <c r="F327" s="33">
        <v>36</v>
      </c>
      <c r="G327" s="59" t="s">
        <v>51</v>
      </c>
      <c r="I327" s="109" t="s">
        <v>482</v>
      </c>
    </row>
    <row r="328" spans="2:9">
      <c r="B328" s="35"/>
      <c r="E328" s="114" t="s">
        <v>523</v>
      </c>
      <c r="F328" s="33">
        <v>27.7</v>
      </c>
      <c r="G328" s="110" t="s">
        <v>438</v>
      </c>
      <c r="I328" s="109" t="s">
        <v>496</v>
      </c>
    </row>
    <row r="329" spans="2:9">
      <c r="B329" s="35"/>
      <c r="E329" s="114" t="s">
        <v>524</v>
      </c>
      <c r="F329" s="33">
        <v>3</v>
      </c>
      <c r="G329" s="59"/>
      <c r="I329" s="109" t="s">
        <v>483</v>
      </c>
    </row>
    <row r="330" spans="2:9">
      <c r="B330" s="35"/>
      <c r="C330" s="35" t="s">
        <v>65</v>
      </c>
      <c r="F330" s="27"/>
      <c r="G330" s="59"/>
      <c r="I330" s="32"/>
    </row>
    <row r="331" spans="2:9" ht="19.5">
      <c r="B331" s="35"/>
      <c r="E331" s="114" t="s">
        <v>57</v>
      </c>
      <c r="F331" s="42">
        <f>$F$6*LN(F327/$F$7)*$F$3</f>
        <v>26.251212335920307</v>
      </c>
      <c r="G331" s="59" t="s">
        <v>43</v>
      </c>
      <c r="H331" s="31" t="str">
        <f>[3]!EQS(F331,"Units= ; EqnPrefix=Valem  ; EqnNo= 0; Multiplication= 1; ShowWorking= 0; EqnStyle= 2; Eqp$H$21_2")</f>
        <v/>
      </c>
      <c r="I331" s="40" t="s">
        <v>526</v>
      </c>
    </row>
    <row r="332" spans="2:9">
      <c r="B332" s="35"/>
      <c r="E332" s="28"/>
      <c r="F332" s="42"/>
      <c r="G332" s="59"/>
      <c r="H332" s="31" t="str">
        <f>[3]!EQS(F331,"Units= ; EqnPrefix=Valem  ; EqnNo= 0; Multiplication= 1; ShowWorking= 1; EqnStyle= 2; Eqp$H$21_$H$22_3")</f>
        <v/>
      </c>
      <c r="I332" s="40" t="s">
        <v>64</v>
      </c>
    </row>
    <row r="333" spans="2:9">
      <c r="B333" s="35"/>
      <c r="C333" s="41" t="s">
        <v>77</v>
      </c>
      <c r="D333" s="41"/>
      <c r="F333" s="42"/>
      <c r="G333" s="59"/>
      <c r="H333" s="31"/>
      <c r="I333" s="40"/>
    </row>
    <row r="334" spans="2:9" ht="19.5">
      <c r="B334" s="35"/>
      <c r="E334" s="114" t="s">
        <v>75</v>
      </c>
      <c r="F334" s="42">
        <f>1/2*$F$5*F331^2</f>
        <v>422.08976632716445</v>
      </c>
      <c r="G334" s="61" t="s">
        <v>76</v>
      </c>
      <c r="H334" s="31" t="str">
        <f>[3]!EQS(F334,"Units= ; EqnPrefix=Valem  ; EqnNo= 0; Multiplication= 1; ShowWorking= 0; EqnStyle= 2; Eqp$G$21_0")</f>
        <v/>
      </c>
      <c r="I334" s="40" t="s">
        <v>527</v>
      </c>
    </row>
    <row r="335" spans="2:9">
      <c r="B335" s="35"/>
      <c r="E335" s="37"/>
      <c r="F335" s="42"/>
      <c r="G335" s="61"/>
      <c r="H335" s="31" t="str">
        <f>[3]!EQS(F334,"Units= ; EqnPrefix=Valem  ; EqnNo= 0; Multiplication= 1; ShowWorking= 1; EqnStyle= 2; Eqp$G$21_$G$25_1")</f>
        <v/>
      </c>
      <c r="I335" s="40" t="s">
        <v>528</v>
      </c>
    </row>
    <row r="336" spans="2:9">
      <c r="B336" s="35"/>
      <c r="C336" s="35" t="s">
        <v>79</v>
      </c>
      <c r="E336" s="37"/>
      <c r="F336" s="42"/>
      <c r="G336" s="61"/>
      <c r="I336" s="40"/>
    </row>
    <row r="337" spans="2:9" ht="19.5">
      <c r="B337" s="35"/>
      <c r="E337" s="114" t="s">
        <v>80</v>
      </c>
      <c r="F337" s="42">
        <f>(1+2.28/LN(F327/$F$7))^2</f>
        <v>1.8131807308313552</v>
      </c>
      <c r="G337" s="61"/>
      <c r="H337" s="31" t="str">
        <f>[3]!EQS(F337,"Units= ; EqnPrefix=Valem  ; EqnNo= 0; Multiplication= 1; ShowWorking= 0; EqnStyle= 2; Eqp$G$24_0")</f>
        <v/>
      </c>
      <c r="I337" s="40" t="s">
        <v>529</v>
      </c>
    </row>
    <row r="338" spans="2:9">
      <c r="B338" s="35"/>
      <c r="E338" s="37"/>
      <c r="F338" s="42"/>
      <c r="G338" s="61"/>
      <c r="H338" s="31" t="str">
        <f>[3]!EQS(F337,"Units= ; EqnPrefix=Valem  ; EqnNo= 0; Multiplication= 1; ShowWorking= 1; EqnStyle= 2; Eqp$G$24_$G$28_1")</f>
        <v/>
      </c>
      <c r="I338" s="40" t="s">
        <v>530</v>
      </c>
    </row>
    <row r="339" spans="2:9">
      <c r="B339" s="35"/>
      <c r="C339" s="107" t="s">
        <v>486</v>
      </c>
      <c r="E339" s="37"/>
      <c r="F339" s="42"/>
      <c r="G339" s="61"/>
      <c r="H339" s="31"/>
      <c r="I339" s="40"/>
    </row>
    <row r="340" spans="2:9">
      <c r="B340" s="35"/>
      <c r="E340" s="114" t="s">
        <v>525</v>
      </c>
      <c r="F340" s="33">
        <v>360</v>
      </c>
      <c r="G340" s="110" t="s">
        <v>51</v>
      </c>
      <c r="H340" s="31"/>
      <c r="I340" s="40"/>
    </row>
    <row r="341" spans="2:9">
      <c r="B341" s="35"/>
      <c r="C341" s="107" t="s">
        <v>485</v>
      </c>
      <c r="E341" s="37"/>
      <c r="F341" s="42"/>
      <c r="G341" s="61"/>
      <c r="H341" s="31"/>
      <c r="I341" s="40"/>
    </row>
    <row r="342" spans="2:9" ht="19.5">
      <c r="B342" s="35"/>
      <c r="E342" s="114" t="s">
        <v>487</v>
      </c>
      <c r="F342" s="42">
        <f>1.3-0.082*LN(F340)</f>
        <v>0.81733946942108726</v>
      </c>
      <c r="G342" s="61"/>
      <c r="H342" s="31" t="str">
        <f>[3]!EQS(F342,"Units= ; EqnPrefix=Valem  ; EqnNo= 0; Multiplication= 1; ShowWorking= 0; EqnStyle= 2; Eqp$G$24_0")</f>
        <v/>
      </c>
      <c r="I342" s="40" t="s">
        <v>495</v>
      </c>
    </row>
    <row r="343" spans="2:9">
      <c r="B343" s="35"/>
      <c r="C343" s="107" t="s">
        <v>488</v>
      </c>
      <c r="E343" s="108"/>
      <c r="F343" s="42"/>
      <c r="G343" s="61"/>
      <c r="H343" s="31"/>
      <c r="I343" s="40"/>
    </row>
    <row r="344" spans="2:9" ht="19.5">
      <c r="B344" s="35"/>
      <c r="E344" s="114" t="s">
        <v>489</v>
      </c>
      <c r="F344" s="42">
        <v>1.1000000000000001</v>
      </c>
      <c r="G344" s="61"/>
      <c r="H344" s="31"/>
      <c r="I344" s="40"/>
    </row>
    <row r="345" spans="2:9">
      <c r="B345" s="35"/>
      <c r="C345" s="107" t="s">
        <v>490</v>
      </c>
      <c r="E345" s="37"/>
      <c r="F345" s="42"/>
      <c r="G345" s="61"/>
      <c r="H345" s="31"/>
      <c r="I345" s="40"/>
    </row>
    <row r="346" spans="2:9" ht="19.5">
      <c r="B346" s="35"/>
      <c r="C346" s="107"/>
      <c r="E346" s="114" t="s">
        <v>492</v>
      </c>
      <c r="F346" s="42">
        <f>F334*F337*F342*F344*F328/1000</f>
        <v>19.059909909548939</v>
      </c>
      <c r="G346" s="110" t="s">
        <v>86</v>
      </c>
      <c r="H346" s="31" t="str">
        <f>[3]!EQS(F346,"Units= ; EqnPrefix=Valem  ; EqnNo= 0; Multiplication= 1; ShowWorking= 0; EqnStyle= 2; Eqp$G$24_0")</f>
        <v/>
      </c>
      <c r="I346" s="40" t="s">
        <v>564</v>
      </c>
    </row>
    <row r="347" spans="2:9">
      <c r="B347" s="35"/>
      <c r="C347" s="107"/>
      <c r="E347" s="108"/>
      <c r="F347" s="42"/>
      <c r="G347" s="110"/>
      <c r="H347" s="31" t="str">
        <f>[3]!EQS(F346,"Units= ; EqnPrefix=Valem  ; EqnNo= 0; Multiplication= 1; ShowWorking= 1; EqnStyle= 2; Eqp$G$24_$H$294_1")</f>
        <v/>
      </c>
      <c r="I347" s="40" t="s">
        <v>497</v>
      </c>
    </row>
    <row r="348" spans="2:9">
      <c r="B348" s="35"/>
      <c r="C348" s="107" t="s">
        <v>491</v>
      </c>
      <c r="E348" s="37"/>
      <c r="F348" s="42"/>
      <c r="G348" s="61"/>
      <c r="H348" s="31"/>
      <c r="I348" s="40"/>
    </row>
    <row r="349" spans="2:9" ht="19.5">
      <c r="E349" s="114" t="s">
        <v>209</v>
      </c>
      <c r="F349" s="46">
        <f>F346*F329</f>
        <v>57.179729728646819</v>
      </c>
      <c r="G349" s="110" t="s">
        <v>86</v>
      </c>
      <c r="H349" s="31" t="str">
        <f>[3]!EQS(F349,"Units= ; EqnPrefix=Valem  ; EqnNo= 0; Multiplication= 1; ShowWorking= 0; EqnStyle= 2; Eqp$G$24_0")</f>
        <v/>
      </c>
      <c r="I349" s="30" t="s">
        <v>565</v>
      </c>
    </row>
    <row r="350" spans="2:9">
      <c r="E350" s="108"/>
      <c r="F350" s="70"/>
      <c r="G350" s="110"/>
      <c r="H350" s="31"/>
      <c r="I350" s="30"/>
    </row>
    <row r="351" spans="2:9">
      <c r="C351" s="64" t="s">
        <v>210</v>
      </c>
    </row>
    <row r="352" spans="2:9" ht="19.5">
      <c r="E352" s="114" t="s">
        <v>211</v>
      </c>
      <c r="F352" s="117">
        <f>COS(RADIANS(0))^2</f>
        <v>1</v>
      </c>
      <c r="H352" s="31" t="str">
        <f>[3]!EQS(F352,"Units= ; EqnPrefix=Valem  ; EqnNo= 0; Multiplication= 1; ShowWorking= 0; EqnStyle= 2; Eqp$H$274_2")</f>
        <v/>
      </c>
      <c r="I352" s="30" t="s">
        <v>591</v>
      </c>
    </row>
    <row r="353" spans="2:9">
      <c r="C353" s="64" t="s">
        <v>212</v>
      </c>
      <c r="F353" s="58"/>
    </row>
    <row r="354" spans="2:9" ht="19.5">
      <c r="E354" s="114" t="s">
        <v>223</v>
      </c>
      <c r="F354" s="46">
        <f>F349*F352</f>
        <v>57.179729728646819</v>
      </c>
      <c r="G354" s="67" t="s">
        <v>86</v>
      </c>
      <c r="H354" s="31" t="str">
        <f>[3]!EQS(F354,"Units= ; EqnPrefix=Valem  ; EqnNo= 0; Multiplication= 1; ShowWorking= 0; EqnStyle= 2; Eqp$H$276_2")</f>
        <v/>
      </c>
      <c r="I354" s="30" t="s">
        <v>566</v>
      </c>
    </row>
    <row r="355" spans="2:9">
      <c r="D355" s="64" t="s">
        <v>225</v>
      </c>
      <c r="E355" s="66"/>
      <c r="F355" s="70"/>
      <c r="G355" s="67"/>
      <c r="H355" s="31"/>
      <c r="I355" s="30"/>
    </row>
    <row r="356" spans="2:9" ht="19.5">
      <c r="E356" s="114" t="s">
        <v>221</v>
      </c>
      <c r="F356" s="70">
        <f>COS(RADIANS(4))*F354</f>
        <v>57.040442780870997</v>
      </c>
      <c r="G356" s="67" t="s">
        <v>86</v>
      </c>
      <c r="H356" s="31" t="str">
        <f>[3]!EQS(F356,"Units= ; EqnPrefix=Valem  ; EqnNo= 0; Multiplication= 1; ShowWorking= 0; EqnStyle= 2; Eqp$H$277_2")</f>
        <v/>
      </c>
      <c r="I356" s="30" t="s">
        <v>574</v>
      </c>
    </row>
    <row r="357" spans="2:9" ht="19.5">
      <c r="E357" s="114" t="s">
        <v>222</v>
      </c>
      <c r="F357" s="70">
        <f>SIN(RADIANS(4))*F354</f>
        <v>3.9886563155125327</v>
      </c>
      <c r="G357" s="67" t="s">
        <v>86</v>
      </c>
      <c r="H357" s="31" t="str">
        <f>[3]!EQS(F357,"Units= ; EqnPrefix=Valem  ; EqnNo= 0; Multiplication= 1; ShowWorking= 0; EqnStyle=2; Eqp$H$278_2")</f>
        <v/>
      </c>
      <c r="I357" s="30" t="s">
        <v>575</v>
      </c>
    </row>
    <row r="358" spans="2:9">
      <c r="C358" s="64" t="s">
        <v>214</v>
      </c>
    </row>
    <row r="359" spans="2:9" ht="19.5">
      <c r="E359" s="114" t="s">
        <v>211</v>
      </c>
      <c r="F359" s="117">
        <f>COS(RADIANS(8))^2</f>
        <v>0.98063084796915956</v>
      </c>
      <c r="H359" s="31" t="str">
        <f>[3]!EQS(F359,"Units= ; EqnPrefix=Valem  ; EqnNo= 0; Multiplication= 1; ShowWorking= 0; EqnStyle= 2; Eqp$H$278_2")</f>
        <v/>
      </c>
      <c r="I359" s="30" t="s">
        <v>590</v>
      </c>
    </row>
    <row r="360" spans="2:9">
      <c r="C360" s="64" t="s">
        <v>215</v>
      </c>
    </row>
    <row r="361" spans="2:9" ht="19.5">
      <c r="E361" s="114" t="s">
        <v>224</v>
      </c>
      <c r="F361" s="46">
        <f>F349*F359</f>
        <v>56.072206850450293</v>
      </c>
      <c r="G361" s="67" t="s">
        <v>86</v>
      </c>
      <c r="H361" s="31" t="str">
        <f>[3]!EQS(F361,"Units= ; EqnPrefix=Valem  ; EqnNo= 0; Multiplication= 1; ShowWorking= 0; EqnStyle= 2; Eqp$H$276_2")</f>
        <v/>
      </c>
      <c r="I361" s="30" t="s">
        <v>566</v>
      </c>
    </row>
    <row r="362" spans="2:9">
      <c r="D362" s="64" t="s">
        <v>225</v>
      </c>
      <c r="E362" s="66"/>
      <c r="F362" s="70"/>
      <c r="G362" s="67"/>
      <c r="H362" s="31"/>
      <c r="I362" s="30"/>
    </row>
    <row r="363" spans="2:9" ht="19.5">
      <c r="E363" s="114" t="s">
        <v>221</v>
      </c>
      <c r="F363" s="70">
        <f>COS(RADIANS(4))*F361</f>
        <v>55.935617772741857</v>
      </c>
      <c r="G363" s="67" t="s">
        <v>86</v>
      </c>
      <c r="H363" s="31" t="str">
        <f>[3]!EQS(F363,"Units= ; EqnPrefix=Valem  ; EqnNo= 0; Multiplication= 1; ShowWorking= 0; EqnStyle= 2; Eqp$H$277_2")</f>
        <v/>
      </c>
      <c r="I363" s="30" t="s">
        <v>576</v>
      </c>
    </row>
    <row r="364" spans="2:9" ht="19.5">
      <c r="E364" s="114" t="s">
        <v>222</v>
      </c>
      <c r="F364" s="70">
        <f>SIN(RADIANS(4))*F361</f>
        <v>3.9113994249385988</v>
      </c>
      <c r="G364" s="67" t="s">
        <v>86</v>
      </c>
      <c r="H364" s="31" t="str">
        <f>[3]!EQS(F364,"Units= ; EqnPrefix=Valem  ; EqnNo= 0; Multiplication= 1; ShowWorking= 0; EqnStyle=2; Eqp$H$278_2")</f>
        <v/>
      </c>
      <c r="I364" s="30" t="s">
        <v>577</v>
      </c>
    </row>
    <row r="365" spans="2:9">
      <c r="E365" s="66"/>
      <c r="F365" s="70"/>
      <c r="G365" s="67"/>
      <c r="H365" s="31"/>
      <c r="I365" s="30"/>
    </row>
    <row r="366" spans="2:9">
      <c r="B366" s="71" t="s">
        <v>228</v>
      </c>
      <c r="E366" s="66"/>
      <c r="F366" s="70"/>
      <c r="G366" s="67"/>
      <c r="H366" s="31"/>
      <c r="I366" s="30"/>
    </row>
    <row r="367" spans="2:9">
      <c r="D367" s="64"/>
      <c r="E367" s="66"/>
      <c r="F367" s="70"/>
      <c r="G367" s="67"/>
      <c r="H367" s="31"/>
      <c r="I367" s="30"/>
    </row>
    <row r="368" spans="2:9">
      <c r="E368" s="99"/>
      <c r="F368" s="46"/>
      <c r="G368" s="67"/>
      <c r="H368" s="31"/>
      <c r="I368" s="30"/>
    </row>
    <row r="369" spans="2:9" ht="19.5">
      <c r="E369" s="116" t="s">
        <v>75</v>
      </c>
      <c r="F369" s="111">
        <f>F334</f>
        <v>422.08976632716445</v>
      </c>
      <c r="G369" s="110" t="s">
        <v>76</v>
      </c>
      <c r="H369" s="31"/>
      <c r="I369" s="109" t="s">
        <v>504</v>
      </c>
    </row>
    <row r="370" spans="2:9" ht="19.5">
      <c r="E370" s="116" t="s">
        <v>80</v>
      </c>
      <c r="F370" s="111">
        <f>F337</f>
        <v>1.8131807308313552</v>
      </c>
      <c r="G370" s="110"/>
      <c r="H370" s="31">
        <v>1.8</v>
      </c>
      <c r="I370" s="109" t="s">
        <v>505</v>
      </c>
    </row>
    <row r="371" spans="2:9" ht="19.5">
      <c r="E371" s="116" t="s">
        <v>498</v>
      </c>
      <c r="F371" s="111">
        <f>F9</f>
        <v>1.1499999999999999</v>
      </c>
      <c r="G371" s="67"/>
      <c r="H371" s="31">
        <v>1.05</v>
      </c>
      <c r="I371" s="109" t="s">
        <v>506</v>
      </c>
    </row>
    <row r="372" spans="2:9" ht="19.5">
      <c r="E372" s="116" t="s">
        <v>499</v>
      </c>
      <c r="F372" s="111">
        <v>1.2</v>
      </c>
      <c r="G372" s="67"/>
      <c r="H372" s="31"/>
      <c r="I372" s="109" t="s">
        <v>507</v>
      </c>
    </row>
    <row r="373" spans="2:9" ht="19.5">
      <c r="E373" s="116" t="s">
        <v>501</v>
      </c>
      <c r="F373" s="113">
        <v>2.1000000000000001E-2</v>
      </c>
      <c r="G373" s="67" t="s">
        <v>81</v>
      </c>
      <c r="H373" s="31"/>
      <c r="I373" s="109" t="s">
        <v>510</v>
      </c>
    </row>
    <row r="374" spans="2:9">
      <c r="E374" s="116" t="s">
        <v>524</v>
      </c>
      <c r="F374" s="111">
        <v>19</v>
      </c>
      <c r="G374" s="110" t="s">
        <v>508</v>
      </c>
      <c r="H374" s="31"/>
      <c r="I374" s="109" t="s">
        <v>509</v>
      </c>
    </row>
    <row r="375" spans="2:9" ht="19.5">
      <c r="E375" s="116" t="s">
        <v>229</v>
      </c>
      <c r="F375" s="104">
        <f>F369*F370*F371*F372*F373*F374</f>
        <v>421.40326856124921</v>
      </c>
      <c r="G375" s="110" t="s">
        <v>154</v>
      </c>
      <c r="H375" s="31" t="str">
        <f>[3]!EQS(F375,"Units= ; EqnPrefix=Valem  ; EqnNo= 0; Multiplication= 1; ShowWorking= 0; EqnStyle=2; Eqp$H$278_2")</f>
        <v/>
      </c>
      <c r="I375" s="30" t="s">
        <v>578</v>
      </c>
    </row>
    <row r="376" spans="2:9">
      <c r="E376" s="99"/>
      <c r="F376" s="46"/>
      <c r="G376" s="67"/>
      <c r="H376" s="31"/>
      <c r="I376" s="30"/>
    </row>
    <row r="377" spans="2:9">
      <c r="E377" s="99"/>
      <c r="F377" s="46"/>
      <c r="G377" s="67"/>
      <c r="H377" s="31"/>
      <c r="I377" s="30"/>
    </row>
    <row r="378" spans="2:9">
      <c r="D378" s="64" t="s">
        <v>225</v>
      </c>
      <c r="E378" s="66"/>
      <c r="F378" s="70"/>
      <c r="G378" s="67"/>
      <c r="H378" s="31"/>
      <c r="I378" s="30"/>
    </row>
    <row r="379" spans="2:9" ht="19.5">
      <c r="E379" s="114" t="s">
        <v>221</v>
      </c>
      <c r="F379" s="70">
        <f>COS(RADIANS(4))*F375</f>
        <v>420.3767513786882</v>
      </c>
      <c r="G379" s="67" t="s">
        <v>154</v>
      </c>
      <c r="H379" s="31" t="str">
        <f>[3]!EQS(F379,"Units= ; EqnPrefix=Valem  ; EqnNo= 0; Multiplication= 1; ShowWorking= 0; EqnStyle= 2; Eqp$H$277_2")</f>
        <v/>
      </c>
      <c r="I379" s="30" t="s">
        <v>572</v>
      </c>
    </row>
    <row r="380" spans="2:9" ht="19.5">
      <c r="E380" s="114" t="s">
        <v>222</v>
      </c>
      <c r="F380" s="70">
        <f>SIN(RADIANS(4))*F375</f>
        <v>29.395606039081365</v>
      </c>
      <c r="G380" s="67" t="s">
        <v>154</v>
      </c>
      <c r="H380" s="31" t="str">
        <f>[3]!EQS(F380,"Units= ; EqnPrefix=Valem  ; EqnNo= 0; Multiplication= 1; ShowWorking= 0; EqnStyle=2; Eqp$H$278_2")</f>
        <v/>
      </c>
      <c r="I380" s="30" t="s">
        <v>573</v>
      </c>
    </row>
    <row r="381" spans="2:9">
      <c r="E381" s="66"/>
      <c r="F381" s="70"/>
      <c r="G381" s="67"/>
      <c r="H381" s="31"/>
      <c r="I381" s="30"/>
    </row>
    <row r="382" spans="2:9">
      <c r="B382" s="71" t="s">
        <v>180</v>
      </c>
    </row>
    <row r="383" spans="2:9">
      <c r="B383" s="35"/>
      <c r="E383" s="114" t="s">
        <v>522</v>
      </c>
      <c r="F383" s="33">
        <v>41</v>
      </c>
      <c r="G383" s="59" t="s">
        <v>51</v>
      </c>
      <c r="I383" s="109" t="s">
        <v>482</v>
      </c>
    </row>
    <row r="384" spans="2:9">
      <c r="B384" s="35"/>
      <c r="E384" s="114" t="s">
        <v>523</v>
      </c>
      <c r="F384" s="33">
        <v>16</v>
      </c>
      <c r="G384" s="110" t="s">
        <v>438</v>
      </c>
      <c r="I384" s="109" t="s">
        <v>511</v>
      </c>
    </row>
    <row r="385" spans="2:9">
      <c r="B385" s="35"/>
      <c r="E385" s="114" t="s">
        <v>524</v>
      </c>
      <c r="F385" s="33">
        <v>1</v>
      </c>
      <c r="G385" s="59"/>
      <c r="I385" s="109" t="s">
        <v>483</v>
      </c>
    </row>
    <row r="386" spans="2:9">
      <c r="B386" s="35"/>
      <c r="C386" s="35" t="s">
        <v>65</v>
      </c>
      <c r="F386" s="27"/>
      <c r="G386" s="59"/>
      <c r="I386" s="32"/>
    </row>
    <row r="387" spans="2:9" ht="19.5">
      <c r="B387" s="35"/>
      <c r="E387" s="114" t="s">
        <v>57</v>
      </c>
      <c r="F387" s="42">
        <f>$F$6*LN(F383/$F$7)*$F$3</f>
        <v>26.770124317630611</v>
      </c>
      <c r="G387" s="59" t="s">
        <v>43</v>
      </c>
      <c r="H387" s="31" t="str">
        <f>[3]!EQS(F387,"Units= ; EqnPrefix=Valem  ; EqnNo= 0; Multiplication= 1; ShowWorking= 0; EqnStyle= 2; Eqp$H$21_2")</f>
        <v/>
      </c>
      <c r="I387" s="40" t="s">
        <v>526</v>
      </c>
    </row>
    <row r="388" spans="2:9">
      <c r="B388" s="35"/>
      <c r="E388" s="28"/>
      <c r="F388" s="42"/>
      <c r="G388" s="59"/>
      <c r="H388" s="31" t="str">
        <f>[3]!EQS(F387,"Units= ; EqnPrefix=Valem  ; EqnNo= 0; Multiplication= 1; ShowWorking= 1; EqnStyle= 2; Eqp$H$21_$H$22_3")</f>
        <v/>
      </c>
      <c r="I388" s="40" t="s">
        <v>161</v>
      </c>
    </row>
    <row r="389" spans="2:9">
      <c r="B389" s="35"/>
      <c r="C389" s="41" t="s">
        <v>77</v>
      </c>
      <c r="D389" s="41"/>
      <c r="F389" s="42"/>
      <c r="G389" s="59"/>
      <c r="H389" s="31"/>
      <c r="I389" s="40"/>
    </row>
    <row r="390" spans="2:9" ht="19.5">
      <c r="B390" s="35"/>
      <c r="E390" s="114" t="s">
        <v>75</v>
      </c>
      <c r="F390" s="42">
        <f>1/2*$F$5*F387^2</f>
        <v>438.94172803860613</v>
      </c>
      <c r="G390" s="61" t="s">
        <v>76</v>
      </c>
      <c r="H390" s="31" t="str">
        <f>[3]!EQS(F390,"Units= ; EqnPrefix=Valem  ; EqnNo= 0; Multiplication= 1; ShowWorking= 0; EqnStyle= 2; Eqp$G$21_0")</f>
        <v/>
      </c>
      <c r="I390" s="40" t="s">
        <v>527</v>
      </c>
    </row>
    <row r="391" spans="2:9">
      <c r="B391" s="35"/>
      <c r="E391" s="37"/>
      <c r="F391" s="42"/>
      <c r="G391" s="61"/>
      <c r="H391" s="31" t="str">
        <f>[3]!EQS(F390,"Units= ; EqnPrefix=Valem  ; EqnNo= 0; Multiplication= 1; ShowWorking= 1; EqnStyle= 2; Eqp$G$21_$G$25_1")</f>
        <v/>
      </c>
      <c r="I391" s="40" t="s">
        <v>551</v>
      </c>
    </row>
    <row r="392" spans="2:9">
      <c r="B392" s="35"/>
      <c r="C392" s="35" t="s">
        <v>79</v>
      </c>
      <c r="E392" s="37"/>
      <c r="F392" s="42"/>
      <c r="G392" s="61"/>
      <c r="I392" s="40"/>
    </row>
    <row r="393" spans="2:9" ht="19.5">
      <c r="B393" s="35"/>
      <c r="E393" s="114" t="s">
        <v>80</v>
      </c>
      <c r="F393" s="42">
        <f>(1+2.28/LN(F383/$F$7))^2</f>
        <v>1.7951352851913878</v>
      </c>
      <c r="G393" s="61"/>
      <c r="H393" s="31" t="str">
        <f>[3]!EQS(F393,"Units= ; EqnPrefix=Valem  ; EqnNo= 0; Multiplication= 1; ShowWorking= 0; EqnStyle= 2; Eqp$G$24_0")</f>
        <v/>
      </c>
      <c r="I393" s="40" t="s">
        <v>529</v>
      </c>
    </row>
    <row r="394" spans="2:9">
      <c r="B394" s="35"/>
      <c r="E394" s="37"/>
      <c r="F394" s="42"/>
      <c r="G394" s="61"/>
      <c r="H394" s="31" t="str">
        <f>[3]!EQS(F393,"Units= ; EqnPrefix=Valem  ; EqnNo= 0; Multiplication= 1; ShowWorking= 1; EqnStyle= 2; Eqp$G$24_$G$28_1")</f>
        <v/>
      </c>
      <c r="I394" s="40" t="s">
        <v>552</v>
      </c>
    </row>
    <row r="395" spans="2:9">
      <c r="B395" s="35"/>
      <c r="C395" s="107" t="s">
        <v>486</v>
      </c>
      <c r="E395" s="37"/>
      <c r="F395" s="42"/>
      <c r="G395" s="61"/>
      <c r="H395" s="31"/>
      <c r="I395" s="40"/>
    </row>
    <row r="396" spans="2:9">
      <c r="B396" s="35"/>
      <c r="E396" s="114" t="s">
        <v>525</v>
      </c>
      <c r="F396" s="33">
        <v>360</v>
      </c>
      <c r="G396" s="110" t="s">
        <v>51</v>
      </c>
      <c r="H396" s="31"/>
      <c r="I396" s="40"/>
    </row>
    <row r="397" spans="2:9">
      <c r="B397" s="35"/>
      <c r="C397" s="107" t="s">
        <v>485</v>
      </c>
      <c r="E397" s="37"/>
      <c r="F397" s="42"/>
      <c r="G397" s="61"/>
      <c r="H397" s="31"/>
      <c r="I397" s="40"/>
    </row>
    <row r="398" spans="2:9" ht="19.5">
      <c r="B398" s="35"/>
      <c r="E398" s="114" t="s">
        <v>487</v>
      </c>
      <c r="F398" s="42">
        <f>1.3-0.082*LN(F396)</f>
        <v>0.81733946942108726</v>
      </c>
      <c r="G398" s="61"/>
      <c r="H398" s="31" t="str">
        <f>[3]!EQS(F398,"Units= ; EqnPrefix=Valem  ; EqnNo= 0; Multiplication= 1; ShowWorking= 0; EqnStyle= 2; Eqp$G$24_0")</f>
        <v/>
      </c>
      <c r="I398" s="40" t="s">
        <v>495</v>
      </c>
    </row>
    <row r="399" spans="2:9">
      <c r="B399" s="35"/>
      <c r="C399" s="107" t="s">
        <v>488</v>
      </c>
      <c r="E399" s="108"/>
      <c r="F399" s="42"/>
      <c r="G399" s="61"/>
      <c r="H399" s="31"/>
      <c r="I399" s="40"/>
    </row>
    <row r="400" spans="2:9" ht="19.5">
      <c r="B400" s="35"/>
      <c r="E400" s="114" t="s">
        <v>489</v>
      </c>
      <c r="F400" s="42">
        <v>1.2</v>
      </c>
      <c r="G400" s="61"/>
      <c r="H400" s="31"/>
      <c r="I400" s="40"/>
    </row>
    <row r="401" spans="2:9">
      <c r="B401" s="35"/>
      <c r="C401" s="107" t="s">
        <v>490</v>
      </c>
      <c r="E401" s="37"/>
      <c r="F401" s="42"/>
      <c r="G401" s="61"/>
      <c r="H401" s="31"/>
      <c r="I401" s="40"/>
    </row>
    <row r="402" spans="2:9" ht="19.5">
      <c r="B402" s="35"/>
      <c r="C402" s="107"/>
      <c r="E402" s="114" t="s">
        <v>492</v>
      </c>
      <c r="F402" s="42">
        <f>F390*F393*F398*F400*F384/1000</f>
        <v>12.365388132445736</v>
      </c>
      <c r="G402" s="110" t="s">
        <v>86</v>
      </c>
      <c r="H402" s="31" t="str">
        <f>[3]!EQS(F402,"Units= ; EqnPrefix=Valem  ; EqnNo= 0; Multiplication= 1; ShowWorking= 0; EqnStyle= 2; Eqp$G$24_0")</f>
        <v/>
      </c>
      <c r="I402" s="40" t="s">
        <v>564</v>
      </c>
    </row>
    <row r="403" spans="2:9">
      <c r="B403" s="35"/>
      <c r="C403" s="107"/>
      <c r="E403" s="108"/>
      <c r="F403" s="42"/>
      <c r="G403" s="110"/>
      <c r="H403" s="31" t="str">
        <f>[3]!EQS(F402,"Units= ; EqnPrefix=Valem  ; EqnNo= 0; Multiplication= 1; ShowWorking= 1; EqnStyle= 2; Eqp$G$24_$H$294_1")</f>
        <v/>
      </c>
      <c r="I403" s="40" t="s">
        <v>579</v>
      </c>
    </row>
    <row r="404" spans="2:9">
      <c r="B404" s="35"/>
      <c r="C404" s="107" t="s">
        <v>491</v>
      </c>
      <c r="E404" s="37"/>
      <c r="F404" s="42"/>
      <c r="G404" s="61"/>
      <c r="H404" s="31"/>
      <c r="I404" s="40"/>
    </row>
    <row r="405" spans="2:9" ht="19.5">
      <c r="E405" s="114" t="s">
        <v>209</v>
      </c>
      <c r="F405" s="46">
        <f>F402*F385</f>
        <v>12.365388132445736</v>
      </c>
      <c r="G405" s="110" t="s">
        <v>86</v>
      </c>
      <c r="H405" s="31" t="str">
        <f>[3]!EQS(F405,"Units= ; EqnPrefix=Valem  ; EqnNo= 0; Multiplication= 1; ShowWorking= 0; EqnStyle= 2; Eqp$G$24_0")</f>
        <v/>
      </c>
      <c r="I405" s="30" t="s">
        <v>565</v>
      </c>
    </row>
    <row r="407" spans="2:9">
      <c r="C407" s="64" t="s">
        <v>210</v>
      </c>
    </row>
    <row r="408" spans="2:9" ht="19.5">
      <c r="E408" s="114" t="s">
        <v>211</v>
      </c>
      <c r="F408" s="124">
        <f>COS(RADIANS(0))^2</f>
        <v>1</v>
      </c>
      <c r="H408" s="31" t="str">
        <f>[3]!EQS(F408,"Units= ; EqnPrefix=Valem  ; EqnNo= 0; Multiplication= 1; ShowWorking= 0; EqnStyle= 2; Eqp$H$274_2")</f>
        <v/>
      </c>
      <c r="I408" s="30" t="s">
        <v>591</v>
      </c>
    </row>
    <row r="409" spans="2:9">
      <c r="C409" s="64" t="s">
        <v>212</v>
      </c>
    </row>
    <row r="410" spans="2:9" ht="19.5">
      <c r="E410" s="114" t="s">
        <v>223</v>
      </c>
      <c r="F410" s="46">
        <f>F405*F408</f>
        <v>12.365388132445736</v>
      </c>
      <c r="G410" s="67" t="s">
        <v>86</v>
      </c>
      <c r="H410" s="31" t="str">
        <f>[3]!EQS(F410,"Units= ; EqnPrefix=Valem  ; EqnNo= 0; Multiplication= 1; ShowWorking= 0; EqnStyle= 2; Eqp$H$276_2")</f>
        <v/>
      </c>
      <c r="I410" s="30" t="s">
        <v>566</v>
      </c>
    </row>
    <row r="411" spans="2:9">
      <c r="D411" s="64" t="s">
        <v>225</v>
      </c>
      <c r="E411" s="66"/>
      <c r="F411" s="70"/>
      <c r="G411" s="67"/>
      <c r="H411" s="31"/>
      <c r="I411" s="30"/>
    </row>
    <row r="412" spans="2:9" ht="19.5">
      <c r="E412" s="114" t="s">
        <v>221</v>
      </c>
      <c r="F412" s="70">
        <f>COS(RADIANS(4))*F410</f>
        <v>12.335266668437331</v>
      </c>
      <c r="G412" s="67" t="s">
        <v>86</v>
      </c>
      <c r="H412" s="31" t="str">
        <f>[3]!EQS(F412,"Units= ; EqnPrefix=Valem  ; EqnNo= 0; Multiplication= 1; ShowWorking= 0; EqnStyle= 2; Eqp$H$277_2")</f>
        <v/>
      </c>
      <c r="I412" s="30" t="s">
        <v>574</v>
      </c>
    </row>
    <row r="413" spans="2:9" ht="19.5">
      <c r="E413" s="114" t="s">
        <v>222</v>
      </c>
      <c r="F413" s="70">
        <f>SIN(RADIANS(4))*F410</f>
        <v>0.86256587259686957</v>
      </c>
      <c r="G413" s="67" t="s">
        <v>86</v>
      </c>
      <c r="H413" s="31" t="str">
        <f>[3]!EQS(F413,"Units= ; EqnPrefix=Valem  ; EqnNo= 0; Multiplication= 1; ShowWorking= 0; EqnStyle=2; Eqp$H$278_2")</f>
        <v/>
      </c>
      <c r="I413" s="30" t="s">
        <v>575</v>
      </c>
    </row>
    <row r="414" spans="2:9">
      <c r="C414" s="64" t="s">
        <v>214</v>
      </c>
    </row>
    <row r="415" spans="2:9" ht="19.5">
      <c r="E415" s="114" t="s">
        <v>211</v>
      </c>
      <c r="F415" s="117">
        <f>COS(RADIANS(8))^2</f>
        <v>0.98063084796915956</v>
      </c>
      <c r="H415" s="31" t="str">
        <f>[3]!EQS(F415,"Units= ; EqnPrefix=Valem  ; EqnNo= 0; Multiplication= 1; ShowWorking= 0; EqnStyle= 2; Eqp$H$278_2")</f>
        <v/>
      </c>
      <c r="I415" s="30" t="s">
        <v>590</v>
      </c>
    </row>
    <row r="416" spans="2:9">
      <c r="C416" s="64" t="s">
        <v>215</v>
      </c>
    </row>
    <row r="417" spans="4:9" ht="19.5">
      <c r="E417" s="114" t="s">
        <v>224</v>
      </c>
      <c r="F417" s="46">
        <f>F405*F415</f>
        <v>12.125881049788044</v>
      </c>
      <c r="G417" s="67" t="s">
        <v>86</v>
      </c>
      <c r="H417" s="31" t="str">
        <f>[3]!EQS(F417,"Units= ; EqnPrefix=Valem  ; EqnNo= 0; Multiplication= 1; ShowWorking= 0; EqnStyle= 2; Eqp$H$276_2")</f>
        <v/>
      </c>
      <c r="I417" s="30" t="s">
        <v>566</v>
      </c>
    </row>
    <row r="418" spans="4:9">
      <c r="D418" s="64" t="s">
        <v>225</v>
      </c>
      <c r="E418" s="66"/>
      <c r="F418" s="70"/>
      <c r="G418" s="67"/>
      <c r="H418" s="31"/>
      <c r="I418" s="30"/>
    </row>
    <row r="419" spans="4:9" ht="19.5">
      <c r="E419" s="114" t="s">
        <v>221</v>
      </c>
      <c r="F419" s="70">
        <f>COS(RADIANS(4))*F417</f>
        <v>12.09634301299541</v>
      </c>
      <c r="G419" s="67" t="s">
        <v>86</v>
      </c>
      <c r="H419" s="31" t="str">
        <f>[3]!EQS(F419,"Units= ; EqnPrefix=Valem  ; EqnNo= 0; Multiplication= 1; ShowWorking= 0; EqnStyle= 2; Eqp$H$277_2")</f>
        <v/>
      </c>
      <c r="I419" s="30" t="s">
        <v>576</v>
      </c>
    </row>
    <row r="420" spans="4:9" ht="19.5">
      <c r="E420" s="114" t="s">
        <v>222</v>
      </c>
      <c r="F420" s="70">
        <f>SIN(RADIANS(4))*F417</f>
        <v>0.84585870307392619</v>
      </c>
      <c r="G420" s="67" t="s">
        <v>86</v>
      </c>
      <c r="H420" s="31" t="str">
        <f>[3]!EQS(F420,"Units= ; EqnPrefix=Valem  ; EqnNo= 0; Multiplication= 1; ShowWorking= 0; EqnStyle=2; Eqp$H$278_2")</f>
        <v/>
      </c>
      <c r="I420" s="30" t="s">
        <v>577</v>
      </c>
    </row>
    <row r="421" spans="4:9">
      <c r="E421" s="66"/>
      <c r="F421" s="70"/>
      <c r="G421" s="67"/>
      <c r="H421" s="31"/>
      <c r="I421" s="30"/>
    </row>
  </sheetData>
  <mergeCells count="1">
    <mergeCell ref="A2:R2"/>
  </mergeCells>
  <pageMargins left="0.7" right="0.48958333333333331" top="0.75" bottom="0.75" header="0.3" footer="0.3"/>
  <pageSetup paperSize="9" orientation="portrait" horizontalDpi="300" verticalDpi="30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/>
  </sheetPr>
  <dimension ref="A2:AB421"/>
  <sheetViews>
    <sheetView topLeftCell="A203" workbookViewId="0">
      <selection activeCell="P379" sqref="P379"/>
    </sheetView>
  </sheetViews>
  <sheetFormatPr defaultRowHeight="18" outlineLevelRow="1"/>
  <cols>
    <col min="1" max="1" width="1.375" style="71" customWidth="1"/>
    <col min="2" max="2" width="1.5" style="71" customWidth="1"/>
    <col min="3" max="4" width="1.5" style="35" customWidth="1"/>
    <col min="5" max="5" width="6.125" style="23" customWidth="1"/>
    <col min="6" max="6" width="8.5" style="23" customWidth="1"/>
    <col min="7" max="7" width="6.125" style="58" customWidth="1"/>
    <col min="8" max="8" width="0.875" style="23" customWidth="1"/>
    <col min="9" max="9" width="3.625" style="23" customWidth="1"/>
    <col min="10" max="11" width="6.125" style="23" customWidth="1"/>
    <col min="12" max="20" width="6.25" style="23" customWidth="1"/>
    <col min="21" max="21" width="1.375" style="23" customWidth="1"/>
    <col min="22" max="22" width="6.25" style="23" customWidth="1"/>
    <col min="23" max="16384" width="9" style="23"/>
  </cols>
  <sheetData>
    <row r="2" spans="1:18" ht="31.5" customHeight="1">
      <c r="A2" s="264" t="s">
        <v>592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</row>
    <row r="3" spans="1:18" ht="19.5" outlineLevel="1">
      <c r="E3" s="24" t="s">
        <v>42</v>
      </c>
      <c r="F3" s="23">
        <v>21</v>
      </c>
      <c r="G3" s="58" t="s">
        <v>43</v>
      </c>
      <c r="I3" s="23" t="s">
        <v>44</v>
      </c>
    </row>
    <row r="4" spans="1:18" ht="19.5" outlineLevel="1">
      <c r="E4" s="24" t="s">
        <v>45</v>
      </c>
      <c r="F4" s="23">
        <f>F3</f>
        <v>21</v>
      </c>
      <c r="G4" s="58" t="s">
        <v>43</v>
      </c>
      <c r="I4" s="23" t="s">
        <v>46</v>
      </c>
    </row>
    <row r="5" spans="1:18" outlineLevel="1">
      <c r="E5" s="25" t="s">
        <v>47</v>
      </c>
      <c r="F5" s="23">
        <v>1.2250000000000001</v>
      </c>
      <c r="G5" s="58" t="s">
        <v>48</v>
      </c>
      <c r="I5" s="23" t="s">
        <v>49</v>
      </c>
    </row>
    <row r="6" spans="1:18" ht="19.5" outlineLevel="1">
      <c r="E6" s="25" t="s">
        <v>58</v>
      </c>
      <c r="F6" s="23">
        <v>0.19</v>
      </c>
      <c r="I6" s="32" t="s">
        <v>59</v>
      </c>
    </row>
    <row r="7" spans="1:18" ht="19.5" outlineLevel="1">
      <c r="E7" s="25" t="s">
        <v>60</v>
      </c>
      <c r="F7" s="23">
        <v>0.05</v>
      </c>
      <c r="G7" s="59" t="s">
        <v>51</v>
      </c>
      <c r="I7" s="32" t="s">
        <v>61</v>
      </c>
    </row>
    <row r="8" spans="1:18" ht="19.5" outlineLevel="1">
      <c r="E8" s="25" t="s">
        <v>62</v>
      </c>
      <c r="F8" s="23">
        <v>10</v>
      </c>
      <c r="G8" s="59" t="s">
        <v>51</v>
      </c>
      <c r="I8" s="34" t="s">
        <v>63</v>
      </c>
    </row>
    <row r="9" spans="1:18" ht="19.5" outlineLevel="1">
      <c r="E9" s="114" t="s">
        <v>502</v>
      </c>
      <c r="F9" s="23">
        <v>1.1499999999999999</v>
      </c>
      <c r="I9" s="109" t="s">
        <v>503</v>
      </c>
    </row>
    <row r="10" spans="1:18" outlineLevel="1">
      <c r="E10" s="24"/>
    </row>
    <row r="11" spans="1:18">
      <c r="E11" s="24"/>
    </row>
    <row r="12" spans="1:18">
      <c r="B12" s="72" t="s">
        <v>53</v>
      </c>
      <c r="C12" s="36"/>
      <c r="D12" s="36"/>
      <c r="E12" s="29"/>
      <c r="F12" s="29"/>
      <c r="G12" s="60"/>
      <c r="H12" s="29"/>
      <c r="I12" s="29"/>
      <c r="J12" s="29"/>
      <c r="K12" s="29"/>
      <c r="L12" s="29"/>
    </row>
    <row r="13" spans="1:18" outlineLevel="1">
      <c r="B13" s="72"/>
      <c r="C13" s="35" t="s">
        <v>100</v>
      </c>
      <c r="D13" s="36"/>
      <c r="E13" s="29"/>
      <c r="F13" s="29"/>
      <c r="G13" s="60"/>
      <c r="H13" s="29"/>
      <c r="I13" s="29"/>
      <c r="J13" s="29"/>
      <c r="K13" s="29"/>
      <c r="L13" s="29"/>
    </row>
    <row r="14" spans="1:18" outlineLevel="1">
      <c r="C14" s="38" t="s">
        <v>101</v>
      </c>
      <c r="E14" s="24"/>
      <c r="K14" s="38"/>
    </row>
    <row r="15" spans="1:18" outlineLevel="1">
      <c r="E15" s="114" t="s">
        <v>54</v>
      </c>
      <c r="F15" s="33">
        <v>36</v>
      </c>
      <c r="G15" s="59" t="s">
        <v>51</v>
      </c>
      <c r="I15" s="32" t="s">
        <v>55</v>
      </c>
    </row>
    <row r="16" spans="1:18" outlineLevel="1">
      <c r="E16" s="114" t="s">
        <v>514</v>
      </c>
      <c r="F16" s="33">
        <v>0.32400000000000001</v>
      </c>
      <c r="G16" s="59" t="s">
        <v>51</v>
      </c>
      <c r="I16" s="32" t="s">
        <v>56</v>
      </c>
    </row>
    <row r="17" spans="3:12" outlineLevel="1">
      <c r="C17" s="38" t="s">
        <v>82</v>
      </c>
      <c r="D17" s="38"/>
      <c r="E17" s="28"/>
      <c r="F17" s="27"/>
      <c r="G17" s="59"/>
      <c r="I17" s="32"/>
    </row>
    <row r="18" spans="3:12" ht="19.5" outlineLevel="1">
      <c r="E18" s="114" t="s">
        <v>97</v>
      </c>
      <c r="F18" s="45">
        <f>F16*F15</f>
        <v>11.664</v>
      </c>
      <c r="G18" s="61" t="s">
        <v>81</v>
      </c>
      <c r="H18" s="31" t="str">
        <f>[3]!EQS(F18,"Units= ; EqnPrefix=Valem  ; EqnNo= 0; Multiplication= 1; ShowWorking= 1; EqnStyle=2; Eqp$G$17_0")</f>
        <v/>
      </c>
      <c r="I18" s="30" t="s">
        <v>83</v>
      </c>
      <c r="L18" s="26"/>
    </row>
    <row r="19" spans="3:12" outlineLevel="1">
      <c r="C19" s="35" t="s">
        <v>65</v>
      </c>
      <c r="F19" s="27"/>
      <c r="G19" s="59"/>
      <c r="I19" s="32"/>
    </row>
    <row r="20" spans="3:12" ht="16.5" customHeight="1" outlineLevel="1">
      <c r="E20" s="114" t="s">
        <v>57</v>
      </c>
      <c r="F20" s="42">
        <f>$F$6*LN(F15/$F$7)*$F$3</f>
        <v>26.251212335920307</v>
      </c>
      <c r="G20" s="59" t="s">
        <v>43</v>
      </c>
      <c r="H20" s="31" t="str">
        <f>[3]!EQS(F20,"Units= ; EqnPrefix=Valem  ; EqnNo= 0; Multiplication= 1; ShowWorking= 0; EqnStyle= 2; Eqp$H$21_2")</f>
        <v/>
      </c>
      <c r="I20" s="40" t="s">
        <v>526</v>
      </c>
      <c r="J20" s="31"/>
    </row>
    <row r="21" spans="3:12" ht="12" customHeight="1" outlineLevel="1">
      <c r="E21" s="28"/>
      <c r="F21" s="42"/>
      <c r="G21" s="59"/>
      <c r="H21" s="31" t="str">
        <f>[3]!EQS(F20,"Units= ; EqnPrefix=Valem  ; EqnNo= 0; Multiplication= 1; ShowWorking= 1; EqnStyle= 2; Eqp$H$21_$H$22_3")</f>
        <v/>
      </c>
      <c r="I21" s="40" t="s">
        <v>64</v>
      </c>
      <c r="J21" s="31"/>
    </row>
    <row r="22" spans="3:12" outlineLevel="1">
      <c r="C22" s="41" t="s">
        <v>77</v>
      </c>
      <c r="D22" s="41"/>
      <c r="F22" s="42"/>
      <c r="G22" s="59"/>
      <c r="H22" s="31"/>
      <c r="I22" s="40"/>
      <c r="J22" s="31"/>
    </row>
    <row r="23" spans="3:12" ht="19.5" outlineLevel="1">
      <c r="E23" s="114" t="s">
        <v>75</v>
      </c>
      <c r="F23" s="42">
        <f>1/2*$F$5*F20^2</f>
        <v>422.08976632716445</v>
      </c>
      <c r="G23" s="61" t="s">
        <v>76</v>
      </c>
      <c r="H23" s="31" t="str">
        <f>[3]!EQS(F23,"Units= ; EqnPrefix=Valem  ; EqnNo= 0; Multiplication= 1; ShowWorking= 0; EqnStyle= 2; Eqp$G$21_0")</f>
        <v/>
      </c>
      <c r="I23" s="40" t="s">
        <v>527</v>
      </c>
      <c r="J23" s="31"/>
    </row>
    <row r="24" spans="3:12" outlineLevel="1">
      <c r="E24" s="37"/>
      <c r="F24" s="42"/>
      <c r="G24" s="61"/>
      <c r="H24" s="31" t="str">
        <f>[3]!EQS(F23,"Units= ; EqnPrefix=Valem  ; EqnNo= 0; Multiplication= 1; ShowWorking= 1; EqnStyle= 2; Eqp$G$21_$G$25_1")</f>
        <v/>
      </c>
      <c r="I24" s="40" t="s">
        <v>528</v>
      </c>
      <c r="J24" s="31"/>
    </row>
    <row r="25" spans="3:12" outlineLevel="1">
      <c r="C25" s="35" t="s">
        <v>79</v>
      </c>
      <c r="E25" s="37"/>
      <c r="F25" s="42"/>
      <c r="G25" s="61"/>
      <c r="I25" s="40"/>
      <c r="J25" s="31"/>
    </row>
    <row r="26" spans="3:12" ht="19.5" outlineLevel="1">
      <c r="E26" s="114" t="s">
        <v>80</v>
      </c>
      <c r="F26" s="42">
        <f>(1+2.28/LN(F15/$F$7))^2</f>
        <v>1.8131807308313552</v>
      </c>
      <c r="G26" s="61"/>
      <c r="H26" s="31" t="str">
        <f>[3]!EQS(F26,"Units= ; EqnPrefix=Valem  ; EqnNo= 0; Multiplication= 1; ShowWorking= 0; EqnStyle= 2; Eqp$G$24_0")</f>
        <v/>
      </c>
      <c r="I26" s="40" t="s">
        <v>529</v>
      </c>
      <c r="J26" s="31"/>
    </row>
    <row r="27" spans="3:12" outlineLevel="1">
      <c r="E27" s="37"/>
      <c r="F27" s="42"/>
      <c r="G27" s="61"/>
      <c r="H27" s="31" t="str">
        <f>[3]!EQS(F26,"Units= ; EqnPrefix=Valem  ; EqnNo= 0; Multiplication= 1; ShowWorking= 1; EqnStyle= 2; Eqp$G$24_$G$28_1")</f>
        <v/>
      </c>
      <c r="I27" s="40" t="s">
        <v>530</v>
      </c>
      <c r="J27" s="31"/>
    </row>
    <row r="28" spans="3:12" outlineLevel="1">
      <c r="C28" s="23" t="s">
        <v>50</v>
      </c>
      <c r="D28" s="23"/>
      <c r="E28" s="37"/>
      <c r="F28" s="42"/>
      <c r="G28" s="61"/>
      <c r="J28" s="31"/>
    </row>
    <row r="29" spans="3:12" ht="19.5" outlineLevel="1">
      <c r="E29" s="28" t="s">
        <v>52</v>
      </c>
      <c r="F29" s="23">
        <v>1.1499999999999999</v>
      </c>
      <c r="J29" s="31"/>
    </row>
    <row r="30" spans="3:12" ht="19.5" outlineLevel="1">
      <c r="C30" s="39" t="s">
        <v>70</v>
      </c>
      <c r="D30" s="39"/>
      <c r="E30" s="24"/>
      <c r="F30" s="43"/>
      <c r="H30" s="31"/>
      <c r="I30" s="31"/>
      <c r="J30" s="31"/>
    </row>
    <row r="31" spans="3:12" outlineLevel="1">
      <c r="E31" s="114" t="s">
        <v>515</v>
      </c>
      <c r="F31" s="31">
        <f>15*10^-6</f>
        <v>1.4999999999999999E-5</v>
      </c>
      <c r="G31" s="61" t="s">
        <v>66</v>
      </c>
      <c r="H31" s="31"/>
      <c r="I31" s="41" t="s">
        <v>67</v>
      </c>
      <c r="J31" s="31"/>
    </row>
    <row r="32" spans="3:12" outlineLevel="1">
      <c r="E32" s="114" t="s">
        <v>516</v>
      </c>
      <c r="F32" s="31">
        <f>F16</f>
        <v>0.32400000000000001</v>
      </c>
      <c r="G32" s="61" t="s">
        <v>51</v>
      </c>
      <c r="H32" s="31"/>
      <c r="I32" s="41" t="s">
        <v>68</v>
      </c>
      <c r="J32" s="31"/>
    </row>
    <row r="33" spans="2:12" outlineLevel="1">
      <c r="C33" s="23"/>
      <c r="D33" s="41" t="s">
        <v>73</v>
      </c>
      <c r="E33" s="37"/>
      <c r="F33" s="31"/>
      <c r="G33" s="61"/>
      <c r="H33" s="31"/>
      <c r="I33" s="41"/>
      <c r="J33" s="31"/>
    </row>
    <row r="34" spans="2:12" outlineLevel="1">
      <c r="C34" s="23"/>
      <c r="E34" s="37" t="s">
        <v>69</v>
      </c>
      <c r="F34" s="44">
        <f>F32*F20/F31</f>
        <v>567026.18645587866</v>
      </c>
      <c r="H34" s="31" t="str">
        <f>[3]!EQS(F34,"Units= ; EqnPrefix=Valem  ; EqnNo= 0; Multiplication= 1; ShowWorking= 1; EqnStyle= 2; Eqp$G$27_0")</f>
        <v/>
      </c>
      <c r="I34" s="30" t="s">
        <v>78</v>
      </c>
      <c r="J34" s="31"/>
    </row>
    <row r="35" spans="2:12" outlineLevel="1">
      <c r="C35" s="23"/>
      <c r="E35" s="37" t="s">
        <v>71</v>
      </c>
      <c r="F35" s="44">
        <f>6.175*10^-4</f>
        <v>6.1749999999999999E-4</v>
      </c>
      <c r="H35" s="31"/>
      <c r="I35" s="41" t="s">
        <v>72</v>
      </c>
      <c r="J35" s="31"/>
    </row>
    <row r="36" spans="2:12" outlineLevel="1">
      <c r="C36" s="23"/>
      <c r="D36" s="41" t="s">
        <v>84</v>
      </c>
      <c r="E36" s="37"/>
      <c r="F36" s="44"/>
      <c r="H36" s="31"/>
      <c r="I36" s="41"/>
      <c r="J36" s="31"/>
    </row>
    <row r="37" spans="2:12" ht="19.5" outlineLevel="1">
      <c r="C37" s="23"/>
      <c r="E37" s="114" t="s">
        <v>74</v>
      </c>
      <c r="F37" s="44">
        <f>1.2+(0.18*LOG(10*F35))/(1+0.4*LOG(F34/10^6))</f>
        <v>0.75883386915863227</v>
      </c>
      <c r="H37" s="31" t="str">
        <f>[3]!EQS(F37,"Units= ; EqnPrefix=Valem  ; EqnNo= 0; Multiplication= 1; ShowWorking= 0; EqnStyle=2; Eqp$G$36_2")</f>
        <v/>
      </c>
      <c r="I37" s="30" t="s">
        <v>531</v>
      </c>
      <c r="J37" s="31"/>
    </row>
    <row r="38" spans="2:12" outlineLevel="1">
      <c r="C38" s="23"/>
      <c r="E38" s="31"/>
      <c r="F38" s="31"/>
      <c r="H38" s="31" t="str">
        <f>[3]!EQS(F37,"Units= ; EqnPrefix=Valem  ; EqnNo= 0; Multiplication= 1; ShowWorking= 1; EqnStyle=2; Eqp$G$36_$G$37_3")</f>
        <v/>
      </c>
      <c r="I38" s="40" t="s">
        <v>532</v>
      </c>
      <c r="J38" s="31"/>
    </row>
    <row r="39" spans="2:12">
      <c r="C39" s="35" t="s">
        <v>89</v>
      </c>
    </row>
    <row r="40" spans="2:12" ht="19.5">
      <c r="E40" s="114" t="s">
        <v>85</v>
      </c>
      <c r="F40" s="46">
        <f>F23*F26*F29*F37*F16</f>
        <v>216.38914697938665</v>
      </c>
      <c r="G40" s="61" t="s">
        <v>86</v>
      </c>
      <c r="H40" s="31" t="str">
        <f>[3]!EQS(F40,"Units= ; EqnPrefix=Valem  ; EqnNo= 0; Multiplication= 1; ShowWorking= 0; EqnStyle= 2; Eqp$G$39_0")</f>
        <v/>
      </c>
      <c r="I40" s="30" t="s">
        <v>533</v>
      </c>
    </row>
    <row r="41" spans="2:12">
      <c r="H41" s="23" t="str">
        <f>[3]!EQS(F40,"Units= ; EqnPrefix=Valem  ; EqnNo= 0; Multiplication= 1; ShowWorking= 1; EqnStyle= 2; Eqp$G$39_$G$40_1")</f>
        <v/>
      </c>
      <c r="I41" s="30" t="s">
        <v>88</v>
      </c>
    </row>
    <row r="42" spans="2:12">
      <c r="C42" s="35" t="s">
        <v>87</v>
      </c>
    </row>
    <row r="43" spans="2:12" ht="19.5">
      <c r="E43" s="114" t="s">
        <v>221</v>
      </c>
      <c r="F43" s="70">
        <f>COS(RADIANS(4))*F40</f>
        <v>215.86203389302534</v>
      </c>
      <c r="G43" s="84" t="s">
        <v>86</v>
      </c>
    </row>
    <row r="44" spans="2:12" ht="19.5">
      <c r="E44" s="114" t="s">
        <v>222</v>
      </c>
      <c r="F44" s="70">
        <f>SIN(RADIANS(4))*F40</f>
        <v>15.094543849781257</v>
      </c>
      <c r="G44" s="84" t="s">
        <v>86</v>
      </c>
    </row>
    <row r="46" spans="2:12">
      <c r="B46" s="72" t="s">
        <v>90</v>
      </c>
      <c r="C46" s="36"/>
      <c r="D46" s="36"/>
      <c r="E46" s="29"/>
      <c r="F46" s="29"/>
      <c r="G46" s="60"/>
      <c r="H46" s="29"/>
      <c r="I46" s="29"/>
      <c r="J46" s="29"/>
      <c r="K46" s="29"/>
      <c r="L46" s="29"/>
    </row>
    <row r="47" spans="2:12" outlineLevel="1">
      <c r="C47" s="35" t="s">
        <v>93</v>
      </c>
      <c r="E47" s="24"/>
    </row>
    <row r="48" spans="2:12" outlineLevel="1">
      <c r="E48" s="114" t="s">
        <v>517</v>
      </c>
      <c r="F48" s="33">
        <v>14</v>
      </c>
      <c r="G48" s="59" t="s">
        <v>51</v>
      </c>
      <c r="I48" s="38" t="s">
        <v>91</v>
      </c>
    </row>
    <row r="49" spans="3:10" outlineLevel="1">
      <c r="E49" s="114" t="s">
        <v>514</v>
      </c>
      <c r="F49" s="33">
        <v>0.27300000000000002</v>
      </c>
      <c r="G49" s="59" t="s">
        <v>51</v>
      </c>
      <c r="I49" s="38" t="s">
        <v>92</v>
      </c>
    </row>
    <row r="50" spans="3:10" outlineLevel="1">
      <c r="E50" s="114" t="s">
        <v>518</v>
      </c>
      <c r="F50" s="33">
        <v>15.5</v>
      </c>
      <c r="G50" s="61" t="s">
        <v>51</v>
      </c>
      <c r="I50" s="38" t="s">
        <v>94</v>
      </c>
    </row>
    <row r="51" spans="3:10" outlineLevel="1">
      <c r="C51" s="38" t="s">
        <v>99</v>
      </c>
      <c r="D51" s="38"/>
      <c r="E51" s="28"/>
      <c r="F51" s="27"/>
      <c r="G51" s="59"/>
      <c r="I51" s="32"/>
    </row>
    <row r="52" spans="3:10" ht="19.5" outlineLevel="1">
      <c r="E52" s="114" t="s">
        <v>140</v>
      </c>
      <c r="F52" s="45">
        <f>F49*F50</f>
        <v>4.2315000000000005</v>
      </c>
      <c r="G52" s="61" t="s">
        <v>81</v>
      </c>
      <c r="H52" s="31" t="str">
        <f>[3]!EQS(F52,"Units= ; EqnPrefix=Valem  ; EqnNo= 0; Multiplication= 1; ShowWorking= 1; EqnStyle=2; Eqp$G$17_0")</f>
        <v/>
      </c>
      <c r="I52" s="30" t="s">
        <v>95</v>
      </c>
    </row>
    <row r="53" spans="3:10" outlineLevel="1">
      <c r="C53" s="35" t="s">
        <v>65</v>
      </c>
      <c r="F53" s="27"/>
      <c r="G53" s="59"/>
      <c r="I53" s="32"/>
    </row>
    <row r="54" spans="3:10" outlineLevel="1">
      <c r="E54" s="28"/>
      <c r="F54" s="27"/>
      <c r="G54" s="59"/>
      <c r="I54" s="32"/>
    </row>
    <row r="55" spans="3:10" outlineLevel="1"/>
    <row r="56" spans="3:10" ht="16.5" customHeight="1" outlineLevel="1">
      <c r="E56" s="114" t="s">
        <v>57</v>
      </c>
      <c r="F56" s="42">
        <f>$F$6*LN(F48/$F$7)*$F$3</f>
        <v>22.482810516645301</v>
      </c>
      <c r="G56" s="59" t="s">
        <v>43</v>
      </c>
      <c r="H56" s="31" t="str">
        <f>[3]!EQS(F56,"Units= ; EqnPrefix=Valem  ; EqnNo= 0; Multiplication= 1; ShowWorking= 0; EqnStyle= 2; Eqp$H$54_2")</f>
        <v/>
      </c>
      <c r="I56" s="40" t="s">
        <v>534</v>
      </c>
      <c r="J56" s="31"/>
    </row>
    <row r="57" spans="3:10" ht="12" customHeight="1" outlineLevel="1">
      <c r="E57" s="28"/>
      <c r="F57" s="42"/>
      <c r="G57" s="59"/>
      <c r="H57" s="31" t="str">
        <f>[3]!EQS(F56,"Units= ; EqnPrefix=Valem  ; EqnNo= 0; Multiplication= 1; ShowWorking= 1; EqnStyle= 2; Eqp$H$54_$H$55_3")</f>
        <v/>
      </c>
      <c r="I57" s="40" t="s">
        <v>102</v>
      </c>
      <c r="J57" s="31"/>
    </row>
    <row r="58" spans="3:10" outlineLevel="1">
      <c r="C58" s="41" t="s">
        <v>77</v>
      </c>
      <c r="D58" s="41"/>
      <c r="F58" s="42"/>
      <c r="G58" s="59"/>
      <c r="H58" s="31"/>
      <c r="I58" s="40"/>
      <c r="J58" s="31"/>
    </row>
    <row r="59" spans="3:10" ht="19.5" outlineLevel="1">
      <c r="E59" s="114" t="s">
        <v>75</v>
      </c>
      <c r="F59" s="42">
        <f>1/2*$F$5*F56^2</f>
        <v>309.60452084551815</v>
      </c>
      <c r="G59" s="61" t="s">
        <v>76</v>
      </c>
      <c r="H59" s="31" t="str">
        <f>[3]!EQS(F59,"Units= ; EqnPrefix=Valem  ; EqnNo= 0; Multiplication= 1; ShowWorking= 0; EqnStyle= 2; Eqp$G$21_0")</f>
        <v/>
      </c>
      <c r="I59" s="40" t="s">
        <v>527</v>
      </c>
      <c r="J59" s="31"/>
    </row>
    <row r="60" spans="3:10" outlineLevel="1">
      <c r="E60" s="37"/>
      <c r="F60" s="42"/>
      <c r="G60" s="61"/>
      <c r="H60" s="31" t="str">
        <f>[3]!EQS(F59,"Units= ; EqnPrefix=Valem  ; EqnNo= 0; Multiplication= 1; ShowWorking= 1; EqnStyle= 2; Eqp$G$21_$G$25_1")</f>
        <v/>
      </c>
      <c r="I60" s="40" t="s">
        <v>535</v>
      </c>
      <c r="J60" s="31"/>
    </row>
    <row r="61" spans="3:10" outlineLevel="1">
      <c r="C61" s="35" t="s">
        <v>79</v>
      </c>
      <c r="E61" s="37"/>
      <c r="F61" s="42"/>
      <c r="G61" s="61"/>
      <c r="I61" s="40"/>
      <c r="J61" s="31"/>
    </row>
    <row r="62" spans="3:10" ht="19.5" outlineLevel="1">
      <c r="E62" s="114" t="s">
        <v>80</v>
      </c>
      <c r="F62" s="42">
        <f>(1+2.28/LN(F48/$F$7))^2</f>
        <v>1.9729829854343099</v>
      </c>
      <c r="G62" s="61"/>
      <c r="H62" s="31" t="str">
        <f>[3]!EQS(F62,"Units= ; EqnPrefix=Valem  ; EqnNo= 0; Multiplication= 1; ShowWorking= 0; EqnStyle= 2; Eqp$G$24_0")</f>
        <v/>
      </c>
      <c r="I62" s="40" t="s">
        <v>536</v>
      </c>
      <c r="J62" s="31"/>
    </row>
    <row r="63" spans="3:10" outlineLevel="1">
      <c r="E63" s="37"/>
      <c r="F63" s="42"/>
      <c r="G63" s="61"/>
      <c r="H63" s="31" t="str">
        <f>[3]!EQS(F62,"Units= ; EqnPrefix=Valem  ; EqnNo= 0; Multiplication= 1; ShowWorking= 1; EqnStyle= 2; Eqp$G$24_$G$28_1")</f>
        <v/>
      </c>
      <c r="I63" s="40" t="s">
        <v>537</v>
      </c>
      <c r="J63" s="31"/>
    </row>
    <row r="64" spans="3:10" outlineLevel="1">
      <c r="C64" s="23" t="s">
        <v>50</v>
      </c>
      <c r="D64" s="23"/>
      <c r="E64" s="37"/>
      <c r="F64" s="42"/>
      <c r="G64" s="61"/>
      <c r="J64" s="31"/>
    </row>
    <row r="65" spans="3:10" ht="19.5" outlineLevel="1">
      <c r="E65" s="28" t="s">
        <v>52</v>
      </c>
      <c r="F65" s="23">
        <v>1.1499999999999999</v>
      </c>
      <c r="J65" s="31"/>
    </row>
    <row r="66" spans="3:10" ht="19.5" outlineLevel="1">
      <c r="C66" s="56" t="s">
        <v>139</v>
      </c>
      <c r="D66" s="39"/>
      <c r="E66" s="24"/>
      <c r="F66" s="43"/>
      <c r="H66" s="31"/>
      <c r="I66" s="31"/>
      <c r="J66" s="31"/>
    </row>
    <row r="67" spans="3:10" outlineLevel="1">
      <c r="E67" s="114" t="s">
        <v>515</v>
      </c>
      <c r="F67" s="31">
        <f>15*10^-6</f>
        <v>1.4999999999999999E-5</v>
      </c>
      <c r="G67" s="61" t="s">
        <v>66</v>
      </c>
      <c r="H67" s="31"/>
      <c r="I67" s="41" t="s">
        <v>67</v>
      </c>
      <c r="J67" s="31"/>
    </row>
    <row r="68" spans="3:10" outlineLevel="1">
      <c r="E68" s="114" t="s">
        <v>516</v>
      </c>
      <c r="F68" s="31">
        <f>F49</f>
        <v>0.27300000000000002</v>
      </c>
      <c r="G68" s="61" t="s">
        <v>51</v>
      </c>
      <c r="H68" s="31"/>
      <c r="I68" s="41" t="s">
        <v>68</v>
      </c>
      <c r="J68" s="31"/>
    </row>
    <row r="69" spans="3:10" outlineLevel="1">
      <c r="C69" s="23"/>
      <c r="D69" s="41" t="s">
        <v>73</v>
      </c>
      <c r="E69" s="37"/>
      <c r="F69" s="31"/>
      <c r="G69" s="61"/>
      <c r="H69" s="31"/>
      <c r="I69" s="41"/>
      <c r="J69" s="31"/>
    </row>
    <row r="70" spans="3:10" ht="19.5" outlineLevel="1">
      <c r="C70" s="23"/>
      <c r="E70" s="37" t="s">
        <v>69</v>
      </c>
      <c r="F70" s="44">
        <f>F68*F56/F67</f>
        <v>409187.15140294458</v>
      </c>
      <c r="H70" s="31" t="str">
        <f>[3]!EQS(F70,"Units= ; EqnPrefix=Valem  ; EqnNo= 0; Multiplication= 1; ShowWorking= 0; EqnStyle= 2; Eqp$G$27_0")</f>
        <v/>
      </c>
      <c r="I70" s="30" t="s">
        <v>538</v>
      </c>
      <c r="J70" s="31"/>
    </row>
    <row r="71" spans="3:10" outlineLevel="1">
      <c r="C71" s="23"/>
      <c r="E71" s="37"/>
      <c r="F71" s="44"/>
      <c r="H71" s="31" t="str">
        <f>[3]!EQS(F70,"Units= ; EqnPrefix=Valem  ; EqnNo= 0; Multiplication= 1; ShowWorking= 1; EqnStyle= 2; Eqp$G$27_$H$69_1")</f>
        <v/>
      </c>
      <c r="I71" s="30" t="s">
        <v>96</v>
      </c>
      <c r="J71" s="31"/>
    </row>
    <row r="72" spans="3:10" outlineLevel="1">
      <c r="C72" s="23"/>
      <c r="E72" s="37" t="s">
        <v>71</v>
      </c>
      <c r="F72" s="47">
        <f>0.2/F49*1000</f>
        <v>732.6007326007325</v>
      </c>
      <c r="H72" s="31"/>
      <c r="I72" s="41" t="s">
        <v>72</v>
      </c>
      <c r="J72" s="31"/>
    </row>
    <row r="73" spans="3:10" outlineLevel="1">
      <c r="C73" s="23"/>
      <c r="D73" s="41" t="s">
        <v>84</v>
      </c>
      <c r="E73" s="37"/>
      <c r="F73" s="44"/>
      <c r="H73" s="31"/>
      <c r="I73" s="41"/>
      <c r="J73" s="31"/>
    </row>
    <row r="74" spans="3:10" ht="19.5" outlineLevel="1">
      <c r="E74" s="114" t="s">
        <v>138</v>
      </c>
      <c r="F74" s="42">
        <f>1.2+(0.18*LOG(10*F72))/(1+0.4*LOG(F70/10^6))</f>
        <v>2.0235106772562297</v>
      </c>
      <c r="H74" s="31" t="str">
        <f>[3]!EQS(F74,"Units= ; EqnPrefix=Valem  ; EqnNo= 0; Multiplication= 1; ShowWorking= 0; EqnStyle=2; Eqp$G$36_2")</f>
        <v/>
      </c>
      <c r="I74" s="30" t="s">
        <v>531</v>
      </c>
      <c r="J74" s="31"/>
    </row>
    <row r="75" spans="3:10" outlineLevel="1">
      <c r="E75" s="31"/>
      <c r="F75" s="31"/>
      <c r="H75" s="31" t="str">
        <f>[3]!EQS(F74,"Units= ; EqnPrefix=Valem  ; EqnNo= 0; Multiplication= 1; ShowWorking= 1; EqnStyle=2; Eqp$G$36_$G$37_3")</f>
        <v/>
      </c>
      <c r="I75" s="40" t="s">
        <v>539</v>
      </c>
      <c r="J75" s="31"/>
    </row>
    <row r="76" spans="3:10" outlineLevel="1">
      <c r="C76" s="35" t="s">
        <v>104</v>
      </c>
      <c r="E76" s="31"/>
      <c r="F76" s="31"/>
      <c r="H76" s="31"/>
      <c r="I76" s="40"/>
      <c r="J76" s="31"/>
    </row>
    <row r="77" spans="3:10" ht="19.5" outlineLevel="1">
      <c r="E77" s="115" t="s">
        <v>105</v>
      </c>
      <c r="F77" s="126">
        <f>COS(RADIANS(45))^2</f>
        <v>0.50000000000000011</v>
      </c>
      <c r="H77" s="31" t="str">
        <f>[3]!EQS(F77,"Units= ; EqnPrefix=Valem  ; EqnNo= 0; Multiplication= 1; ShowWorking= 0; EqnStyle= 2; Eqp$H$75_2")</f>
        <v/>
      </c>
      <c r="I77" s="40" t="s">
        <v>593</v>
      </c>
      <c r="J77" s="31"/>
    </row>
    <row r="78" spans="3:10">
      <c r="C78" s="35" t="s">
        <v>103</v>
      </c>
    </row>
    <row r="79" spans="3:10" ht="19.5">
      <c r="E79" s="114" t="s">
        <v>137</v>
      </c>
      <c r="F79" s="46">
        <f>F59*F62*F65*F74*F49*F77</f>
        <v>194.02899120302681</v>
      </c>
      <c r="G79" s="61" t="s">
        <v>86</v>
      </c>
      <c r="H79" s="31" t="str">
        <f>[3]!EQS(F79,"Units= ; EqnPrefix=Valem  ; EqnNo= 0; Multiplication= 1; ShowWorking= 0; EqnStyle= 2; Eqp$G$39_0")</f>
        <v/>
      </c>
      <c r="I79" s="30" t="s">
        <v>541</v>
      </c>
    </row>
    <row r="80" spans="3:10">
      <c r="H80" s="23" t="str">
        <f>[3]!EQS(F79,"Units= ; EqnPrefix=Valem  ; EqnNo= 0; Multiplication= 1; ShowWorking= 1; EqnStyle= 2; Eqp$G$39_$G$40_1")</f>
        <v/>
      </c>
      <c r="I80" s="30" t="s">
        <v>266</v>
      </c>
    </row>
    <row r="83" spans="2:12">
      <c r="B83" s="73" t="s">
        <v>107</v>
      </c>
      <c r="C83" s="36"/>
      <c r="D83" s="36"/>
      <c r="E83" s="29"/>
      <c r="F83" s="29"/>
      <c r="G83" s="60"/>
      <c r="H83" s="29"/>
      <c r="I83" s="29"/>
      <c r="J83" s="29"/>
      <c r="K83" s="29"/>
      <c r="L83" s="29"/>
    </row>
    <row r="84" spans="2:12" outlineLevel="1">
      <c r="C84" s="35" t="s">
        <v>108</v>
      </c>
      <c r="E84" s="24"/>
    </row>
    <row r="85" spans="2:12" outlineLevel="1">
      <c r="E85" s="114" t="s">
        <v>517</v>
      </c>
      <c r="F85" s="33">
        <v>28</v>
      </c>
      <c r="G85" s="59" t="s">
        <v>51</v>
      </c>
      <c r="I85" s="38" t="s">
        <v>109</v>
      </c>
    </row>
    <row r="86" spans="2:12" outlineLevel="1">
      <c r="E86" s="114" t="s">
        <v>519</v>
      </c>
      <c r="F86" s="33">
        <v>0.22</v>
      </c>
      <c r="G86" s="59" t="s">
        <v>51</v>
      </c>
      <c r="I86" s="38" t="s">
        <v>110</v>
      </c>
    </row>
    <row r="87" spans="2:12" outlineLevel="1">
      <c r="E87" s="114" t="s">
        <v>518</v>
      </c>
      <c r="F87" s="33">
        <v>23</v>
      </c>
      <c r="G87" s="61" t="s">
        <v>51</v>
      </c>
      <c r="I87" s="38" t="s">
        <v>94</v>
      </c>
    </row>
    <row r="88" spans="2:12" outlineLevel="1">
      <c r="C88" s="38" t="s">
        <v>99</v>
      </c>
      <c r="D88" s="38"/>
      <c r="E88" s="28"/>
      <c r="F88" s="27"/>
      <c r="G88" s="59"/>
      <c r="I88" s="32"/>
    </row>
    <row r="89" spans="2:12" ht="19.5" outlineLevel="1">
      <c r="E89" s="114" t="s">
        <v>98</v>
      </c>
      <c r="F89" s="45">
        <f>F86*F87</f>
        <v>5.0599999999999996</v>
      </c>
      <c r="G89" s="61" t="s">
        <v>81</v>
      </c>
      <c r="H89" s="31" t="str">
        <f>[3]!EQS(F89,"Units= ; EqnPrefix=Valem  ; EqnNo= 0; Multiplication= 1; ShowWorking= 1; EqnStyle=2; Eqp$G$17_0")</f>
        <v/>
      </c>
      <c r="I89" s="30" t="s">
        <v>121</v>
      </c>
    </row>
    <row r="90" spans="2:12" outlineLevel="1">
      <c r="C90" s="48" t="s">
        <v>112</v>
      </c>
      <c r="E90" s="37"/>
      <c r="F90" s="45"/>
      <c r="G90" s="61"/>
      <c r="H90" s="31"/>
      <c r="I90" s="30"/>
    </row>
    <row r="91" spans="2:12" outlineLevel="1">
      <c r="C91" s="35" t="s">
        <v>65</v>
      </c>
      <c r="F91" s="27"/>
      <c r="G91" s="59"/>
      <c r="I91" s="32"/>
    </row>
    <row r="92" spans="2:12" outlineLevel="1">
      <c r="E92" s="28"/>
      <c r="F92" s="27"/>
      <c r="G92" s="59"/>
      <c r="I92" s="32"/>
    </row>
    <row r="93" spans="2:12" outlineLevel="1"/>
    <row r="94" spans="2:12" ht="16.5" customHeight="1" outlineLevel="1">
      <c r="E94" s="114" t="s">
        <v>57</v>
      </c>
      <c r="F94" s="42">
        <f>$F$6*LN(F85/$F$7)*$F$3</f>
        <v>25.248467767079489</v>
      </c>
      <c r="G94" s="59" t="s">
        <v>43</v>
      </c>
      <c r="H94" s="31" t="str">
        <f>[3]!EQS(F94,"Units= ; EqnPrefix=Valem  ; EqnNo= 0; Multiplication= 1; ShowWorking= 0; EqnStyle= 2; Eqp$H$54_2")</f>
        <v/>
      </c>
      <c r="I94" s="40" t="s">
        <v>534</v>
      </c>
      <c r="J94" s="31"/>
    </row>
    <row r="95" spans="2:12" ht="12" customHeight="1" outlineLevel="1">
      <c r="E95" s="28"/>
      <c r="F95" s="42"/>
      <c r="G95" s="59"/>
      <c r="H95" s="31" t="str">
        <f>[3]!EQS(F94,"Units= ; EqnPrefix=Valem  ; EqnNo= 0; Multiplication= 1; ShowWorking= 1; EqnStyle= 2; Eqp$H$54_$H$55_3")</f>
        <v/>
      </c>
      <c r="I95" s="40" t="s">
        <v>111</v>
      </c>
      <c r="J95" s="31"/>
    </row>
    <row r="96" spans="2:12" outlineLevel="1">
      <c r="C96" s="41" t="s">
        <v>77</v>
      </c>
      <c r="D96" s="41"/>
      <c r="F96" s="42"/>
      <c r="G96" s="59"/>
      <c r="H96" s="31"/>
      <c r="I96" s="40"/>
      <c r="J96" s="31"/>
    </row>
    <row r="97" spans="3:10" ht="19.5" outlineLevel="1">
      <c r="E97" s="114" t="s">
        <v>75</v>
      </c>
      <c r="F97" s="42">
        <f>1/2*$F$5*F94^2</f>
        <v>390.45963880846682</v>
      </c>
      <c r="G97" s="61" t="s">
        <v>76</v>
      </c>
      <c r="H97" s="31" t="str">
        <f>[3]!EQS(F97,"Units= ; EqnPrefix=Valem  ; EqnNo= 0; Multiplication= 1; ShowWorking= 0; EqnStyle= 2; Eqp$G$21_0")</f>
        <v/>
      </c>
      <c r="I97" s="40" t="s">
        <v>527</v>
      </c>
      <c r="J97" s="31"/>
    </row>
    <row r="98" spans="3:10" outlineLevel="1">
      <c r="E98" s="37"/>
      <c r="F98" s="42"/>
      <c r="G98" s="61"/>
      <c r="H98" s="31" t="str">
        <f>[3]!EQS(F97,"Units= ; EqnPrefix=Valem  ; EqnNo= 0; Multiplication= 1; ShowWorking= 1; EqnStyle= 2; Eqp$G$21_$G$25_1")</f>
        <v/>
      </c>
      <c r="I98" s="40" t="s">
        <v>542</v>
      </c>
      <c r="J98" s="31"/>
    </row>
    <row r="99" spans="3:10" outlineLevel="1">
      <c r="C99" s="35" t="s">
        <v>79</v>
      </c>
      <c r="E99" s="37"/>
      <c r="F99" s="42"/>
      <c r="G99" s="61"/>
      <c r="I99" s="40"/>
      <c r="J99" s="31"/>
    </row>
    <row r="100" spans="3:10" ht="19.5" outlineLevel="1">
      <c r="E100" s="114" t="s">
        <v>80</v>
      </c>
      <c r="F100" s="42">
        <f>(1+2.28/LN(F85/$F$7))^2</f>
        <v>1.8504351691877789</v>
      </c>
      <c r="G100" s="61"/>
      <c r="H100" s="31" t="str">
        <f>[3]!EQS(F100,"Units= ; EqnPrefix=Valem  ; EqnNo= 0; Multiplication= 1; ShowWorking= 0; EqnStyle= 2; Eqp$G$24_0")</f>
        <v/>
      </c>
      <c r="I100" s="40" t="s">
        <v>536</v>
      </c>
      <c r="J100" s="31"/>
    </row>
    <row r="101" spans="3:10" outlineLevel="1">
      <c r="E101" s="37"/>
      <c r="F101" s="42"/>
      <c r="G101" s="61"/>
      <c r="H101" s="31" t="str">
        <f>[3]!EQS(F100,"Units= ; EqnPrefix=Valem  ; EqnNo= 0; Multiplication= 1; ShowWorking= 1; EqnStyle= 2; Eqp$G$24_$G$28_1")</f>
        <v/>
      </c>
      <c r="I101" s="40" t="s">
        <v>543</v>
      </c>
      <c r="J101" s="31"/>
    </row>
    <row r="102" spans="3:10" outlineLevel="1">
      <c r="C102" s="23" t="s">
        <v>50</v>
      </c>
      <c r="D102" s="23"/>
      <c r="E102" s="37"/>
      <c r="F102" s="42"/>
      <c r="G102" s="61"/>
      <c r="J102" s="31"/>
    </row>
    <row r="103" spans="3:10" ht="19.5" outlineLevel="1">
      <c r="E103" s="28" t="s">
        <v>52</v>
      </c>
      <c r="F103" s="23">
        <v>1.1499999999999999</v>
      </c>
      <c r="J103" s="31"/>
    </row>
    <row r="104" spans="3:10" ht="19.5" outlineLevel="1">
      <c r="C104" s="49" t="s">
        <v>113</v>
      </c>
      <c r="D104" s="39"/>
      <c r="E104" s="24"/>
      <c r="F104" s="43"/>
      <c r="H104" s="31"/>
      <c r="I104" s="31"/>
      <c r="J104" s="31"/>
    </row>
    <row r="105" spans="3:10" outlineLevel="1">
      <c r="C105" s="23"/>
      <c r="D105" s="41" t="s">
        <v>84</v>
      </c>
      <c r="E105" s="37"/>
      <c r="F105" s="44"/>
      <c r="H105" s="31"/>
      <c r="I105" s="41"/>
      <c r="J105" s="31"/>
    </row>
    <row r="106" spans="3:10" ht="19.5" outlineLevel="1">
      <c r="E106" s="114" t="s">
        <v>115</v>
      </c>
      <c r="F106" s="42">
        <v>2</v>
      </c>
      <c r="H106" s="31"/>
      <c r="I106" s="30"/>
      <c r="J106" s="31"/>
    </row>
    <row r="107" spans="3:10" outlineLevel="1">
      <c r="D107" s="48" t="s">
        <v>116</v>
      </c>
      <c r="E107" s="31"/>
      <c r="F107" s="31"/>
      <c r="H107" s="31"/>
      <c r="I107" s="40"/>
      <c r="J107" s="31"/>
    </row>
    <row r="108" spans="3:10" outlineLevel="1">
      <c r="D108" s="48"/>
      <c r="E108" s="115" t="s">
        <v>520</v>
      </c>
      <c r="F108" s="51">
        <f>MIN(70,2*F87/F86)</f>
        <v>70</v>
      </c>
      <c r="H108" s="31"/>
      <c r="I108" s="40"/>
      <c r="J108" s="31"/>
    </row>
    <row r="109" spans="3:10" outlineLevel="1">
      <c r="D109" s="48" t="s">
        <v>117</v>
      </c>
      <c r="E109" s="31"/>
      <c r="F109" s="31"/>
      <c r="H109" s="31"/>
      <c r="I109" s="40"/>
      <c r="J109" s="31"/>
    </row>
    <row r="110" spans="3:10" outlineLevel="1">
      <c r="D110" s="48"/>
      <c r="E110" s="115" t="s">
        <v>521</v>
      </c>
      <c r="F110" s="31">
        <v>1</v>
      </c>
      <c r="H110" s="31"/>
      <c r="I110" s="40"/>
      <c r="J110" s="31"/>
    </row>
    <row r="111" spans="3:10" outlineLevel="1">
      <c r="D111" s="49" t="s">
        <v>119</v>
      </c>
      <c r="F111" s="31"/>
      <c r="H111" s="31"/>
      <c r="I111" s="40"/>
      <c r="J111" s="31"/>
    </row>
    <row r="112" spans="3:10" ht="19.5" outlineLevel="1">
      <c r="E112" s="115" t="s">
        <v>118</v>
      </c>
      <c r="F112" s="23">
        <v>0.92</v>
      </c>
      <c r="H112" s="31"/>
      <c r="I112" s="40"/>
      <c r="J112" s="31"/>
    </row>
    <row r="113" spans="2:12" outlineLevel="1">
      <c r="C113" s="48" t="s">
        <v>120</v>
      </c>
      <c r="E113" s="31"/>
      <c r="F113" s="50"/>
      <c r="H113" s="31"/>
      <c r="I113" s="40"/>
      <c r="J113" s="31"/>
    </row>
    <row r="114" spans="2:12" ht="19.5" outlineLevel="1">
      <c r="E114" s="114" t="s">
        <v>114</v>
      </c>
      <c r="F114" s="52">
        <f>F106*F112</f>
        <v>1.84</v>
      </c>
      <c r="H114" s="31" t="str">
        <f>[3]!EQS(F114,"Units= ; EqnPrefix=Valem  ; EqnNo= 0; Multiplication= 1; ShowWorking= 0; EqnStyle= 2; Eqp$H$119_2")</f>
        <v/>
      </c>
      <c r="I114" s="40" t="s">
        <v>544</v>
      </c>
      <c r="J114" s="31"/>
    </row>
    <row r="115" spans="2:12" outlineLevel="1">
      <c r="E115" s="31"/>
      <c r="F115" s="50"/>
      <c r="H115" s="31" t="str">
        <f>[3]!EQS(F114,"Units= ; EqnPrefix=Valem  ; EqnNo= 0; Multiplication= 1; ShowWorking= 1; EqnStyle= 2; Eqp$H$119_$H$120_3")</f>
        <v/>
      </c>
      <c r="I115" s="40" t="s">
        <v>130</v>
      </c>
      <c r="J115" s="31"/>
    </row>
    <row r="116" spans="2:12" outlineLevel="1">
      <c r="C116" s="35" t="s">
        <v>104</v>
      </c>
      <c r="E116" s="31"/>
      <c r="F116" s="31"/>
      <c r="H116" s="31"/>
      <c r="I116" s="40"/>
      <c r="J116" s="31"/>
    </row>
    <row r="117" spans="2:12" ht="19.5" outlineLevel="1">
      <c r="E117" s="115" t="s">
        <v>105</v>
      </c>
      <c r="F117" s="125">
        <f>COS(RADIANS(45))^2</f>
        <v>0.50000000000000011</v>
      </c>
      <c r="H117" s="31" t="str">
        <f>[3]!EQS(F117,"Units= ; EqnPrefix=Valem  ; EqnNo= 0; Multiplication= 1; ShowWorking= 0; EqnStyle= 2; Eqp$H$75_2")</f>
        <v/>
      </c>
      <c r="I117" s="40" t="s">
        <v>593</v>
      </c>
      <c r="J117" s="31"/>
    </row>
    <row r="118" spans="2:12" outlineLevel="1">
      <c r="C118" s="48" t="s">
        <v>122</v>
      </c>
    </row>
    <row r="119" spans="2:12" ht="19.5">
      <c r="E119" s="114" t="s">
        <v>136</v>
      </c>
      <c r="F119" s="46">
        <f>F97*F100*F103*F114*F86*F117</f>
        <v>168.17381287782194</v>
      </c>
      <c r="G119" s="61" t="s">
        <v>86</v>
      </c>
      <c r="H119" s="31" t="str">
        <f>[3]!EQS(F119,"Units= ; EqnPrefix=Valem  ; EqnNo= 0; Multiplication= 1; ShowWorking= 0; EqnStyle= 2; Eqp$G$39_0")</f>
        <v/>
      </c>
      <c r="I119" s="30" t="s">
        <v>545</v>
      </c>
    </row>
    <row r="120" spans="2:12">
      <c r="H120" s="23" t="str">
        <f>[3]!EQS(F119,"Units= ; EqnPrefix=Valem  ; EqnNo= 0; Multiplication= 1; ShowWorking= 1; EqnStyle= 2; Eqp$G$39_$G$40_1")</f>
        <v/>
      </c>
      <c r="I120" s="30" t="s">
        <v>594</v>
      </c>
    </row>
    <row r="123" spans="2:12">
      <c r="B123" s="73" t="s">
        <v>123</v>
      </c>
      <c r="C123" s="36"/>
      <c r="D123" s="36"/>
      <c r="E123" s="29"/>
      <c r="F123" s="29"/>
      <c r="G123" s="60"/>
      <c r="H123" s="29"/>
      <c r="I123" s="29"/>
      <c r="J123" s="29"/>
      <c r="K123" s="29"/>
      <c r="L123" s="29"/>
    </row>
    <row r="124" spans="2:12" outlineLevel="1">
      <c r="C124" s="57" t="s">
        <v>141</v>
      </c>
      <c r="E124" s="24"/>
    </row>
    <row r="125" spans="2:12" outlineLevel="1">
      <c r="E125" s="114" t="s">
        <v>517</v>
      </c>
      <c r="F125" s="33">
        <v>36</v>
      </c>
      <c r="G125" s="59" t="s">
        <v>51</v>
      </c>
      <c r="I125" s="38" t="s">
        <v>109</v>
      </c>
    </row>
    <row r="126" spans="2:12" outlineLevel="1">
      <c r="E126" s="114" t="s">
        <v>519</v>
      </c>
      <c r="F126" s="33">
        <v>0.25</v>
      </c>
      <c r="G126" s="59" t="s">
        <v>51</v>
      </c>
    </row>
    <row r="127" spans="2:12" outlineLevel="1">
      <c r="E127" s="114" t="s">
        <v>516</v>
      </c>
      <c r="F127" s="33">
        <v>0.25</v>
      </c>
      <c r="G127" s="62" t="s">
        <v>51</v>
      </c>
      <c r="I127" s="54" t="s">
        <v>124</v>
      </c>
    </row>
    <row r="128" spans="2:12" outlineLevel="1">
      <c r="E128" s="114" t="s">
        <v>518</v>
      </c>
      <c r="F128" s="33">
        <v>23</v>
      </c>
      <c r="G128" s="61" t="s">
        <v>51</v>
      </c>
      <c r="I128" s="38" t="s">
        <v>94</v>
      </c>
    </row>
    <row r="129" spans="3:10" outlineLevel="1">
      <c r="C129" s="38" t="s">
        <v>99</v>
      </c>
      <c r="D129" s="38"/>
      <c r="E129" s="28"/>
      <c r="F129" s="27"/>
      <c r="G129" s="59"/>
      <c r="I129" s="32"/>
    </row>
    <row r="130" spans="3:10" ht="19.5" outlineLevel="1">
      <c r="E130" s="114" t="s">
        <v>98</v>
      </c>
      <c r="F130" s="45">
        <f>F126*F128</f>
        <v>5.75</v>
      </c>
      <c r="G130" s="61" t="s">
        <v>81</v>
      </c>
      <c r="H130" s="31" t="str">
        <f>[3]!EQS(F130,"Units= ; EqnPrefix=Valem  ; EqnNo= 0; Multiplication= 1; ShowWorking= 1; EqnStyle=2; Eqp$G$17_0")</f>
        <v/>
      </c>
      <c r="I130" s="30" t="s">
        <v>127</v>
      </c>
    </row>
    <row r="131" spans="3:10" outlineLevel="1">
      <c r="C131" s="57" t="s">
        <v>165</v>
      </c>
      <c r="E131" s="37"/>
      <c r="F131" s="45"/>
      <c r="G131" s="61"/>
      <c r="H131" s="31"/>
      <c r="I131" s="30"/>
    </row>
    <row r="132" spans="3:10" ht="19.5" outlineLevel="1">
      <c r="C132" s="48"/>
      <c r="E132" s="114" t="s">
        <v>125</v>
      </c>
      <c r="F132" s="45">
        <f>F127*F126</f>
        <v>6.25E-2</v>
      </c>
      <c r="G132" s="61" t="s">
        <v>81</v>
      </c>
      <c r="H132" s="31" t="str">
        <f>[3]!EQS(F132,"Units= ; EqnPrefix=Valem  ; EqnNo= 0; Multiplication= 1; ShowWorking= 1; EqnStyle= 2; Eqp$H$137_2")</f>
        <v/>
      </c>
      <c r="I132" s="30" t="s">
        <v>128</v>
      </c>
    </row>
    <row r="133" spans="3:10" outlineLevel="1">
      <c r="C133" s="35" t="s">
        <v>65</v>
      </c>
      <c r="F133" s="27"/>
      <c r="G133" s="59"/>
      <c r="I133" s="32"/>
    </row>
    <row r="134" spans="3:10" outlineLevel="1">
      <c r="E134" s="28"/>
      <c r="F134" s="27"/>
      <c r="G134" s="59"/>
      <c r="I134" s="32"/>
    </row>
    <row r="135" spans="3:10" outlineLevel="1"/>
    <row r="136" spans="3:10" ht="19.5" outlineLevel="1">
      <c r="E136" s="114" t="s">
        <v>57</v>
      </c>
      <c r="F136" s="42">
        <f>$F$6*LN(F125/$F$7)*$F$3</f>
        <v>26.251212335920307</v>
      </c>
      <c r="G136" s="59" t="s">
        <v>43</v>
      </c>
      <c r="H136" s="31" t="str">
        <f>[3]!EQS(F136,"Units= ; EqnPrefix=Valem  ; EqnNo= 0; Multiplication= 1; ShowWorking= 0; EqnStyle= 2; Eqp$H$54_2")</f>
        <v/>
      </c>
      <c r="I136" s="40" t="s">
        <v>534</v>
      </c>
      <c r="J136" s="31"/>
    </row>
    <row r="137" spans="3:10" outlineLevel="1">
      <c r="E137" s="28"/>
      <c r="F137" s="42"/>
      <c r="G137" s="59"/>
      <c r="H137" s="31" t="str">
        <f>[3]!EQS(F136,"Units= ; EqnPrefix=Valem  ; EqnNo= 0; Multiplication= 1; ShowWorking= 1; EqnStyle= 2; Eqp$H$54_$H$55_3")</f>
        <v/>
      </c>
      <c r="I137" s="40" t="s">
        <v>64</v>
      </c>
      <c r="J137" s="31"/>
    </row>
    <row r="138" spans="3:10" outlineLevel="1">
      <c r="C138" s="41" t="s">
        <v>77</v>
      </c>
      <c r="D138" s="41"/>
      <c r="F138" s="42"/>
      <c r="G138" s="59"/>
      <c r="H138" s="31"/>
      <c r="I138" s="40"/>
      <c r="J138" s="31"/>
    </row>
    <row r="139" spans="3:10" ht="19.5" outlineLevel="1">
      <c r="E139" s="114" t="s">
        <v>75</v>
      </c>
      <c r="F139" s="42">
        <f>1/2*$F$5*F136^2</f>
        <v>422.08976632716445</v>
      </c>
      <c r="G139" s="61" t="s">
        <v>76</v>
      </c>
      <c r="H139" s="31" t="str">
        <f>[3]!EQS(F139,"Units= ; EqnPrefix=Valem  ; EqnNo= 0; Multiplication= 1; ShowWorking= 0; EqnStyle= 2; Eqp$G$21_0")</f>
        <v/>
      </c>
      <c r="I139" s="40" t="s">
        <v>527</v>
      </c>
      <c r="J139" s="31"/>
    </row>
    <row r="140" spans="3:10" outlineLevel="1">
      <c r="E140" s="37"/>
      <c r="F140" s="42"/>
      <c r="G140" s="61"/>
      <c r="H140" s="31" t="str">
        <f>[3]!EQS(F139,"Units= ; EqnPrefix=Valem  ; EqnNo= 0; Multiplication= 1; ShowWorking= 1; EqnStyle= 2; Eqp$G$21_$G$25_1")</f>
        <v/>
      </c>
      <c r="I140" s="40" t="s">
        <v>528</v>
      </c>
      <c r="J140" s="31"/>
    </row>
    <row r="141" spans="3:10" outlineLevel="1">
      <c r="C141" s="35" t="s">
        <v>79</v>
      </c>
      <c r="E141" s="37"/>
      <c r="F141" s="42"/>
      <c r="G141" s="61"/>
      <c r="I141" s="40"/>
      <c r="J141" s="31"/>
    </row>
    <row r="142" spans="3:10" ht="19.5" outlineLevel="1">
      <c r="E142" s="114" t="s">
        <v>80</v>
      </c>
      <c r="F142" s="42">
        <f>(1+2.28/LN(F125/$F$7))^2</f>
        <v>1.8131807308313552</v>
      </c>
      <c r="G142" s="61"/>
      <c r="H142" s="31" t="str">
        <f>[3]!EQS(F142,"Units= ; EqnPrefix=Valem  ; EqnNo= 0; Multiplication= 1; ShowWorking= 0; EqnStyle= 2; Eqp$G$24_0")</f>
        <v/>
      </c>
      <c r="I142" s="40" t="s">
        <v>536</v>
      </c>
      <c r="J142" s="31"/>
    </row>
    <row r="143" spans="3:10" outlineLevel="1">
      <c r="E143" s="37"/>
      <c r="F143" s="42"/>
      <c r="G143" s="61"/>
      <c r="H143" s="31" t="str">
        <f>[3]!EQS(F142,"Units= ; EqnPrefix=Valem  ; EqnNo= 0; Multiplication= 1; ShowWorking= 1; EqnStyle= 2; Eqp$G$24_$G$28_1")</f>
        <v/>
      </c>
      <c r="I143" s="40" t="s">
        <v>530</v>
      </c>
      <c r="J143" s="31"/>
    </row>
    <row r="144" spans="3:10" outlineLevel="1">
      <c r="C144" s="23" t="s">
        <v>50</v>
      </c>
      <c r="D144" s="23"/>
      <c r="E144" s="37"/>
      <c r="F144" s="42"/>
      <c r="G144" s="61"/>
      <c r="J144" s="31"/>
    </row>
    <row r="145" spans="3:10" ht="19.5" outlineLevel="1">
      <c r="E145" s="28" t="s">
        <v>52</v>
      </c>
      <c r="F145" s="23">
        <v>1.1499999999999999</v>
      </c>
      <c r="J145" s="31"/>
    </row>
    <row r="146" spans="3:10" ht="19.5" outlineLevel="1">
      <c r="C146" s="56" t="s">
        <v>129</v>
      </c>
      <c r="D146" s="39"/>
      <c r="E146" s="24"/>
      <c r="F146" s="43"/>
      <c r="H146" s="31"/>
      <c r="I146" s="31"/>
      <c r="J146" s="31"/>
    </row>
    <row r="147" spans="3:10" outlineLevel="1">
      <c r="C147" s="23"/>
      <c r="D147" s="41" t="s">
        <v>84</v>
      </c>
      <c r="E147" s="37"/>
      <c r="F147" s="44"/>
      <c r="H147" s="31"/>
      <c r="I147" s="41"/>
      <c r="J147" s="31"/>
    </row>
    <row r="148" spans="3:10" ht="19.5" outlineLevel="1">
      <c r="E148" s="114" t="s">
        <v>132</v>
      </c>
      <c r="F148" s="42">
        <v>2</v>
      </c>
      <c r="H148" s="31"/>
      <c r="I148" s="30"/>
      <c r="J148" s="31"/>
    </row>
    <row r="149" spans="3:10" outlineLevel="1">
      <c r="D149" s="48" t="s">
        <v>116</v>
      </c>
      <c r="E149" s="31"/>
      <c r="F149" s="31"/>
      <c r="H149" s="31"/>
      <c r="I149" s="40"/>
      <c r="J149" s="31"/>
    </row>
    <row r="150" spans="3:10" outlineLevel="1">
      <c r="D150" s="48"/>
      <c r="E150" s="115" t="s">
        <v>520</v>
      </c>
      <c r="F150" s="51">
        <f>MIN(70,2*F128/F126)</f>
        <v>70</v>
      </c>
      <c r="H150" s="31" t="str">
        <f>[3]!EQS(F150,"Units= ; EqnPrefix=Valem  ; EqnNo= 0; Multiplication= 1; ShowWorking= 1; EqnStyle=2; Eqp$H$148_0")</f>
        <v/>
      </c>
      <c r="I150" s="40" t="s">
        <v>133</v>
      </c>
      <c r="J150" s="31"/>
    </row>
    <row r="151" spans="3:10" outlineLevel="1">
      <c r="D151" s="48" t="s">
        <v>117</v>
      </c>
      <c r="E151" s="31"/>
      <c r="F151" s="31"/>
      <c r="H151" s="31"/>
      <c r="I151" s="40"/>
      <c r="J151" s="31"/>
    </row>
    <row r="152" spans="3:10" outlineLevel="1">
      <c r="D152" s="48"/>
      <c r="E152" s="115" t="s">
        <v>521</v>
      </c>
      <c r="F152" s="31">
        <v>1</v>
      </c>
      <c r="H152" s="31"/>
      <c r="I152" s="40"/>
      <c r="J152" s="31"/>
    </row>
    <row r="153" spans="3:10" outlineLevel="1">
      <c r="D153" s="49" t="s">
        <v>119</v>
      </c>
      <c r="F153" s="31"/>
      <c r="H153" s="31"/>
      <c r="I153" s="40"/>
      <c r="J153" s="31"/>
    </row>
    <row r="154" spans="3:10" ht="19.5" outlineLevel="1">
      <c r="E154" s="115" t="s">
        <v>118</v>
      </c>
      <c r="F154" s="23">
        <v>0.92</v>
      </c>
      <c r="H154" s="31"/>
      <c r="I154" s="40"/>
      <c r="J154" s="31"/>
    </row>
    <row r="155" spans="3:10" outlineLevel="1">
      <c r="D155" s="57" t="s">
        <v>142</v>
      </c>
      <c r="E155" s="55"/>
      <c r="H155" s="31"/>
      <c r="I155" s="40"/>
      <c r="J155" s="31"/>
    </row>
    <row r="156" spans="3:10" ht="19.5" outlineLevel="1">
      <c r="E156" s="115" t="s">
        <v>143</v>
      </c>
      <c r="F156" s="23">
        <v>0.88</v>
      </c>
      <c r="H156" s="31"/>
      <c r="I156" s="63" t="s">
        <v>144</v>
      </c>
      <c r="J156" s="31"/>
    </row>
    <row r="157" spans="3:10" outlineLevel="1">
      <c r="C157" s="57" t="s">
        <v>145</v>
      </c>
      <c r="E157" s="31"/>
      <c r="F157" s="50"/>
      <c r="H157" s="31"/>
      <c r="I157" s="40"/>
      <c r="J157" s="31"/>
    </row>
    <row r="158" spans="3:10" ht="19.5" outlineLevel="1">
      <c r="E158" s="114" t="s">
        <v>149</v>
      </c>
      <c r="F158" s="52">
        <f>F148*F154*F156</f>
        <v>1.6192</v>
      </c>
      <c r="H158" s="31" t="str">
        <f>[3]!EQS(F158,"Units= ; EqnPrefix=Valem  ; EqnNo= 0; Multiplication= 1; ShowWorking= 0; EqnStyle= 2; Eqp$H$119_2")</f>
        <v/>
      </c>
      <c r="I158" s="40" t="s">
        <v>546</v>
      </c>
      <c r="J158" s="31"/>
    </row>
    <row r="159" spans="3:10" outlineLevel="1">
      <c r="E159" s="31"/>
      <c r="F159" s="50"/>
      <c r="H159" s="31" t="str">
        <f>[3]!EQS(F158,"Units= ; EqnPrefix=Valem  ; EqnNo= 0; Multiplication= 1; ShowWorking= 1; EqnStyle= 2; Eqp$H$119_$H$120_3")</f>
        <v/>
      </c>
      <c r="I159" s="40" t="s">
        <v>147</v>
      </c>
      <c r="J159" s="31"/>
    </row>
    <row r="160" spans="3:10" outlineLevel="1">
      <c r="C160" s="57" t="s">
        <v>146</v>
      </c>
      <c r="E160" s="31"/>
      <c r="F160" s="50"/>
      <c r="H160" s="31"/>
      <c r="I160" s="40"/>
      <c r="J160" s="31"/>
    </row>
    <row r="161" spans="2:12" ht="19.5" outlineLevel="1">
      <c r="C161" s="57"/>
      <c r="E161" s="114" t="s">
        <v>150</v>
      </c>
      <c r="F161" s="52">
        <f>F148*F154</f>
        <v>1.84</v>
      </c>
      <c r="H161" s="31" t="str">
        <f>[3]!EQS(F161,"Units= ; EqnPrefix=Valem  ; EqnNo= 0; Multiplication= 1; ShowWorking= 0; EqnStyle= 2; Eqp$H$119_2")</f>
        <v/>
      </c>
      <c r="I161" s="40" t="s">
        <v>547</v>
      </c>
      <c r="J161" s="31"/>
    </row>
    <row r="162" spans="2:12" outlineLevel="1">
      <c r="E162" s="31"/>
      <c r="F162" s="50"/>
      <c r="H162" s="31" t="str">
        <f>[3]!EQS(F161,"Units= ; EqnPrefix=Valem  ; EqnNo= 0; Multiplication= 1; ShowWorking= 1; EqnStyle= 2; Eqp$H$119_$H$120_3")</f>
        <v/>
      </c>
      <c r="I162" s="40" t="s">
        <v>130</v>
      </c>
      <c r="J162" s="31"/>
    </row>
    <row r="163" spans="2:12" outlineLevel="1">
      <c r="C163" s="57" t="s">
        <v>134</v>
      </c>
      <c r="E163" s="31"/>
      <c r="F163" s="31"/>
      <c r="H163" s="31"/>
      <c r="I163" s="40"/>
      <c r="J163" s="31"/>
    </row>
    <row r="164" spans="2:12" ht="19.5" outlineLevel="1">
      <c r="E164" s="115" t="s">
        <v>155</v>
      </c>
      <c r="F164" s="125">
        <f>COS(RADIANS(45))^2</f>
        <v>0.50000000000000011</v>
      </c>
      <c r="H164" s="31" t="str">
        <f>[3]!EQS(F164,"Units= ; EqnPrefix=Valem  ; EqnNo= 0; Multiplication= 1; ShowWorking= 0; EqnStyle= 2; Eqp$H$75_2")</f>
        <v/>
      </c>
      <c r="I164" s="40" t="s">
        <v>593</v>
      </c>
      <c r="J164" s="31"/>
    </row>
    <row r="165" spans="2:12" outlineLevel="1">
      <c r="C165" s="57" t="s">
        <v>151</v>
      </c>
      <c r="E165" s="55"/>
      <c r="F165" s="53"/>
      <c r="H165" s="31"/>
      <c r="I165" s="40"/>
      <c r="J165" s="31"/>
    </row>
    <row r="166" spans="2:12" ht="19.5" outlineLevel="1">
      <c r="E166" s="115" t="s">
        <v>156</v>
      </c>
      <c r="F166" s="125">
        <f>COS(RADIANS(45))^2</f>
        <v>0.50000000000000011</v>
      </c>
      <c r="H166" s="31" t="str">
        <f>[3]!EQS(F166,"Units= ; EqnPrefix=Valem  ; EqnNo= 0; Multiplication= 1; ShowWorking= 0; EqnStyle= 2; Eqp$H$75_2")</f>
        <v/>
      </c>
      <c r="I166" s="40" t="s">
        <v>593</v>
      </c>
      <c r="J166" s="31"/>
    </row>
    <row r="167" spans="2:12">
      <c r="C167" s="57" t="s">
        <v>135</v>
      </c>
    </row>
    <row r="168" spans="2:12" ht="19.5">
      <c r="E168" s="114" t="s">
        <v>152</v>
      </c>
      <c r="F168" s="46">
        <f>F139*F142*F145*F158*F126*F164</f>
        <v>178.13705421219058</v>
      </c>
      <c r="G168" s="61" t="s">
        <v>86</v>
      </c>
      <c r="H168" s="31" t="str">
        <f>[3]!EQS(F168,"Units= ; EqnPrefix=Valem  ; EqnNo= 0; Multiplication= 1; ShowWorking= 0; EqnStyle= 2; Eqp$G$39_0")</f>
        <v/>
      </c>
      <c r="I168" s="30" t="s">
        <v>549</v>
      </c>
    </row>
    <row r="169" spans="2:12">
      <c r="H169" s="23" t="str">
        <f>[3]!EQS(F168,"Units= ; EqnPrefix=Valem  ; EqnNo= 0; Multiplication= 1; ShowWorking= 1; EqnStyle= 2; Eqp$G$39_$G$40_1")</f>
        <v/>
      </c>
      <c r="I169" s="30" t="s">
        <v>595</v>
      </c>
    </row>
    <row r="170" spans="2:12">
      <c r="C170" s="57" t="s">
        <v>158</v>
      </c>
    </row>
    <row r="171" spans="2:12" ht="19.5">
      <c r="E171" s="114" t="s">
        <v>153</v>
      </c>
      <c r="F171" s="46">
        <f>F139*F142*F145*F161*F127*F126*F166</f>
        <v>50.607117673917791</v>
      </c>
      <c r="G171" s="62" t="s">
        <v>154</v>
      </c>
      <c r="H171" s="31" t="str">
        <f>[3]!EQS(F171,"Units= ; EqnPrefix=Valem  ; EqnNo= 0; Multiplication= 1; ShowWorking= 0; EqnStyle= 2; Eqp$G$39_0")</f>
        <v/>
      </c>
      <c r="I171" s="30" t="s">
        <v>550</v>
      </c>
    </row>
    <row r="172" spans="2:12">
      <c r="H172" s="23" t="str">
        <f>[3]!EQS(F171,"Units= ; EqnPrefix=Valem  ; EqnNo= 0; Multiplication= 1; ShowWorking= 1; EqnStyle= 2; Eqp$G$39_$G$40_1")</f>
        <v/>
      </c>
      <c r="I172" s="30" t="s">
        <v>596</v>
      </c>
    </row>
    <row r="173" spans="2:12">
      <c r="B173" s="73" t="s">
        <v>159</v>
      </c>
      <c r="C173" s="36"/>
      <c r="D173" s="36"/>
      <c r="E173" s="29"/>
      <c r="F173" s="29"/>
      <c r="G173" s="60"/>
      <c r="H173" s="29"/>
      <c r="I173" s="29"/>
      <c r="J173" s="29"/>
      <c r="K173" s="29"/>
      <c r="L173" s="29"/>
    </row>
    <row r="174" spans="2:12" outlineLevel="1">
      <c r="C174" s="57" t="s">
        <v>160</v>
      </c>
      <c r="E174" s="24"/>
    </row>
    <row r="175" spans="2:12" outlineLevel="1">
      <c r="E175" s="114" t="s">
        <v>517</v>
      </c>
      <c r="F175" s="33">
        <v>41</v>
      </c>
      <c r="G175" s="59" t="s">
        <v>51</v>
      </c>
      <c r="I175" s="38" t="s">
        <v>109</v>
      </c>
    </row>
    <row r="176" spans="2:12" outlineLevel="1">
      <c r="E176" s="114" t="s">
        <v>519</v>
      </c>
      <c r="F176" s="33">
        <v>0.25</v>
      </c>
      <c r="G176" s="59" t="s">
        <v>51</v>
      </c>
    </row>
    <row r="177" spans="3:10" outlineLevel="1">
      <c r="E177" s="114" t="s">
        <v>516</v>
      </c>
      <c r="F177" s="33">
        <v>0.15</v>
      </c>
      <c r="G177" s="62" t="s">
        <v>51</v>
      </c>
      <c r="I177" s="54" t="s">
        <v>124</v>
      </c>
    </row>
    <row r="178" spans="3:10" outlineLevel="1">
      <c r="E178" s="114" t="s">
        <v>518</v>
      </c>
      <c r="F178" s="33">
        <v>5</v>
      </c>
      <c r="G178" s="61" t="s">
        <v>51</v>
      </c>
      <c r="I178" s="38" t="s">
        <v>94</v>
      </c>
    </row>
    <row r="179" spans="3:10" outlineLevel="1">
      <c r="C179" s="38" t="s">
        <v>99</v>
      </c>
      <c r="D179" s="38"/>
      <c r="E179" s="28"/>
      <c r="F179" s="27"/>
      <c r="G179" s="59"/>
      <c r="I179" s="32"/>
    </row>
    <row r="180" spans="3:10" ht="19.5" outlineLevel="1">
      <c r="E180" s="114" t="s">
        <v>98</v>
      </c>
      <c r="F180" s="45">
        <f>F177*F178</f>
        <v>0.75</v>
      </c>
      <c r="G180" s="61" t="s">
        <v>81</v>
      </c>
      <c r="H180" s="31" t="str">
        <f>[3]!EQS(F180,"Units= ; EqnPrefix=Valem  ; EqnNo= 0; Multiplication= 1; ShowWorking= 1; EqnStyle=2; Eqp$G$17_0")</f>
        <v/>
      </c>
      <c r="I180" s="30" t="s">
        <v>163</v>
      </c>
    </row>
    <row r="181" spans="3:10" outlineLevel="1">
      <c r="C181" s="57" t="s">
        <v>165</v>
      </c>
      <c r="E181" s="37"/>
      <c r="F181" s="45"/>
      <c r="G181" s="61"/>
      <c r="H181" s="31"/>
      <c r="I181" s="30"/>
    </row>
    <row r="182" spans="3:10" ht="19.5" outlineLevel="1">
      <c r="C182" s="48"/>
      <c r="E182" s="114" t="s">
        <v>125</v>
      </c>
      <c r="F182" s="45">
        <f>F178*F176</f>
        <v>1.25</v>
      </c>
      <c r="G182" s="61" t="s">
        <v>81</v>
      </c>
      <c r="H182" s="31" t="str">
        <f>[3]!EQS(F182,"Units= ; EqnPrefix=Valem  ; EqnNo= 0; Multiplication= 1; ShowWorking= 1; EqnStyle= 2; Eqp$H$137_2")</f>
        <v/>
      </c>
      <c r="I182" s="30" t="s">
        <v>164</v>
      </c>
    </row>
    <row r="183" spans="3:10" outlineLevel="1">
      <c r="C183" s="35" t="s">
        <v>65</v>
      </c>
      <c r="F183" s="27"/>
      <c r="G183" s="59"/>
      <c r="I183" s="32"/>
    </row>
    <row r="184" spans="3:10" outlineLevel="1">
      <c r="E184" s="28"/>
      <c r="F184" s="27"/>
      <c r="G184" s="59"/>
      <c r="I184" s="32"/>
    </row>
    <row r="185" spans="3:10" outlineLevel="1"/>
    <row r="186" spans="3:10" ht="19.5" outlineLevel="1">
      <c r="E186" s="114" t="s">
        <v>57</v>
      </c>
      <c r="F186" s="42">
        <f>$F$6*LN(F175/$F$7)*$F$3</f>
        <v>26.770124317630611</v>
      </c>
      <c r="G186" s="59" t="s">
        <v>43</v>
      </c>
      <c r="H186" s="31" t="str">
        <f>[3]!EQS(F186,"Units= ; EqnPrefix=Valem  ; EqnNo= 0; Multiplication= 1; ShowWorking= 0; EqnStyle= 2; Eqp$H$54_2")</f>
        <v/>
      </c>
      <c r="I186" s="40" t="s">
        <v>534</v>
      </c>
      <c r="J186" s="31"/>
    </row>
    <row r="187" spans="3:10" outlineLevel="1">
      <c r="E187" s="28"/>
      <c r="F187" s="42"/>
      <c r="G187" s="59"/>
      <c r="H187" s="31" t="str">
        <f>[3]!EQS(F186,"Units= ; EqnPrefix=Valem  ; EqnNo= 0; Multiplication= 1; ShowWorking= 1; EqnStyle= 2; Eqp$H$54_$H$55_3")</f>
        <v/>
      </c>
      <c r="I187" s="40" t="s">
        <v>161</v>
      </c>
      <c r="J187" s="31"/>
    </row>
    <row r="188" spans="3:10" outlineLevel="1">
      <c r="C188" s="41" t="s">
        <v>77</v>
      </c>
      <c r="D188" s="41"/>
      <c r="F188" s="42"/>
      <c r="G188" s="59"/>
      <c r="H188" s="31"/>
      <c r="I188" s="40"/>
      <c r="J188" s="31"/>
    </row>
    <row r="189" spans="3:10" ht="19.5" outlineLevel="1">
      <c r="E189" s="114" t="s">
        <v>75</v>
      </c>
      <c r="F189" s="42">
        <f>1/2*$F$5*F186^2</f>
        <v>438.94172803860613</v>
      </c>
      <c r="G189" s="61" t="s">
        <v>76</v>
      </c>
      <c r="H189" s="31" t="str">
        <f>[3]!EQS(F189,"Units= ; EqnPrefix=Valem  ; EqnNo= 0; Multiplication= 1; ShowWorking= 0; EqnStyle= 2; Eqp$G$21_0")</f>
        <v/>
      </c>
      <c r="I189" s="40" t="s">
        <v>527</v>
      </c>
      <c r="J189" s="31"/>
    </row>
    <row r="190" spans="3:10" outlineLevel="1">
      <c r="E190" s="37"/>
      <c r="F190" s="42"/>
      <c r="G190" s="61"/>
      <c r="H190" s="31" t="str">
        <f>[3]!EQS(F189,"Units= ; EqnPrefix=Valem  ; EqnNo= 0; Multiplication= 1; ShowWorking= 1; EqnStyle= 2; Eqp$G$21_$G$25_1")</f>
        <v/>
      </c>
      <c r="I190" s="40" t="s">
        <v>551</v>
      </c>
      <c r="J190" s="31"/>
    </row>
    <row r="191" spans="3:10" outlineLevel="1">
      <c r="C191" s="35" t="s">
        <v>79</v>
      </c>
      <c r="E191" s="37"/>
      <c r="F191" s="42"/>
      <c r="G191" s="61"/>
      <c r="I191" s="40"/>
      <c r="J191" s="31"/>
    </row>
    <row r="192" spans="3:10" ht="19.5" outlineLevel="1">
      <c r="E192" s="114" t="s">
        <v>80</v>
      </c>
      <c r="F192" s="42">
        <f>(1+2.28/LN(F175/$F$7))^2</f>
        <v>1.7951352851913878</v>
      </c>
      <c r="G192" s="61"/>
      <c r="H192" s="31" t="str">
        <f>[3]!EQS(F192,"Units= ; EqnPrefix=Valem  ; EqnNo= 0; Multiplication= 1; ShowWorking= 0; EqnStyle= 2; Eqp$G$24_0")</f>
        <v/>
      </c>
      <c r="I192" s="40" t="s">
        <v>536</v>
      </c>
      <c r="J192" s="31"/>
    </row>
    <row r="193" spans="3:10" outlineLevel="1">
      <c r="E193" s="37"/>
      <c r="F193" s="42"/>
      <c r="G193" s="61"/>
      <c r="H193" s="31" t="str">
        <f>[3]!EQS(F192,"Units= ; EqnPrefix=Valem  ; EqnNo= 0; Multiplication= 1; ShowWorking= 1; EqnStyle= 2; Eqp$G$24_$G$28_1")</f>
        <v/>
      </c>
      <c r="I193" s="40" t="s">
        <v>552</v>
      </c>
      <c r="J193" s="31"/>
    </row>
    <row r="194" spans="3:10" outlineLevel="1">
      <c r="C194" s="23" t="s">
        <v>50</v>
      </c>
      <c r="D194" s="23"/>
      <c r="E194" s="37"/>
      <c r="F194" s="42"/>
      <c r="G194" s="61"/>
      <c r="J194" s="31"/>
    </row>
    <row r="195" spans="3:10" ht="19.5" outlineLevel="1">
      <c r="E195" s="28" t="s">
        <v>52</v>
      </c>
      <c r="F195" s="23">
        <v>1.1499999999999999</v>
      </c>
      <c r="J195" s="31"/>
    </row>
    <row r="196" spans="3:10" ht="19.5" outlineLevel="1">
      <c r="C196" s="56" t="s">
        <v>166</v>
      </c>
      <c r="D196" s="39"/>
      <c r="E196" s="24"/>
      <c r="F196" s="43"/>
      <c r="H196" s="31"/>
      <c r="I196" s="31"/>
      <c r="J196" s="31"/>
    </row>
    <row r="197" spans="3:10" outlineLevel="1">
      <c r="C197" s="23"/>
      <c r="D197" s="41" t="s">
        <v>84</v>
      </c>
      <c r="E197" s="37"/>
      <c r="F197" s="44"/>
      <c r="H197" s="31"/>
      <c r="I197" s="41"/>
      <c r="J197" s="31"/>
    </row>
    <row r="198" spans="3:10" ht="19.5" outlineLevel="1">
      <c r="E198" s="114" t="s">
        <v>167</v>
      </c>
      <c r="F198" s="42">
        <v>2</v>
      </c>
      <c r="H198" s="31"/>
      <c r="I198" s="30"/>
      <c r="J198" s="31"/>
    </row>
    <row r="199" spans="3:10" outlineLevel="1">
      <c r="D199" s="48" t="s">
        <v>116</v>
      </c>
      <c r="E199" s="31"/>
      <c r="F199" s="31"/>
      <c r="H199" s="31"/>
      <c r="I199" s="40"/>
      <c r="J199" s="31"/>
    </row>
    <row r="200" spans="3:10" outlineLevel="1">
      <c r="D200" s="48"/>
      <c r="E200" s="115" t="s">
        <v>520</v>
      </c>
      <c r="F200" s="51">
        <f>MIN(70,2*F178/F176)</f>
        <v>40</v>
      </c>
      <c r="H200" s="31"/>
      <c r="I200" s="100" t="s">
        <v>437</v>
      </c>
      <c r="J200" s="31"/>
    </row>
    <row r="201" spans="3:10" outlineLevel="1">
      <c r="D201" s="48" t="s">
        <v>117</v>
      </c>
      <c r="E201" s="31"/>
      <c r="F201" s="31"/>
      <c r="H201" s="31"/>
      <c r="I201" s="40"/>
      <c r="J201" s="31"/>
    </row>
    <row r="202" spans="3:10" outlineLevel="1">
      <c r="D202" s="48"/>
      <c r="E202" s="115" t="s">
        <v>521</v>
      </c>
      <c r="F202" s="31">
        <v>1</v>
      </c>
      <c r="H202" s="31"/>
      <c r="I202" s="40"/>
      <c r="J202" s="31"/>
    </row>
    <row r="203" spans="3:10" outlineLevel="1">
      <c r="D203" s="49" t="s">
        <v>119</v>
      </c>
      <c r="F203" s="31"/>
      <c r="H203" s="31"/>
      <c r="I203" s="40"/>
      <c r="J203" s="31"/>
    </row>
    <row r="204" spans="3:10" ht="19.5" outlineLevel="1">
      <c r="E204" s="115" t="s">
        <v>118</v>
      </c>
      <c r="F204" s="23">
        <v>0.85</v>
      </c>
      <c r="H204" s="31"/>
      <c r="I204" s="40"/>
      <c r="J204" s="31"/>
    </row>
    <row r="205" spans="3:10" outlineLevel="1">
      <c r="D205" s="57" t="s">
        <v>142</v>
      </c>
      <c r="E205" s="55"/>
      <c r="H205" s="31"/>
      <c r="I205" s="40"/>
      <c r="J205" s="31"/>
    </row>
    <row r="206" spans="3:10" ht="19.5" outlineLevel="1">
      <c r="E206" s="115" t="s">
        <v>143</v>
      </c>
      <c r="F206" s="23">
        <v>0.9</v>
      </c>
      <c r="H206" s="31"/>
      <c r="J206" s="101" t="s">
        <v>168</v>
      </c>
    </row>
    <row r="207" spans="3:10" outlineLevel="1">
      <c r="C207" s="57" t="s">
        <v>145</v>
      </c>
      <c r="E207" s="31"/>
      <c r="F207" s="50"/>
      <c r="H207" s="31"/>
      <c r="I207" s="40"/>
      <c r="J207" s="31"/>
    </row>
    <row r="208" spans="3:10" ht="19.5" outlineLevel="1">
      <c r="E208" s="114" t="s">
        <v>170</v>
      </c>
      <c r="F208" s="52">
        <f>F198*F204*F206</f>
        <v>1.53</v>
      </c>
      <c r="H208" s="31" t="str">
        <f>[3]!EQS(F208,"Units= ; EqnPrefix=Valem  ; EqnNo= 0; Multiplication= 1; ShowWorking= 0; EqnStyle= 2; Eqp$H$119_2")</f>
        <v/>
      </c>
      <c r="I208" s="40" t="s">
        <v>553</v>
      </c>
      <c r="J208" s="31"/>
    </row>
    <row r="209" spans="2:10" outlineLevel="1">
      <c r="E209" s="31"/>
      <c r="F209" s="50"/>
      <c r="H209" s="31" t="str">
        <f>[3]!EQS(F208,"Units= ; EqnPrefix=Valem  ; EqnNo= 0; Multiplication= 1; ShowWorking= 1; EqnStyle= 2; Eqp$H$119_$H$120_3")</f>
        <v/>
      </c>
      <c r="I209" s="40" t="s">
        <v>169</v>
      </c>
      <c r="J209" s="31"/>
    </row>
    <row r="210" spans="2:10" outlineLevel="1">
      <c r="C210" s="57" t="s">
        <v>146</v>
      </c>
      <c r="E210" s="31"/>
      <c r="F210" s="50"/>
      <c r="H210" s="31"/>
      <c r="I210" s="40"/>
      <c r="J210" s="31"/>
    </row>
    <row r="211" spans="2:10" ht="19.5" outlineLevel="1">
      <c r="C211" s="57"/>
      <c r="E211" s="114" t="s">
        <v>171</v>
      </c>
      <c r="F211" s="52">
        <f>F198*F204*F206</f>
        <v>1.53</v>
      </c>
      <c r="H211" s="31" t="str">
        <f>[3]!EQS(F211,"Units= ; EqnPrefix=Valem  ; EqnNo= 0; Multiplication= 1; ShowWorking= 0; EqnStyle= 2; Eqp$H$119_2")</f>
        <v/>
      </c>
      <c r="I211" s="40" t="s">
        <v>553</v>
      </c>
      <c r="J211" s="31"/>
    </row>
    <row r="212" spans="2:10" outlineLevel="1">
      <c r="E212" s="31"/>
      <c r="F212" s="50"/>
      <c r="H212" s="31" t="str">
        <f>[3]!EQS(F211,"Units= ; EqnPrefix=Valem  ; EqnNo= 0; Multiplication= 1; ShowWorking= 1; EqnStyle= 2; Eqp$H$119_$H$120_3")</f>
        <v/>
      </c>
      <c r="I212" s="40" t="s">
        <v>169</v>
      </c>
      <c r="J212" s="31"/>
    </row>
    <row r="213" spans="2:10" outlineLevel="1">
      <c r="C213" s="57" t="s">
        <v>134</v>
      </c>
      <c r="E213" s="31"/>
      <c r="F213" s="31"/>
      <c r="H213" s="31"/>
      <c r="I213" s="40"/>
      <c r="J213" s="31"/>
    </row>
    <row r="214" spans="2:10" ht="19.5" outlineLevel="1">
      <c r="E214" s="115" t="s">
        <v>155</v>
      </c>
      <c r="F214" s="125">
        <f>COS(RADIANS(45))^2</f>
        <v>0.50000000000000011</v>
      </c>
      <c r="H214" s="31" t="str">
        <f>[3]!EQS(F214,"Units= ; EqnPrefix=Valem  ; EqnNo= 0; Multiplication= 1; ShowWorking= 0; EqnStyle= 2; Eqp$H$75_2")</f>
        <v/>
      </c>
      <c r="I214" s="40" t="s">
        <v>593</v>
      </c>
      <c r="J214" s="31"/>
    </row>
    <row r="215" spans="2:10" outlineLevel="1">
      <c r="C215" s="57" t="s">
        <v>151</v>
      </c>
      <c r="E215" s="55"/>
      <c r="F215" s="53"/>
      <c r="H215" s="31"/>
      <c r="I215" s="40"/>
      <c r="J215" s="31"/>
    </row>
    <row r="216" spans="2:10" ht="19.5" outlineLevel="1">
      <c r="E216" s="115" t="s">
        <v>156</v>
      </c>
      <c r="F216" s="125">
        <f>COS(RADIANS(45))^2</f>
        <v>0.50000000000000011</v>
      </c>
      <c r="H216" s="31" t="str">
        <f>[3]!EQS(F216,"Units= ; EqnPrefix=Valem  ; EqnNo= 0; Multiplication= 1; ShowWorking= 0; EqnStyle= 2; Eqp$H$75_2")</f>
        <v/>
      </c>
      <c r="I216" s="40" t="s">
        <v>593</v>
      </c>
      <c r="J216" s="31"/>
    </row>
    <row r="217" spans="2:10">
      <c r="C217" s="57" t="s">
        <v>173</v>
      </c>
    </row>
    <row r="218" spans="2:10" ht="19.5">
      <c r="E218" s="114" t="s">
        <v>152</v>
      </c>
      <c r="F218" s="46">
        <f>F189*F192*F195*F208*F177*F214</f>
        <v>103.98114301523243</v>
      </c>
      <c r="G218" s="61" t="s">
        <v>86</v>
      </c>
      <c r="H218" s="31" t="str">
        <f>[3]!EQS(F218,"Units= ; EqnPrefix=Valem  ; EqnNo= 0; Multiplication= 1; ShowWorking= 0; EqnStyle= 2; Eqp$G$39_0")</f>
        <v/>
      </c>
      <c r="I218" s="30" t="s">
        <v>554</v>
      </c>
    </row>
    <row r="219" spans="2:10">
      <c r="H219" s="23" t="str">
        <f>[3]!EQS(F218,"Units= ; EqnPrefix=Valem  ; EqnNo= 0; Multiplication= 1; ShowWorking= 1; EqnStyle= 2; Eqp$G$39_$G$40_1")</f>
        <v/>
      </c>
      <c r="I219" s="30" t="s">
        <v>597</v>
      </c>
    </row>
    <row r="220" spans="2:10">
      <c r="C220" s="57" t="s">
        <v>174</v>
      </c>
    </row>
    <row r="221" spans="2:10" ht="19.5">
      <c r="E221" s="114" t="s">
        <v>153</v>
      </c>
      <c r="F221" s="46">
        <f>F189*F192*F195*F211*F176*F216</f>
        <v>173.30190502538738</v>
      </c>
      <c r="G221" s="62" t="s">
        <v>86</v>
      </c>
      <c r="H221" s="31" t="str">
        <f>[3]!EQS(F221,"Units= ; EqnPrefix=Valem  ; EqnNo= 0; Multiplication= 1; ShowWorking= 0; EqnStyle= 2; Eqp$G$39_0")</f>
        <v/>
      </c>
      <c r="I221" s="30" t="s">
        <v>555</v>
      </c>
    </row>
    <row r="222" spans="2:10">
      <c r="H222" s="23" t="str">
        <f>[3]!EQS(F221,"Units= ; EqnPrefix=Valem  ; EqnNo= 0; Multiplication= 1; ShowWorking= 1; EqnStyle= 2; Eqp$G$39_$G$40_1")</f>
        <v/>
      </c>
      <c r="I222" s="30" t="s">
        <v>598</v>
      </c>
    </row>
    <row r="224" spans="2:10">
      <c r="B224" s="73" t="s">
        <v>183</v>
      </c>
      <c r="C224" s="36"/>
      <c r="D224" s="36"/>
      <c r="E224" s="29"/>
    </row>
    <row r="225" spans="3:10" outlineLevel="1">
      <c r="C225" s="57" t="s">
        <v>176</v>
      </c>
      <c r="E225" s="24"/>
    </row>
    <row r="226" spans="3:10" outlineLevel="1">
      <c r="C226" s="57" t="s">
        <v>177</v>
      </c>
    </row>
    <row r="227" spans="3:10" outlineLevel="1"/>
    <row r="228" spans="3:10" outlineLevel="1">
      <c r="C228" s="64" t="s">
        <v>181</v>
      </c>
    </row>
    <row r="229" spans="3:10" outlineLevel="1"/>
    <row r="230" spans="3:10" outlineLevel="1">
      <c r="C230" s="65" t="s">
        <v>182</v>
      </c>
      <c r="E230" s="24"/>
    </row>
    <row r="231" spans="3:10" outlineLevel="1">
      <c r="E231" s="114" t="s">
        <v>54</v>
      </c>
      <c r="F231" s="33">
        <v>36</v>
      </c>
      <c r="G231" s="59" t="s">
        <v>51</v>
      </c>
      <c r="I231" s="65" t="s">
        <v>184</v>
      </c>
    </row>
    <row r="232" spans="3:10" outlineLevel="1">
      <c r="E232" s="114" t="s">
        <v>514</v>
      </c>
      <c r="F232" s="33">
        <v>2.01E-2</v>
      </c>
      <c r="G232" s="59" t="s">
        <v>51</v>
      </c>
      <c r="I232" s="65" t="s">
        <v>185</v>
      </c>
    </row>
    <row r="233" spans="3:10" outlineLevel="1">
      <c r="E233" s="114" t="s">
        <v>126</v>
      </c>
      <c r="F233" s="33">
        <v>40.590000000000003</v>
      </c>
      <c r="G233" s="67" t="s">
        <v>51</v>
      </c>
      <c r="I233" s="65" t="s">
        <v>198</v>
      </c>
    </row>
    <row r="234" spans="3:10" outlineLevel="1">
      <c r="C234" s="38" t="s">
        <v>82</v>
      </c>
      <c r="D234" s="38"/>
      <c r="E234" s="28"/>
      <c r="F234" s="27"/>
      <c r="G234" s="59"/>
      <c r="I234" s="32"/>
    </row>
    <row r="235" spans="3:10" ht="19.5" outlineLevel="1">
      <c r="E235" s="114" t="s">
        <v>97</v>
      </c>
      <c r="F235" s="45">
        <f>F232*F233</f>
        <v>0.81585900000000011</v>
      </c>
      <c r="G235" s="61" t="s">
        <v>81</v>
      </c>
      <c r="H235" s="31" t="str">
        <f>[3]!EQS(F235,"Units= ; EqnPrefix=Valem  ; EqnNo= 0; Multiplication= 1; ShowWorking= 1; EqnStyle=2; Eqp$G$17_0")</f>
        <v/>
      </c>
      <c r="I235" s="30" t="s">
        <v>186</v>
      </c>
    </row>
    <row r="236" spans="3:10" outlineLevel="1">
      <c r="C236" s="35" t="s">
        <v>65</v>
      </c>
      <c r="F236" s="27"/>
      <c r="G236" s="59"/>
      <c r="I236" s="32"/>
    </row>
    <row r="237" spans="3:10" ht="19.5" outlineLevel="1">
      <c r="E237" s="114" t="s">
        <v>57</v>
      </c>
      <c r="F237" s="42">
        <f>$F$6*LN(F231/$F$7)*$F$3</f>
        <v>26.251212335920307</v>
      </c>
      <c r="G237" s="59" t="s">
        <v>43</v>
      </c>
      <c r="H237" s="31" t="str">
        <f>[3]!EQS(F237,"Units= ; EqnPrefix=Valem  ; EqnNo= 0; Multiplication= 1; ShowWorking= 0; EqnStyle= 2; Eqp$H$21_2")</f>
        <v/>
      </c>
      <c r="I237" s="40" t="s">
        <v>526</v>
      </c>
      <c r="J237" s="31"/>
    </row>
    <row r="238" spans="3:10" outlineLevel="1">
      <c r="E238" s="28"/>
      <c r="F238" s="42"/>
      <c r="G238" s="59"/>
      <c r="H238" s="31" t="str">
        <f>[3]!EQS(F237,"Units= ; EqnPrefix=Valem  ; EqnNo= 0; Multiplication= 1; ShowWorking= 1; EqnStyle= 2; Eqp$H$21_$H$22_3")</f>
        <v/>
      </c>
      <c r="I238" s="40" t="s">
        <v>64</v>
      </c>
      <c r="J238" s="31"/>
    </row>
    <row r="239" spans="3:10" outlineLevel="1">
      <c r="C239" s="41" t="s">
        <v>77</v>
      </c>
      <c r="D239" s="41"/>
      <c r="F239" s="42"/>
      <c r="G239" s="59"/>
      <c r="H239" s="31"/>
      <c r="I239" s="40"/>
      <c r="J239" s="31"/>
    </row>
    <row r="240" spans="3:10" ht="19.5" outlineLevel="1">
      <c r="E240" s="114" t="s">
        <v>75</v>
      </c>
      <c r="F240" s="42">
        <f>1/2*$F$5*F237^2</f>
        <v>422.08976632716445</v>
      </c>
      <c r="G240" s="61" t="s">
        <v>76</v>
      </c>
      <c r="H240" s="31" t="str">
        <f>[3]!EQS(F240,"Units= ; EqnPrefix=Valem  ; EqnNo= 0; Multiplication= 1; ShowWorking= 0; EqnStyle= 2; Eqp$G$21_0")</f>
        <v/>
      </c>
      <c r="I240" s="40" t="s">
        <v>527</v>
      </c>
      <c r="J240" s="31"/>
    </row>
    <row r="241" spans="3:10" outlineLevel="1">
      <c r="E241" s="37"/>
      <c r="F241" s="42"/>
      <c r="G241" s="61"/>
      <c r="H241" s="31" t="str">
        <f>[3]!EQS(F240,"Units= ; EqnPrefix=Valem  ; EqnNo= 0; Multiplication= 1; ShowWorking= 1; EqnStyle= 2; Eqp$G$21_$G$25_1")</f>
        <v/>
      </c>
      <c r="I241" s="40" t="s">
        <v>528</v>
      </c>
      <c r="J241" s="31"/>
    </row>
    <row r="242" spans="3:10" outlineLevel="1">
      <c r="C242" s="35" t="s">
        <v>79</v>
      </c>
      <c r="E242" s="37"/>
      <c r="F242" s="42"/>
      <c r="G242" s="61"/>
      <c r="I242" s="40"/>
      <c r="J242" s="31"/>
    </row>
    <row r="243" spans="3:10" ht="19.5" outlineLevel="1">
      <c r="E243" s="114" t="s">
        <v>80</v>
      </c>
      <c r="F243" s="42">
        <f>(1+2.28/LN(F231/$F$7))^2</f>
        <v>1.8131807308313552</v>
      </c>
      <c r="G243" s="61"/>
      <c r="H243" s="31" t="str">
        <f>[3]!EQS(F243,"Units= ; EqnPrefix=Valem  ; EqnNo= 0; Multiplication= 1; ShowWorking= 0; EqnStyle= 2; Eqp$G$24_0")</f>
        <v/>
      </c>
      <c r="I243" s="40" t="s">
        <v>529</v>
      </c>
      <c r="J243" s="31"/>
    </row>
    <row r="244" spans="3:10" outlineLevel="1">
      <c r="E244" s="37"/>
      <c r="F244" s="42"/>
      <c r="G244" s="61"/>
      <c r="H244" s="31" t="str">
        <f>[3]!EQS(F243,"Units= ; EqnPrefix=Valem  ; EqnNo= 0; Multiplication= 1; ShowWorking= 1; EqnStyle= 2; Eqp$G$24_$G$28_1")</f>
        <v/>
      </c>
      <c r="I244" s="40" t="s">
        <v>530</v>
      </c>
      <c r="J244" s="31"/>
    </row>
    <row r="245" spans="3:10" outlineLevel="1">
      <c r="C245" s="23" t="s">
        <v>50</v>
      </c>
      <c r="D245" s="23"/>
      <c r="E245" s="37"/>
      <c r="F245" s="42"/>
      <c r="G245" s="61"/>
      <c r="J245" s="31"/>
    </row>
    <row r="246" spans="3:10" ht="19.5" outlineLevel="1">
      <c r="E246" s="28" t="s">
        <v>52</v>
      </c>
      <c r="F246" s="23">
        <v>1.1499999999999999</v>
      </c>
      <c r="J246" s="31"/>
    </row>
    <row r="247" spans="3:10" ht="19.5" outlineLevel="1">
      <c r="C247" s="69" t="s">
        <v>187</v>
      </c>
      <c r="D247" s="39"/>
      <c r="E247" s="24"/>
      <c r="F247" s="43"/>
      <c r="H247" s="31"/>
      <c r="I247" s="31"/>
      <c r="J247" s="31"/>
    </row>
    <row r="248" spans="3:10" outlineLevel="1">
      <c r="E248" s="114" t="s">
        <v>515</v>
      </c>
      <c r="F248" s="31">
        <f>15*10^-6</f>
        <v>1.4999999999999999E-5</v>
      </c>
      <c r="G248" s="61" t="s">
        <v>66</v>
      </c>
      <c r="H248" s="31"/>
      <c r="I248" s="41" t="s">
        <v>67</v>
      </c>
      <c r="J248" s="31"/>
    </row>
    <row r="249" spans="3:10" outlineLevel="1">
      <c r="E249" s="114" t="s">
        <v>516</v>
      </c>
      <c r="F249" s="31">
        <f>F232</f>
        <v>2.01E-2</v>
      </c>
      <c r="G249" s="61" t="s">
        <v>51</v>
      </c>
      <c r="H249" s="31"/>
      <c r="I249" s="41" t="s">
        <v>68</v>
      </c>
      <c r="J249" s="31"/>
    </row>
    <row r="250" spans="3:10" outlineLevel="1">
      <c r="C250" s="23"/>
      <c r="D250" s="41" t="s">
        <v>73</v>
      </c>
      <c r="E250" s="37"/>
      <c r="F250" s="31"/>
      <c r="G250" s="61"/>
      <c r="H250" s="31"/>
      <c r="I250" s="41"/>
      <c r="J250" s="31"/>
    </row>
    <row r="251" spans="3:10" outlineLevel="1">
      <c r="C251" s="23"/>
      <c r="E251" s="37" t="s">
        <v>69</v>
      </c>
      <c r="F251" s="44">
        <f>F249*F237/F248</f>
        <v>35176.624530133209</v>
      </c>
      <c r="H251" s="31" t="str">
        <f>[3]!EQS(F251,"Units= ; EqnPrefix=Valem  ; EqnNo= 0; Multiplication= 1; ShowWorking= 1; EqnStyle= 2; Eqp$G$27_0")</f>
        <v/>
      </c>
      <c r="I251" s="30" t="s">
        <v>207</v>
      </c>
      <c r="J251" s="31"/>
    </row>
    <row r="252" spans="3:10" outlineLevel="1">
      <c r="C252" s="23"/>
      <c r="D252" s="64" t="s">
        <v>188</v>
      </c>
      <c r="E252" s="37"/>
      <c r="F252" s="44"/>
      <c r="H252" s="31"/>
      <c r="I252" s="41"/>
      <c r="J252" s="31"/>
    </row>
    <row r="253" spans="3:10" ht="19.5" outlineLevel="1">
      <c r="C253" s="23"/>
      <c r="D253" s="41"/>
      <c r="E253" s="114" t="s">
        <v>189</v>
      </c>
      <c r="F253" s="42">
        <v>1.2</v>
      </c>
      <c r="H253" s="31"/>
      <c r="I253" s="41"/>
      <c r="J253" s="31"/>
    </row>
    <row r="254" spans="3:10" outlineLevel="1">
      <c r="C254" s="64" t="s">
        <v>190</v>
      </c>
      <c r="E254" s="31"/>
      <c r="F254" s="31"/>
      <c r="H254" s="31"/>
      <c r="I254" s="40"/>
      <c r="J254" s="31"/>
    </row>
    <row r="255" spans="3:10" ht="19.5" outlineLevel="1">
      <c r="E255" s="115" t="s">
        <v>196</v>
      </c>
      <c r="F255" s="125">
        <f>COS(RADIANS(0))^2</f>
        <v>1</v>
      </c>
      <c r="H255" s="31" t="str">
        <f>[3]!EQS(F255,"Units= ; EqnPrefix=Valem  ; EqnNo= 0; Multiplication= 1; ShowWorking= 0; EqnStyle= 2; Eqp$H$75_2")</f>
        <v/>
      </c>
      <c r="I255" s="40" t="s">
        <v>591</v>
      </c>
      <c r="J255" s="31"/>
    </row>
    <row r="256" spans="3:10" outlineLevel="1">
      <c r="C256" s="64" t="s">
        <v>191</v>
      </c>
      <c r="E256" s="55"/>
      <c r="F256" s="53"/>
      <c r="H256" s="31"/>
      <c r="I256" s="40"/>
      <c r="J256" s="31"/>
    </row>
    <row r="257" spans="2:10" ht="19.5" outlineLevel="1">
      <c r="E257" s="115" t="s">
        <v>197</v>
      </c>
      <c r="F257" s="125">
        <f>COS(RADIANS(90))^2</f>
        <v>3.7524718414124473E-33</v>
      </c>
      <c r="H257" s="31" t="str">
        <f>[3]!EQS(F257,"Units= ; EqnPrefix=Valem  ; EqnNo= 0; Multiplication= 1; ShowWorking= 0; EqnStyle= 2; Eqp$H$75_2")</f>
        <v/>
      </c>
      <c r="I257" s="40" t="s">
        <v>599</v>
      </c>
      <c r="J257" s="31"/>
    </row>
    <row r="258" spans="2:10">
      <c r="C258" s="64" t="s">
        <v>192</v>
      </c>
    </row>
    <row r="259" spans="2:10" ht="19.5">
      <c r="E259" s="115" t="s">
        <v>199</v>
      </c>
      <c r="F259" s="46">
        <f>F240*F243*F246*F253*F232*F255</f>
        <v>21.228585709476462</v>
      </c>
      <c r="G259" s="61" t="s">
        <v>86</v>
      </c>
      <c r="H259" s="31" t="str">
        <f>[3]!EQS(F259,"Units= ; EqnPrefix=Valem  ; EqnNo= 0; Multiplication= 1; ShowWorking= 0; EqnStyle= 2; Eqp$G$39_0")</f>
        <v/>
      </c>
      <c r="I259" s="30" t="s">
        <v>558</v>
      </c>
    </row>
    <row r="260" spans="2:10">
      <c r="H260" s="23" t="str">
        <f>[3]!EQS(F259,"Units= ; EqnPrefix=Valem  ; EqnNo= 0; Multiplication= 1; ShowWorking= 1; EqnStyle= 2; Eqp$G$39_$G$40_1")</f>
        <v/>
      </c>
      <c r="I260" s="30" t="s">
        <v>301</v>
      </c>
    </row>
    <row r="261" spans="2:10" ht="19.5">
      <c r="E261" s="115" t="s">
        <v>201</v>
      </c>
      <c r="F261" s="70">
        <f>COS(RADIANS(45))*F259</f>
        <v>15.010876910170644</v>
      </c>
      <c r="G261" s="61" t="s">
        <v>86</v>
      </c>
      <c r="H261" s="31" t="str">
        <f>[3]!EQS(F261,"Units= ; EqnPrefix=Valem  ; EqnNo= 0; Multiplication= 1; ShowWorking= 0; EqnStyle= 2; Eqp$H$259_2")</f>
        <v/>
      </c>
      <c r="I261" s="30" t="s">
        <v>559</v>
      </c>
    </row>
    <row r="262" spans="2:10" ht="19.5">
      <c r="E262" s="115" t="s">
        <v>202</v>
      </c>
      <c r="F262" s="68" t="s">
        <v>203</v>
      </c>
      <c r="I262" s="30"/>
    </row>
    <row r="263" spans="2:10">
      <c r="C263" s="64" t="s">
        <v>193</v>
      </c>
    </row>
    <row r="264" spans="2:10" ht="19.5">
      <c r="E264" s="114" t="s">
        <v>200</v>
      </c>
      <c r="F264" s="46">
        <f>F240*F243*F246*F253*F232*F257</f>
        <v>7.9659670107821104E-32</v>
      </c>
      <c r="G264" s="61" t="s">
        <v>86</v>
      </c>
      <c r="H264" s="31" t="str">
        <f>[3]!EQS(F264,"Units= ; EqnPrefix=Valem  ; EqnNo= 0; Multiplication= 1; ShowWorking= 0; EqnStyle= 2; Eqp$G$39_0")</f>
        <v/>
      </c>
      <c r="I264" s="30" t="s">
        <v>560</v>
      </c>
    </row>
    <row r="265" spans="2:10">
      <c r="H265" s="23" t="str">
        <f>[3]!EQS(F264,"Units= ; EqnPrefix=Valem  ; EqnNo= 0; Multiplication= 1; ShowWorking= 1; EqnStyle= 2; Eqp$G$39_$G$40_1")</f>
        <v/>
      </c>
      <c r="I265" s="30" t="s">
        <v>299</v>
      </c>
    </row>
    <row r="266" spans="2:10" ht="19.5">
      <c r="E266" s="115" t="s">
        <v>204</v>
      </c>
      <c r="F266" s="70">
        <f>COS(RADIANS(45))*F264</f>
        <v>5.6327892920323625E-32</v>
      </c>
      <c r="G266" s="61" t="s">
        <v>86</v>
      </c>
      <c r="H266" s="31" t="str">
        <f>[3]!EQS(F266,"Units= ; EqnPrefix=Valem  ; EqnNo= 0; Multiplication= 1; ShowWorking= 0; EqnStyle= 2; Eqp$H$264_2")</f>
        <v/>
      </c>
      <c r="I266" s="30" t="s">
        <v>561</v>
      </c>
    </row>
    <row r="267" spans="2:10" ht="19.5">
      <c r="E267" s="115" t="s">
        <v>205</v>
      </c>
      <c r="F267" s="68" t="s">
        <v>206</v>
      </c>
      <c r="I267" s="30"/>
    </row>
    <row r="271" spans="2:10">
      <c r="B271" s="71" t="s">
        <v>178</v>
      </c>
      <c r="C271" s="64"/>
    </row>
    <row r="272" spans="2:10">
      <c r="B272" s="35"/>
      <c r="E272" s="114" t="s">
        <v>522</v>
      </c>
      <c r="F272" s="33">
        <v>30</v>
      </c>
      <c r="G272" s="59" t="s">
        <v>51</v>
      </c>
      <c r="I272" s="109" t="s">
        <v>482</v>
      </c>
    </row>
    <row r="273" spans="2:9">
      <c r="B273" s="35"/>
      <c r="E273" s="114" t="s">
        <v>523</v>
      </c>
      <c r="F273" s="33">
        <v>21.8</v>
      </c>
      <c r="G273" s="110" t="s">
        <v>438</v>
      </c>
      <c r="I273" s="109" t="s">
        <v>484</v>
      </c>
    </row>
    <row r="274" spans="2:9">
      <c r="B274" s="35"/>
      <c r="E274" s="114" t="s">
        <v>524</v>
      </c>
      <c r="F274" s="33">
        <v>2</v>
      </c>
      <c r="G274" s="59"/>
      <c r="I274" s="109" t="s">
        <v>483</v>
      </c>
    </row>
    <row r="275" spans="2:9">
      <c r="B275" s="35"/>
      <c r="C275" s="35" t="s">
        <v>65</v>
      </c>
      <c r="F275" s="27"/>
      <c r="G275" s="59"/>
      <c r="I275" s="32"/>
    </row>
    <row r="276" spans="2:9" ht="19.5">
      <c r="B276" s="35"/>
      <c r="E276" s="114" t="s">
        <v>57</v>
      </c>
      <c r="F276" s="42">
        <f>$F$6*LN(F272/$F$7)*$F$3</f>
        <v>25.523749324312423</v>
      </c>
      <c r="G276" s="59" t="s">
        <v>43</v>
      </c>
      <c r="H276" s="31" t="str">
        <f>[3]!EQS(F276,"Units= ; EqnPrefix=Valem  ; EqnNo= 0; Multiplication= 1; ShowWorking= 0; EqnStyle= 2; Eqp$H$21_2")</f>
        <v/>
      </c>
      <c r="I276" s="40" t="s">
        <v>526</v>
      </c>
    </row>
    <row r="277" spans="2:9">
      <c r="B277" s="35"/>
      <c r="E277" s="28"/>
      <c r="F277" s="42"/>
      <c r="G277" s="59"/>
      <c r="H277" s="31" t="str">
        <f>[3]!EQS(F276,"Units= ; EqnPrefix=Valem  ; EqnNo= 0; Multiplication= 1; ShowWorking= 1; EqnStyle= 2; Eqp$H$21_$H$22_3")</f>
        <v/>
      </c>
      <c r="I277" s="40" t="s">
        <v>493</v>
      </c>
    </row>
    <row r="278" spans="2:9">
      <c r="B278" s="35"/>
      <c r="C278" s="41" t="s">
        <v>77</v>
      </c>
      <c r="D278" s="41"/>
      <c r="F278" s="42"/>
      <c r="G278" s="59"/>
      <c r="H278" s="31"/>
      <c r="I278" s="40"/>
    </row>
    <row r="279" spans="2:9" ht="19.5">
      <c r="B279" s="35"/>
      <c r="E279" s="114" t="s">
        <v>75</v>
      </c>
      <c r="F279" s="42">
        <f>1/2*$F$5*F276^2</f>
        <v>399.0203399868326</v>
      </c>
      <c r="G279" s="61" t="s">
        <v>76</v>
      </c>
      <c r="H279" s="31" t="str">
        <f>[3]!EQS(F279,"Units= ; EqnPrefix=Valem  ; EqnNo= 0; Multiplication= 1; ShowWorking= 0; EqnStyle= 2; Eqp$G$21_0")</f>
        <v/>
      </c>
      <c r="I279" s="40" t="s">
        <v>527</v>
      </c>
    </row>
    <row r="280" spans="2:9">
      <c r="B280" s="35"/>
      <c r="E280" s="37"/>
      <c r="F280" s="42"/>
      <c r="G280" s="61"/>
      <c r="H280" s="31" t="str">
        <f>[3]!EQS(F279,"Units= ; EqnPrefix=Valem  ; EqnNo= 0; Multiplication= 1; ShowWorking= 1; EqnStyle= 2; Eqp$G$21_$G$25_1")</f>
        <v/>
      </c>
      <c r="I280" s="40" t="s">
        <v>562</v>
      </c>
    </row>
    <row r="281" spans="2:9">
      <c r="B281" s="35"/>
      <c r="C281" s="35" t="s">
        <v>79</v>
      </c>
      <c r="E281" s="37"/>
      <c r="F281" s="42"/>
      <c r="G281" s="61"/>
      <c r="I281" s="40"/>
    </row>
    <row r="282" spans="2:9" ht="19.5">
      <c r="B282" s="35"/>
      <c r="E282" s="114" t="s">
        <v>80</v>
      </c>
      <c r="F282" s="42">
        <f>(1+2.28/LN(F272/$F$7))^2</f>
        <v>1.8398779018273839</v>
      </c>
      <c r="G282" s="61"/>
      <c r="H282" s="31" t="str">
        <f>[3]!EQS(F282,"Units= ; EqnPrefix=Valem  ; EqnNo= 0; Multiplication= 1; ShowWorking= 0; EqnStyle= 2; Eqp$G$24_0")</f>
        <v/>
      </c>
      <c r="I282" s="40" t="s">
        <v>529</v>
      </c>
    </row>
    <row r="283" spans="2:9">
      <c r="B283" s="35"/>
      <c r="E283" s="37"/>
      <c r="F283" s="42"/>
      <c r="G283" s="61"/>
      <c r="H283" s="31" t="str">
        <f>[3]!EQS(F282,"Units= ; EqnPrefix=Valem  ; EqnNo= 0; Multiplication= 1; ShowWorking= 1; EqnStyle= 2; Eqp$G$24_$G$28_1")</f>
        <v/>
      </c>
      <c r="I283" s="40" t="s">
        <v>563</v>
      </c>
    </row>
    <row r="284" spans="2:9">
      <c r="B284" s="35"/>
      <c r="C284" s="107" t="s">
        <v>486</v>
      </c>
      <c r="E284" s="37"/>
      <c r="F284" s="42"/>
      <c r="G284" s="61"/>
      <c r="H284" s="31"/>
      <c r="I284" s="40"/>
    </row>
    <row r="285" spans="2:9">
      <c r="B285" s="35"/>
      <c r="E285" s="114" t="s">
        <v>525</v>
      </c>
      <c r="F285" s="33">
        <v>360</v>
      </c>
      <c r="G285" s="110" t="s">
        <v>51</v>
      </c>
      <c r="H285" s="31"/>
      <c r="I285" s="40"/>
    </row>
    <row r="286" spans="2:9">
      <c r="B286" s="35"/>
      <c r="C286" s="107" t="s">
        <v>485</v>
      </c>
      <c r="E286" s="37"/>
      <c r="F286" s="42"/>
      <c r="G286" s="61"/>
      <c r="H286" s="31"/>
      <c r="I286" s="40"/>
    </row>
    <row r="287" spans="2:9" ht="19.5">
      <c r="B287" s="35"/>
      <c r="E287" s="114" t="s">
        <v>487</v>
      </c>
      <c r="F287" s="42">
        <f>1.3-0.082*LN(F285)</f>
        <v>0.81733946942108726</v>
      </c>
      <c r="G287" s="61"/>
      <c r="H287" s="31" t="str">
        <f>[3]!EQS(F287,"Units= ; EqnPrefix=Valem  ; EqnNo= 0; Multiplication= 1; ShowWorking= 0; EqnStyle= 2; Eqp$G$24_0")</f>
        <v/>
      </c>
      <c r="I287" s="40" t="s">
        <v>495</v>
      </c>
    </row>
    <row r="288" spans="2:9">
      <c r="B288" s="35"/>
      <c r="C288" s="107" t="s">
        <v>488</v>
      </c>
      <c r="E288" s="108"/>
      <c r="F288" s="42"/>
      <c r="G288" s="61"/>
      <c r="H288" s="31"/>
      <c r="I288" s="40"/>
    </row>
    <row r="289" spans="2:28" ht="19.5">
      <c r="B289" s="35"/>
      <c r="E289" s="114" t="s">
        <v>489</v>
      </c>
      <c r="F289" s="42">
        <v>1.1000000000000001</v>
      </c>
      <c r="G289" s="61"/>
      <c r="H289" s="31"/>
      <c r="I289" s="40"/>
    </row>
    <row r="290" spans="2:28">
      <c r="B290" s="35"/>
      <c r="C290" s="107" t="s">
        <v>490</v>
      </c>
      <c r="E290" s="37"/>
      <c r="F290" s="42"/>
      <c r="G290" s="61"/>
      <c r="H290" s="31"/>
      <c r="I290" s="40"/>
    </row>
    <row r="291" spans="2:28" ht="19.5">
      <c r="B291" s="35"/>
      <c r="C291" s="107"/>
      <c r="E291" s="114" t="s">
        <v>492</v>
      </c>
      <c r="F291" s="42">
        <f>F279*F282*F287*F289*F273/1000</f>
        <v>14.389168156300371</v>
      </c>
      <c r="G291" s="110" t="s">
        <v>86</v>
      </c>
      <c r="H291" s="31" t="str">
        <f>[3]!EQS(F291,"Units= ; EqnPrefix=Valem  ; EqnNo= 0; Multiplication= 1; ShowWorking= 0; EqnStyle= 2; Eqp$G$24_0")</f>
        <v/>
      </c>
      <c r="I291" s="40" t="s">
        <v>564</v>
      </c>
    </row>
    <row r="292" spans="2:28">
      <c r="B292" s="35"/>
      <c r="C292" s="107"/>
      <c r="E292" s="108"/>
      <c r="F292" s="42"/>
      <c r="G292" s="110"/>
      <c r="H292" s="31" t="str">
        <f>[3]!EQS(F291,"Units= ; EqnPrefix=Valem  ; EqnNo= 0; Multiplication= 1; ShowWorking= 1; EqnStyle= 2; Eqp$G$24_$H$294_1")</f>
        <v/>
      </c>
      <c r="I292" s="40" t="s">
        <v>494</v>
      </c>
    </row>
    <row r="293" spans="2:28">
      <c r="B293" s="35"/>
      <c r="C293" s="107" t="s">
        <v>491</v>
      </c>
      <c r="E293" s="37"/>
      <c r="F293" s="42"/>
      <c r="G293" s="61"/>
      <c r="H293" s="31"/>
      <c r="I293" s="40"/>
    </row>
    <row r="294" spans="2:28" ht="19.5">
      <c r="E294" s="114" t="s">
        <v>209</v>
      </c>
      <c r="F294" s="46">
        <f>F291*F274</f>
        <v>28.778336312600743</v>
      </c>
      <c r="G294" s="110" t="s">
        <v>86</v>
      </c>
      <c r="H294" s="31" t="str">
        <f>[3]!EQS(F294,"Units= ; EqnPrefix=Valem  ; EqnNo= 0; Multiplication= 1; ShowWorking= 0; EqnStyle= 2; Eqp$G$24_0")</f>
        <v/>
      </c>
      <c r="I294" s="30" t="s">
        <v>565</v>
      </c>
    </row>
    <row r="295" spans="2:28">
      <c r="E295" s="108"/>
      <c r="F295" s="70"/>
      <c r="G295" s="110"/>
      <c r="H295" s="31"/>
      <c r="I295" s="30"/>
    </row>
    <row r="296" spans="2:28">
      <c r="C296" s="64" t="s">
        <v>210</v>
      </c>
    </row>
    <row r="297" spans="2:28" ht="19.5">
      <c r="E297" s="114" t="s">
        <v>211</v>
      </c>
      <c r="F297" s="117">
        <f>COS(RADIANS(41))^2</f>
        <v>0.56958655048003271</v>
      </c>
      <c r="H297" s="31" t="str">
        <f>[3]!EQS(F297,"Units= ; EqnPrefix=Valem  ; EqnNo= 0; Multiplication= 1; ShowWorking= 0; EqnStyle= 2; Eqp$H$274_2")</f>
        <v/>
      </c>
      <c r="I297" s="30" t="s">
        <v>557</v>
      </c>
    </row>
    <row r="298" spans="2:28">
      <c r="C298" s="64" t="s">
        <v>219</v>
      </c>
    </row>
    <row r="299" spans="2:28" ht="19.5">
      <c r="E299" s="114" t="s">
        <v>213</v>
      </c>
      <c r="F299" s="46">
        <f>F294*F297</f>
        <v>16.391753308848521</v>
      </c>
      <c r="G299" s="67" t="s">
        <v>86</v>
      </c>
      <c r="H299" s="31" t="str">
        <f>[3]!EQS(F299,"Units= ; EqnPrefix=Valem  ; EqnNo= 0; Multiplication= 1; ShowWorking= 0; EqnStyle= 2; Eqp$H$276_2")</f>
        <v/>
      </c>
      <c r="I299" s="30" t="s">
        <v>566</v>
      </c>
    </row>
    <row r="300" spans="2:28">
      <c r="D300" s="64" t="s">
        <v>225</v>
      </c>
      <c r="F300" s="70"/>
      <c r="G300" s="67"/>
      <c r="H300" s="31"/>
      <c r="I300" s="30"/>
      <c r="AB300" s="26"/>
    </row>
    <row r="301" spans="2:28" ht="19.5">
      <c r="E301" s="114" t="s">
        <v>221</v>
      </c>
      <c r="F301" s="70">
        <f>COS(RADIANS(4))*F299</f>
        <v>16.351823821634806</v>
      </c>
      <c r="G301" s="67" t="s">
        <v>86</v>
      </c>
      <c r="H301" s="31" t="str">
        <f>[3]!EQS(F301,"Units= ; EqnPrefix=Valem  ; EqnNo= 0; Multiplication= 1; ShowWorking= 0; EqnStyle= 2; Eqp$H$277_2")</f>
        <v/>
      </c>
      <c r="I301" s="30" t="s">
        <v>567</v>
      </c>
    </row>
    <row r="302" spans="2:28" ht="19.5">
      <c r="E302" s="114" t="s">
        <v>222</v>
      </c>
      <c r="F302" s="70">
        <f>SIN(RADIANS(4))*F299</f>
        <v>1.143430909308871</v>
      </c>
      <c r="G302" s="67" t="s">
        <v>86</v>
      </c>
      <c r="H302" s="31" t="str">
        <f>[3]!EQS(F302,"Units= ; EqnPrefix=Valem  ; EqnNo= 0; Multiplication= 1; ShowWorking= 0; EqnStyle=2; Eqp$H$278_2")</f>
        <v/>
      </c>
      <c r="I302" s="30" t="s">
        <v>568</v>
      </c>
      <c r="Z302" s="31"/>
    </row>
    <row r="303" spans="2:28">
      <c r="C303" s="64" t="s">
        <v>214</v>
      </c>
      <c r="Z303" s="31"/>
    </row>
    <row r="304" spans="2:28" ht="19.5">
      <c r="E304" s="114" t="s">
        <v>211</v>
      </c>
      <c r="F304" s="117">
        <f>COS(RADIANS(49))^2</f>
        <v>0.43041344951996724</v>
      </c>
      <c r="H304" s="31" t="str">
        <f>[3]!EQS(F304,"Units= ; EqnPrefix=Valem  ; EqnNo= 0; Multiplication= 1; ShowWorking= 0; EqnStyle= 2; Eqp$H$278_2")</f>
        <v/>
      </c>
      <c r="I304" s="30" t="s">
        <v>556</v>
      </c>
      <c r="Z304" s="31"/>
    </row>
    <row r="305" spans="2:26">
      <c r="C305" s="64" t="s">
        <v>220</v>
      </c>
      <c r="Z305" s="31"/>
    </row>
    <row r="306" spans="2:26" ht="19.5">
      <c r="E306" s="114" t="s">
        <v>216</v>
      </c>
      <c r="F306" s="46">
        <f>F294*F304</f>
        <v>12.38658300375222</v>
      </c>
      <c r="G306" s="67" t="s">
        <v>86</v>
      </c>
      <c r="H306" s="31" t="str">
        <f>[3]!EQS(F306,"Units= ; EqnPrefix=Valem  ; EqnNo= 0; Multiplication= 1; ShowWorking= 0; EqnStyle= 2; Eqp$H$276_2")</f>
        <v/>
      </c>
      <c r="I306" s="30" t="s">
        <v>566</v>
      </c>
      <c r="Z306" s="31"/>
    </row>
    <row r="307" spans="2:26">
      <c r="D307" s="64" t="s">
        <v>225</v>
      </c>
      <c r="E307" s="66"/>
      <c r="F307" s="70"/>
      <c r="G307" s="67"/>
      <c r="H307" s="31"/>
      <c r="I307" s="30"/>
      <c r="Z307" s="31"/>
    </row>
    <row r="308" spans="2:26" ht="19.5">
      <c r="E308" s="114" t="s">
        <v>221</v>
      </c>
      <c r="F308" s="70">
        <f>COS(RADIANS(4))*F306</f>
        <v>12.356409910102563</v>
      </c>
      <c r="G308" s="67" t="s">
        <v>86</v>
      </c>
      <c r="H308" s="31" t="str">
        <f>[3]!EQS(F308,"Units= ; EqnPrefix=Valem  ; EqnNo= 0; Multiplication= 1; ShowWorking= 0; EqnStyle= 2; Eqp$H$277_2")</f>
        <v/>
      </c>
      <c r="I308" s="30" t="s">
        <v>569</v>
      </c>
      <c r="Z308" s="31"/>
    </row>
    <row r="309" spans="2:26" ht="19.5">
      <c r="E309" s="114" t="s">
        <v>222</v>
      </c>
      <c r="F309" s="70">
        <f>SIN(RADIANS(4))*F306</f>
        <v>0.86404435208067043</v>
      </c>
      <c r="G309" s="67" t="s">
        <v>86</v>
      </c>
      <c r="H309" s="31" t="str">
        <f>[3]!EQS(F309,"Units= ; EqnPrefix=Valem  ; EqnNo= 0; Multiplication= 1; ShowWorking= 0; EqnStyle=2; Eqp$H$278_2")</f>
        <v/>
      </c>
      <c r="I309" s="30" t="s">
        <v>570</v>
      </c>
      <c r="Z309" s="31"/>
    </row>
    <row r="311" spans="2:26">
      <c r="B311" s="71" t="s">
        <v>226</v>
      </c>
      <c r="D311" s="94"/>
      <c r="E311" s="96"/>
      <c r="F311" s="70"/>
      <c r="G311" s="67"/>
      <c r="H311" s="31"/>
      <c r="I311" s="30"/>
    </row>
    <row r="313" spans="2:26" ht="19.5">
      <c r="E313" s="116" t="s">
        <v>75</v>
      </c>
      <c r="F313" s="111">
        <f>F279</f>
        <v>399.0203399868326</v>
      </c>
      <c r="G313" s="110" t="s">
        <v>76</v>
      </c>
      <c r="H313" s="31"/>
      <c r="I313" s="109" t="s">
        <v>504</v>
      </c>
    </row>
    <row r="314" spans="2:26" ht="19.5">
      <c r="E314" s="116" t="s">
        <v>80</v>
      </c>
      <c r="F314" s="111">
        <f>F282</f>
        <v>1.8398779018273839</v>
      </c>
      <c r="G314" s="110"/>
      <c r="H314" s="31">
        <v>1.8</v>
      </c>
      <c r="I314" s="109" t="s">
        <v>505</v>
      </c>
    </row>
    <row r="315" spans="2:26" ht="19.5">
      <c r="E315" s="116" t="s">
        <v>498</v>
      </c>
      <c r="F315" s="111">
        <f>F9</f>
        <v>1.1499999999999999</v>
      </c>
      <c r="G315" s="67"/>
      <c r="H315" s="31">
        <v>1.05</v>
      </c>
      <c r="I315" s="109" t="s">
        <v>506</v>
      </c>
    </row>
    <row r="316" spans="2:26" ht="19.5">
      <c r="E316" s="116" t="s">
        <v>499</v>
      </c>
      <c r="F316" s="111">
        <v>1.2</v>
      </c>
      <c r="G316" s="67"/>
      <c r="H316" s="31"/>
      <c r="I316" s="109" t="s">
        <v>507</v>
      </c>
    </row>
    <row r="317" spans="2:26" ht="19.5">
      <c r="E317" s="116" t="s">
        <v>500</v>
      </c>
      <c r="F317" s="112">
        <v>8.8999999999999999E-3</v>
      </c>
      <c r="G317" s="67" t="s">
        <v>81</v>
      </c>
      <c r="H317" s="31"/>
      <c r="I317" s="109" t="s">
        <v>510</v>
      </c>
    </row>
    <row r="318" spans="2:26">
      <c r="E318" s="116" t="s">
        <v>524</v>
      </c>
      <c r="F318" s="111">
        <v>9</v>
      </c>
      <c r="G318" s="110" t="s">
        <v>508</v>
      </c>
      <c r="H318" s="31"/>
      <c r="I318" s="109" t="s">
        <v>509</v>
      </c>
    </row>
    <row r="319" spans="2:26" ht="19.5">
      <c r="E319" s="116" t="s">
        <v>229</v>
      </c>
      <c r="F319" s="104">
        <f>F313*F314*F315*F316*F317*F318</f>
        <v>81.151329655142234</v>
      </c>
      <c r="G319" s="110" t="s">
        <v>154</v>
      </c>
      <c r="H319" s="31" t="str">
        <f>[3]!EQS(F319,"Units= ; EqnPrefix=Valem  ; EqnNo= 0; Multiplication= 1; ShowWorking= 0; EqnStyle=2; Eqp$H$278_2")</f>
        <v/>
      </c>
      <c r="I319" s="30" t="s">
        <v>571</v>
      </c>
    </row>
    <row r="320" spans="2:26">
      <c r="E320" s="99"/>
      <c r="F320" s="46"/>
      <c r="G320" s="67"/>
      <c r="H320" s="31"/>
      <c r="I320" s="30"/>
    </row>
    <row r="321" spans="2:9">
      <c r="D321" s="64" t="s">
        <v>225</v>
      </c>
      <c r="E321" s="66"/>
      <c r="F321" s="70"/>
      <c r="G321" s="67"/>
      <c r="H321" s="31"/>
      <c r="I321" s="30"/>
    </row>
    <row r="322" spans="2:9" ht="19.5">
      <c r="E322" s="114" t="s">
        <v>221</v>
      </c>
      <c r="F322" s="70">
        <f>COS(RADIANS(45))*F319</f>
        <v>57.38265550145605</v>
      </c>
      <c r="G322" s="67" t="s">
        <v>154</v>
      </c>
      <c r="H322" s="31" t="str">
        <f>[3]!EQS(F322,"Units= ; EqnPrefix=Valem  ; EqnNo= 0; Multiplication= 1; ShowWorking= 0; EqnStyle= 2; Eqp$H$277_2")</f>
        <v/>
      </c>
      <c r="I322" s="30" t="s">
        <v>666</v>
      </c>
    </row>
    <row r="323" spans="2:9" ht="19.5">
      <c r="E323" s="114" t="s">
        <v>222</v>
      </c>
      <c r="F323" s="70">
        <f>SIN(RADIANS(45))*F319</f>
        <v>57.382655501456043</v>
      </c>
      <c r="G323" s="67" t="s">
        <v>154</v>
      </c>
      <c r="H323" s="31" t="str">
        <f>[3]!EQS(F323,"Units= ; EqnPrefix=Valem  ; EqnNo= 0; Multiplication= 1; ShowWorking= 0; EqnStyle=2; Eqp$H$278_2")</f>
        <v/>
      </c>
      <c r="I323" s="30" t="s">
        <v>665</v>
      </c>
    </row>
    <row r="324" spans="2:9">
      <c r="E324" s="66"/>
      <c r="F324" s="70"/>
      <c r="G324" s="67"/>
      <c r="H324" s="31"/>
      <c r="I324" s="30"/>
    </row>
    <row r="325" spans="2:9">
      <c r="E325" s="66"/>
      <c r="F325" s="70"/>
      <c r="G325" s="67"/>
      <c r="H325" s="31"/>
      <c r="I325" s="30"/>
    </row>
    <row r="326" spans="2:9">
      <c r="B326" s="71" t="s">
        <v>179</v>
      </c>
    </row>
    <row r="327" spans="2:9">
      <c r="B327" s="35"/>
      <c r="E327" s="114" t="s">
        <v>522</v>
      </c>
      <c r="F327" s="33">
        <v>36</v>
      </c>
      <c r="G327" s="59" t="s">
        <v>51</v>
      </c>
      <c r="I327" s="109" t="s">
        <v>482</v>
      </c>
    </row>
    <row r="328" spans="2:9">
      <c r="B328" s="35"/>
      <c r="E328" s="114" t="s">
        <v>523</v>
      </c>
      <c r="F328" s="33">
        <v>27.7</v>
      </c>
      <c r="G328" s="110" t="s">
        <v>438</v>
      </c>
      <c r="I328" s="109" t="s">
        <v>496</v>
      </c>
    </row>
    <row r="329" spans="2:9">
      <c r="B329" s="35"/>
      <c r="E329" s="114" t="s">
        <v>524</v>
      </c>
      <c r="F329" s="33">
        <v>3</v>
      </c>
      <c r="G329" s="59"/>
      <c r="I329" s="109" t="s">
        <v>483</v>
      </c>
    </row>
    <row r="330" spans="2:9">
      <c r="B330" s="35"/>
      <c r="C330" s="35" t="s">
        <v>65</v>
      </c>
      <c r="F330" s="27"/>
      <c r="G330" s="59"/>
      <c r="I330" s="32"/>
    </row>
    <row r="331" spans="2:9" ht="19.5">
      <c r="B331" s="35"/>
      <c r="E331" s="114" t="s">
        <v>57</v>
      </c>
      <c r="F331" s="42">
        <f>$F$6*LN(F327/$F$7)*$F$3</f>
        <v>26.251212335920307</v>
      </c>
      <c r="G331" s="59" t="s">
        <v>43</v>
      </c>
      <c r="H331" s="31" t="str">
        <f>[3]!EQS(F331,"Units= ; EqnPrefix=Valem  ; EqnNo= 0; Multiplication= 1; ShowWorking= 0; EqnStyle= 2; Eqp$H$21_2")</f>
        <v/>
      </c>
      <c r="I331" s="40" t="s">
        <v>526</v>
      </c>
    </row>
    <row r="332" spans="2:9">
      <c r="B332" s="35"/>
      <c r="E332" s="28"/>
      <c r="F332" s="42"/>
      <c r="G332" s="59"/>
      <c r="H332" s="31" t="str">
        <f>[3]!EQS(F331,"Units= ; EqnPrefix=Valem  ; EqnNo= 0; Multiplication= 1; ShowWorking= 1; EqnStyle= 2; Eqp$H$21_$H$22_3")</f>
        <v/>
      </c>
      <c r="I332" s="40" t="s">
        <v>64</v>
      </c>
    </row>
    <row r="333" spans="2:9">
      <c r="B333" s="35"/>
      <c r="C333" s="41" t="s">
        <v>77</v>
      </c>
      <c r="D333" s="41"/>
      <c r="F333" s="42"/>
      <c r="G333" s="59"/>
      <c r="H333" s="31"/>
      <c r="I333" s="40"/>
    </row>
    <row r="334" spans="2:9" ht="19.5">
      <c r="B334" s="35"/>
      <c r="E334" s="114" t="s">
        <v>75</v>
      </c>
      <c r="F334" s="42">
        <f>1/2*$F$5*F331^2</f>
        <v>422.08976632716445</v>
      </c>
      <c r="G334" s="61" t="s">
        <v>76</v>
      </c>
      <c r="H334" s="31" t="str">
        <f>[3]!EQS(F334,"Units= ; EqnPrefix=Valem  ; EqnNo= 0; Multiplication= 1; ShowWorking= 0; EqnStyle= 2; Eqp$G$21_0")</f>
        <v/>
      </c>
      <c r="I334" s="40" t="s">
        <v>527</v>
      </c>
    </row>
    <row r="335" spans="2:9">
      <c r="B335" s="35"/>
      <c r="E335" s="37"/>
      <c r="F335" s="42"/>
      <c r="G335" s="61"/>
      <c r="H335" s="31" t="str">
        <f>[3]!EQS(F334,"Units= ; EqnPrefix=Valem  ; EqnNo= 0; Multiplication= 1; ShowWorking= 1; EqnStyle= 2; Eqp$G$21_$G$25_1")</f>
        <v/>
      </c>
      <c r="I335" s="40" t="s">
        <v>528</v>
      </c>
    </row>
    <row r="336" spans="2:9">
      <c r="B336" s="35"/>
      <c r="C336" s="35" t="s">
        <v>79</v>
      </c>
      <c r="E336" s="37"/>
      <c r="F336" s="42"/>
      <c r="G336" s="61"/>
      <c r="I336" s="40"/>
    </row>
    <row r="337" spans="2:9" ht="19.5">
      <c r="B337" s="35"/>
      <c r="E337" s="114" t="s">
        <v>80</v>
      </c>
      <c r="F337" s="42">
        <f>(1+2.28/LN(F327/$F$7))^2</f>
        <v>1.8131807308313552</v>
      </c>
      <c r="G337" s="61"/>
      <c r="H337" s="31" t="str">
        <f>[3]!EQS(F337,"Units= ; EqnPrefix=Valem  ; EqnNo= 0; Multiplication= 1; ShowWorking= 0; EqnStyle= 2; Eqp$G$24_0")</f>
        <v/>
      </c>
      <c r="I337" s="40" t="s">
        <v>529</v>
      </c>
    </row>
    <row r="338" spans="2:9">
      <c r="B338" s="35"/>
      <c r="E338" s="37"/>
      <c r="F338" s="42"/>
      <c r="G338" s="61"/>
      <c r="H338" s="31" t="str">
        <f>[3]!EQS(F337,"Units= ; EqnPrefix=Valem  ; EqnNo= 0; Multiplication= 1; ShowWorking= 1; EqnStyle= 2; Eqp$G$24_$G$28_1")</f>
        <v/>
      </c>
      <c r="I338" s="40" t="s">
        <v>530</v>
      </c>
    </row>
    <row r="339" spans="2:9">
      <c r="B339" s="35"/>
      <c r="C339" s="107" t="s">
        <v>486</v>
      </c>
      <c r="E339" s="37"/>
      <c r="F339" s="42"/>
      <c r="G339" s="61"/>
      <c r="H339" s="31"/>
      <c r="I339" s="40"/>
    </row>
    <row r="340" spans="2:9">
      <c r="B340" s="35"/>
      <c r="E340" s="114" t="s">
        <v>525</v>
      </c>
      <c r="F340" s="33">
        <v>360</v>
      </c>
      <c r="G340" s="110" t="s">
        <v>51</v>
      </c>
      <c r="H340" s="31"/>
      <c r="I340" s="40"/>
    </row>
    <row r="341" spans="2:9">
      <c r="B341" s="35"/>
      <c r="C341" s="107" t="s">
        <v>485</v>
      </c>
      <c r="E341" s="37"/>
      <c r="F341" s="42"/>
      <c r="G341" s="61"/>
      <c r="H341" s="31"/>
      <c r="I341" s="40"/>
    </row>
    <row r="342" spans="2:9" ht="19.5">
      <c r="B342" s="35"/>
      <c r="E342" s="114" t="s">
        <v>487</v>
      </c>
      <c r="F342" s="42">
        <f>1.3-0.082*LN(F340)</f>
        <v>0.81733946942108726</v>
      </c>
      <c r="G342" s="61"/>
      <c r="H342" s="31" t="str">
        <f>[3]!EQS(F342,"Units= ; EqnPrefix=Valem  ; EqnNo= 0; Multiplication= 1; ShowWorking= 0; EqnStyle= 2; Eqp$G$24_0")</f>
        <v/>
      </c>
      <c r="I342" s="40" t="s">
        <v>495</v>
      </c>
    </row>
    <row r="343" spans="2:9">
      <c r="B343" s="35"/>
      <c r="C343" s="107" t="s">
        <v>488</v>
      </c>
      <c r="E343" s="108"/>
      <c r="F343" s="42"/>
      <c r="G343" s="61"/>
      <c r="H343" s="31"/>
      <c r="I343" s="40"/>
    </row>
    <row r="344" spans="2:9" ht="19.5">
      <c r="B344" s="35"/>
      <c r="E344" s="114" t="s">
        <v>489</v>
      </c>
      <c r="F344" s="42">
        <v>1.1000000000000001</v>
      </c>
      <c r="G344" s="61"/>
      <c r="H344" s="31"/>
      <c r="I344" s="40"/>
    </row>
    <row r="345" spans="2:9">
      <c r="B345" s="35"/>
      <c r="C345" s="107" t="s">
        <v>490</v>
      </c>
      <c r="E345" s="37"/>
      <c r="F345" s="42"/>
      <c r="G345" s="61"/>
      <c r="H345" s="31"/>
      <c r="I345" s="40"/>
    </row>
    <row r="346" spans="2:9" ht="19.5">
      <c r="B346" s="35"/>
      <c r="C346" s="107"/>
      <c r="E346" s="114" t="s">
        <v>492</v>
      </c>
      <c r="F346" s="42">
        <f>F334*F337*F342*F344*F328/1000</f>
        <v>19.059909909548939</v>
      </c>
      <c r="G346" s="110" t="s">
        <v>86</v>
      </c>
      <c r="H346" s="31" t="str">
        <f>[3]!EQS(F346,"Units= ; EqnPrefix=Valem  ; EqnNo= 0; Multiplication= 1; ShowWorking= 0; EqnStyle= 2; Eqp$G$24_0")</f>
        <v/>
      </c>
      <c r="I346" s="40" t="s">
        <v>564</v>
      </c>
    </row>
    <row r="347" spans="2:9">
      <c r="B347" s="35"/>
      <c r="C347" s="107"/>
      <c r="E347" s="108"/>
      <c r="F347" s="42"/>
      <c r="G347" s="110"/>
      <c r="H347" s="31" t="str">
        <f>[3]!EQS(F346,"Units= ; EqnPrefix=Valem  ; EqnNo= 0; Multiplication= 1; ShowWorking= 1; EqnStyle= 2; Eqp$G$24_$H$294_1")</f>
        <v/>
      </c>
      <c r="I347" s="40" t="s">
        <v>497</v>
      </c>
    </row>
    <row r="348" spans="2:9">
      <c r="B348" s="35"/>
      <c r="C348" s="107" t="s">
        <v>491</v>
      </c>
      <c r="E348" s="37"/>
      <c r="F348" s="42"/>
      <c r="G348" s="61"/>
      <c r="H348" s="31"/>
      <c r="I348" s="40"/>
    </row>
    <row r="349" spans="2:9" ht="19.5">
      <c r="E349" s="114" t="s">
        <v>209</v>
      </c>
      <c r="F349" s="46">
        <f>F346*F329</f>
        <v>57.179729728646819</v>
      </c>
      <c r="G349" s="110" t="s">
        <v>86</v>
      </c>
      <c r="H349" s="31" t="str">
        <f>[3]!EQS(F349,"Units= ; EqnPrefix=Valem  ; EqnNo= 0; Multiplication= 1; ShowWorking= 0; EqnStyle= 2; Eqp$G$24_0")</f>
        <v/>
      </c>
      <c r="I349" s="30" t="s">
        <v>565</v>
      </c>
    </row>
    <row r="350" spans="2:9">
      <c r="E350" s="108"/>
      <c r="F350" s="70"/>
      <c r="G350" s="110"/>
      <c r="H350" s="31"/>
      <c r="I350" s="30"/>
    </row>
    <row r="351" spans="2:9">
      <c r="C351" s="64" t="s">
        <v>210</v>
      </c>
    </row>
    <row r="352" spans="2:9" ht="19.5">
      <c r="E352" s="114" t="s">
        <v>211</v>
      </c>
      <c r="F352" s="117">
        <f>COS(RADIANS(41))^2</f>
        <v>0.56958655048003271</v>
      </c>
      <c r="H352" s="31" t="str">
        <f>[3]!EQS(F352,"Units= ; EqnPrefix=Valem  ; EqnNo= 0; Multiplication= 1; ShowWorking= 0; EqnStyle= 2; Eqp$H$274_2")</f>
        <v/>
      </c>
      <c r="I352" s="30" t="s">
        <v>557</v>
      </c>
    </row>
    <row r="353" spans="2:9">
      <c r="C353" s="64" t="s">
        <v>212</v>
      </c>
      <c r="F353" s="58"/>
    </row>
    <row r="354" spans="2:9" ht="19.5">
      <c r="E354" s="114" t="s">
        <v>223</v>
      </c>
      <c r="F354" s="46">
        <f>F349*F352</f>
        <v>32.568805013520517</v>
      </c>
      <c r="G354" s="67" t="s">
        <v>86</v>
      </c>
      <c r="H354" s="31" t="str">
        <f>[3]!EQS(F354,"Units= ; EqnPrefix=Valem  ; EqnNo= 0; Multiplication= 1; ShowWorking= 0; EqnStyle= 2; Eqp$H$276_2")</f>
        <v/>
      </c>
      <c r="I354" s="30" t="s">
        <v>566</v>
      </c>
    </row>
    <row r="355" spans="2:9">
      <c r="D355" s="64" t="s">
        <v>225</v>
      </c>
      <c r="E355" s="66"/>
      <c r="F355" s="70"/>
      <c r="G355" s="67"/>
      <c r="H355" s="31"/>
      <c r="I355" s="30"/>
    </row>
    <row r="356" spans="2:9" ht="19.5">
      <c r="E356" s="114" t="s">
        <v>221</v>
      </c>
      <c r="F356" s="70">
        <f>COS(RADIANS(4))*F354</f>
        <v>32.489469041409997</v>
      </c>
      <c r="G356" s="67" t="s">
        <v>86</v>
      </c>
      <c r="H356" s="31" t="str">
        <f>[3]!EQS(F356,"Units= ; EqnPrefix=Valem  ; EqnNo= 0; Multiplication= 1; ShowWorking= 0; EqnStyle= 2; Eqp$H$277_2")</f>
        <v/>
      </c>
      <c r="I356" s="30" t="s">
        <v>574</v>
      </c>
    </row>
    <row r="357" spans="2:9" ht="19.5">
      <c r="E357" s="114" t="s">
        <v>222</v>
      </c>
      <c r="F357" s="70">
        <f>SIN(RADIANS(4))*F354</f>
        <v>2.2718849918031805</v>
      </c>
      <c r="G357" s="67" t="s">
        <v>86</v>
      </c>
      <c r="H357" s="31" t="str">
        <f>[3]!EQS(F357,"Units= ; EqnPrefix=Valem  ; EqnNo= 0; Multiplication= 1; ShowWorking= 0; EqnStyle=2; Eqp$H$278_2")</f>
        <v/>
      </c>
      <c r="I357" s="30" t="s">
        <v>575</v>
      </c>
    </row>
    <row r="358" spans="2:9">
      <c r="C358" s="64" t="s">
        <v>214</v>
      </c>
    </row>
    <row r="359" spans="2:9" ht="19.5">
      <c r="E359" s="114" t="s">
        <v>211</v>
      </c>
      <c r="F359" s="117">
        <f>COS(RADIANS(49))^2</f>
        <v>0.43041344951996724</v>
      </c>
      <c r="H359" s="31" t="str">
        <f>[3]!EQS(F359,"Units= ; EqnPrefix=Valem  ; EqnNo= 0; Multiplication= 1; ShowWorking= 0; EqnStyle= 2; Eqp$H$278_2")</f>
        <v/>
      </c>
      <c r="I359" s="30" t="s">
        <v>556</v>
      </c>
    </row>
    <row r="360" spans="2:9">
      <c r="C360" s="64" t="s">
        <v>215</v>
      </c>
    </row>
    <row r="361" spans="2:9" ht="19.5">
      <c r="E361" s="114" t="s">
        <v>224</v>
      </c>
      <c r="F361" s="46">
        <f>F349*F359</f>
        <v>24.610924715126298</v>
      </c>
      <c r="G361" s="67" t="s">
        <v>86</v>
      </c>
      <c r="H361" s="31" t="str">
        <f>[3]!EQS(F361,"Units= ; EqnPrefix=Valem  ; EqnNo= 0; Multiplication= 1; ShowWorking= 0; EqnStyle= 2; Eqp$H$276_2")</f>
        <v/>
      </c>
      <c r="I361" s="30" t="s">
        <v>566</v>
      </c>
    </row>
    <row r="362" spans="2:9">
      <c r="D362" s="64" t="s">
        <v>225</v>
      </c>
      <c r="E362" s="66"/>
      <c r="F362" s="70"/>
      <c r="G362" s="67"/>
      <c r="H362" s="31"/>
      <c r="I362" s="30"/>
    </row>
    <row r="363" spans="2:9" ht="19.5">
      <c r="E363" s="114" t="s">
        <v>221</v>
      </c>
      <c r="F363" s="70">
        <f>COS(RADIANS(4))*F361</f>
        <v>24.550973739461</v>
      </c>
      <c r="G363" s="67" t="s">
        <v>86</v>
      </c>
      <c r="H363" s="31" t="str">
        <f>[3]!EQS(F363,"Units= ; EqnPrefix=Valem  ; EqnNo= 0; Multiplication= 1; ShowWorking= 0; EqnStyle= 2; Eqp$H$277_2")</f>
        <v/>
      </c>
      <c r="I363" s="30" t="s">
        <v>576</v>
      </c>
    </row>
    <row r="364" spans="2:9" ht="19.5">
      <c r="E364" s="114" t="s">
        <v>222</v>
      </c>
      <c r="F364" s="70">
        <f>SIN(RADIANS(4))*F361</f>
        <v>1.716771323709352</v>
      </c>
      <c r="G364" s="67" t="s">
        <v>86</v>
      </c>
      <c r="H364" s="31" t="str">
        <f>[3]!EQS(F364,"Units= ; EqnPrefix=Valem  ; EqnNo= 0; Multiplication= 1; ShowWorking= 0; EqnStyle=2; Eqp$H$278_2")</f>
        <v/>
      </c>
      <c r="I364" s="30" t="s">
        <v>577</v>
      </c>
    </row>
    <row r="365" spans="2:9">
      <c r="E365" s="66"/>
      <c r="F365" s="70"/>
      <c r="G365" s="67"/>
      <c r="H365" s="31"/>
      <c r="I365" s="30"/>
    </row>
    <row r="366" spans="2:9">
      <c r="B366" s="71" t="s">
        <v>228</v>
      </c>
      <c r="E366" s="66"/>
      <c r="F366" s="70"/>
      <c r="G366" s="67"/>
      <c r="H366" s="31"/>
      <c r="I366" s="30"/>
    </row>
    <row r="367" spans="2:9">
      <c r="D367" s="64"/>
      <c r="E367" s="66"/>
      <c r="F367" s="70"/>
      <c r="G367" s="67"/>
      <c r="H367" s="31"/>
      <c r="I367" s="30"/>
    </row>
    <row r="368" spans="2:9">
      <c r="E368" s="99"/>
      <c r="F368" s="46"/>
      <c r="G368" s="67"/>
      <c r="H368" s="31"/>
      <c r="I368" s="30"/>
    </row>
    <row r="369" spans="2:9" ht="19.5">
      <c r="E369" s="116" t="s">
        <v>75</v>
      </c>
      <c r="F369" s="111">
        <f>F334</f>
        <v>422.08976632716445</v>
      </c>
      <c r="G369" s="110" t="s">
        <v>76</v>
      </c>
      <c r="H369" s="31"/>
      <c r="I369" s="109" t="s">
        <v>504</v>
      </c>
    </row>
    <row r="370" spans="2:9" ht="19.5">
      <c r="E370" s="116" t="s">
        <v>80</v>
      </c>
      <c r="F370" s="111">
        <f>F337</f>
        <v>1.8131807308313552</v>
      </c>
      <c r="G370" s="110"/>
      <c r="H370" s="31">
        <v>1.8</v>
      </c>
      <c r="I370" s="109" t="s">
        <v>505</v>
      </c>
    </row>
    <row r="371" spans="2:9" ht="19.5">
      <c r="E371" s="116" t="s">
        <v>498</v>
      </c>
      <c r="F371" s="111">
        <f>F9</f>
        <v>1.1499999999999999</v>
      </c>
      <c r="G371" s="67"/>
      <c r="H371" s="31">
        <v>1.05</v>
      </c>
      <c r="I371" s="109" t="s">
        <v>506</v>
      </c>
    </row>
    <row r="372" spans="2:9" ht="19.5">
      <c r="E372" s="116" t="s">
        <v>499</v>
      </c>
      <c r="F372" s="111">
        <v>1.2</v>
      </c>
      <c r="G372" s="67"/>
      <c r="H372" s="31"/>
      <c r="I372" s="109" t="s">
        <v>507</v>
      </c>
    </row>
    <row r="373" spans="2:9" ht="19.5">
      <c r="E373" s="116" t="s">
        <v>501</v>
      </c>
      <c r="F373" s="113">
        <v>2.1000000000000001E-2</v>
      </c>
      <c r="G373" s="67" t="s">
        <v>81</v>
      </c>
      <c r="H373" s="31"/>
      <c r="I373" s="109" t="s">
        <v>510</v>
      </c>
    </row>
    <row r="374" spans="2:9">
      <c r="E374" s="116" t="s">
        <v>524</v>
      </c>
      <c r="F374" s="111">
        <v>19</v>
      </c>
      <c r="G374" s="110" t="s">
        <v>508</v>
      </c>
      <c r="H374" s="31"/>
      <c r="I374" s="109" t="s">
        <v>509</v>
      </c>
    </row>
    <row r="375" spans="2:9" ht="19.5">
      <c r="E375" s="116" t="s">
        <v>229</v>
      </c>
      <c r="F375" s="104">
        <f>F369*F370*F371*F372*F373*F374</f>
        <v>421.40326856124921</v>
      </c>
      <c r="G375" s="110" t="s">
        <v>154</v>
      </c>
      <c r="H375" s="31" t="str">
        <f>[3]!EQS(F375,"Units= ; EqnPrefix=Valem  ; EqnNo= 0; Multiplication= 1; ShowWorking= 0; EqnStyle=2; Eqp$H$278_2")</f>
        <v/>
      </c>
      <c r="I375" s="30" t="s">
        <v>578</v>
      </c>
    </row>
    <row r="376" spans="2:9">
      <c r="E376" s="99"/>
      <c r="F376" s="46"/>
      <c r="G376" s="67"/>
      <c r="H376" s="31"/>
      <c r="I376" s="30"/>
    </row>
    <row r="377" spans="2:9">
      <c r="E377" s="99"/>
      <c r="F377" s="46"/>
      <c r="G377" s="67"/>
      <c r="H377" s="31"/>
      <c r="I377" s="30"/>
    </row>
    <row r="378" spans="2:9">
      <c r="D378" s="64" t="s">
        <v>225</v>
      </c>
      <c r="E378" s="66"/>
      <c r="F378" s="70"/>
      <c r="G378" s="67"/>
      <c r="H378" s="31"/>
      <c r="I378" s="30"/>
    </row>
    <row r="379" spans="2:9" ht="19.5">
      <c r="E379" s="114" t="s">
        <v>221</v>
      </c>
      <c r="F379" s="70">
        <f>COS(RADIANS(45))*F375</f>
        <v>297.97710881383517</v>
      </c>
      <c r="G379" s="67" t="s">
        <v>154</v>
      </c>
      <c r="H379" s="31" t="str">
        <f>[3]!EQS(F379,"Units= ; EqnPrefix=Valem  ; EqnNo= 0; Multiplication= 1; ShowWorking= 0; EqnStyle= 2; Eqp$H$277_2")</f>
        <v/>
      </c>
      <c r="I379" s="30" t="s">
        <v>666</v>
      </c>
    </row>
    <row r="380" spans="2:9" ht="19.5">
      <c r="E380" s="114" t="s">
        <v>222</v>
      </c>
      <c r="F380" s="70">
        <f>SIN(RADIANS(45))*F375</f>
        <v>297.97710881383512</v>
      </c>
      <c r="G380" s="67" t="s">
        <v>154</v>
      </c>
      <c r="H380" s="31" t="str">
        <f>[3]!EQS(F380,"Units= ; EqnPrefix=Valem  ; EqnNo= 0; Multiplication= 1; ShowWorking= 0; EqnStyle=2; Eqp$H$278_2")</f>
        <v/>
      </c>
      <c r="I380" s="30" t="s">
        <v>665</v>
      </c>
    </row>
    <row r="381" spans="2:9">
      <c r="E381" s="66"/>
      <c r="F381" s="70"/>
      <c r="G381" s="67"/>
      <c r="H381" s="31"/>
      <c r="I381" s="30"/>
    </row>
    <row r="382" spans="2:9">
      <c r="B382" s="71" t="s">
        <v>180</v>
      </c>
    </row>
    <row r="383" spans="2:9">
      <c r="B383" s="35"/>
      <c r="E383" s="114" t="s">
        <v>522</v>
      </c>
      <c r="F383" s="33">
        <v>41</v>
      </c>
      <c r="G383" s="59" t="s">
        <v>51</v>
      </c>
      <c r="I383" s="109" t="s">
        <v>482</v>
      </c>
    </row>
    <row r="384" spans="2:9">
      <c r="B384" s="35"/>
      <c r="E384" s="114" t="s">
        <v>523</v>
      </c>
      <c r="F384" s="33">
        <v>16</v>
      </c>
      <c r="G384" s="110" t="s">
        <v>438</v>
      </c>
      <c r="I384" s="109" t="s">
        <v>511</v>
      </c>
    </row>
    <row r="385" spans="2:9">
      <c r="B385" s="35"/>
      <c r="E385" s="114" t="s">
        <v>524</v>
      </c>
      <c r="F385" s="33">
        <v>1</v>
      </c>
      <c r="G385" s="59"/>
      <c r="I385" s="109" t="s">
        <v>483</v>
      </c>
    </row>
    <row r="386" spans="2:9">
      <c r="B386" s="35"/>
      <c r="C386" s="35" t="s">
        <v>65</v>
      </c>
      <c r="F386" s="27"/>
      <c r="G386" s="59"/>
      <c r="I386" s="32"/>
    </row>
    <row r="387" spans="2:9" ht="19.5">
      <c r="B387" s="35"/>
      <c r="E387" s="114" t="s">
        <v>57</v>
      </c>
      <c r="F387" s="42">
        <f>$F$6*LN(F383/$F$7)*$F$3</f>
        <v>26.770124317630611</v>
      </c>
      <c r="G387" s="59" t="s">
        <v>43</v>
      </c>
      <c r="H387" s="31" t="str">
        <f>[3]!EQS(F387,"Units= ; EqnPrefix=Valem  ; EqnNo= 0; Multiplication= 1; ShowWorking= 0; EqnStyle= 2; Eqp$H$21_2")</f>
        <v/>
      </c>
      <c r="I387" s="40" t="s">
        <v>526</v>
      </c>
    </row>
    <row r="388" spans="2:9">
      <c r="B388" s="35"/>
      <c r="E388" s="28"/>
      <c r="F388" s="42"/>
      <c r="G388" s="59"/>
      <c r="H388" s="31" t="str">
        <f>[3]!EQS(F387,"Units= ; EqnPrefix=Valem  ; EqnNo= 0; Multiplication= 1; ShowWorking= 1; EqnStyle= 2; Eqp$H$21_$H$22_3")</f>
        <v/>
      </c>
      <c r="I388" s="40" t="s">
        <v>161</v>
      </c>
    </row>
    <row r="389" spans="2:9">
      <c r="B389" s="35"/>
      <c r="C389" s="41" t="s">
        <v>77</v>
      </c>
      <c r="D389" s="41"/>
      <c r="F389" s="42"/>
      <c r="G389" s="59"/>
      <c r="H389" s="31"/>
      <c r="I389" s="40"/>
    </row>
    <row r="390" spans="2:9" ht="19.5">
      <c r="B390" s="35"/>
      <c r="E390" s="114" t="s">
        <v>75</v>
      </c>
      <c r="F390" s="42">
        <f>1/2*$F$5*F387^2</f>
        <v>438.94172803860613</v>
      </c>
      <c r="G390" s="61" t="s">
        <v>76</v>
      </c>
      <c r="H390" s="31" t="str">
        <f>[3]!EQS(F390,"Units= ; EqnPrefix=Valem  ; EqnNo= 0; Multiplication= 1; ShowWorking= 0; EqnStyle= 2; Eqp$G$21_0")</f>
        <v/>
      </c>
      <c r="I390" s="40" t="s">
        <v>527</v>
      </c>
    </row>
    <row r="391" spans="2:9">
      <c r="B391" s="35"/>
      <c r="E391" s="37"/>
      <c r="F391" s="42"/>
      <c r="G391" s="61"/>
      <c r="H391" s="31" t="str">
        <f>[3]!EQS(F390,"Units= ; EqnPrefix=Valem  ; EqnNo= 0; Multiplication= 1; ShowWorking= 1; EqnStyle= 2; Eqp$G$21_$G$25_1")</f>
        <v/>
      </c>
      <c r="I391" s="40" t="s">
        <v>551</v>
      </c>
    </row>
    <row r="392" spans="2:9">
      <c r="B392" s="35"/>
      <c r="C392" s="35" t="s">
        <v>79</v>
      </c>
      <c r="E392" s="37"/>
      <c r="F392" s="42"/>
      <c r="G392" s="61"/>
      <c r="I392" s="40"/>
    </row>
    <row r="393" spans="2:9" ht="19.5">
      <c r="B393" s="35"/>
      <c r="E393" s="114" t="s">
        <v>80</v>
      </c>
      <c r="F393" s="42">
        <f>(1+2.28/LN(F383/$F$7))^2</f>
        <v>1.7951352851913878</v>
      </c>
      <c r="G393" s="61"/>
      <c r="H393" s="31" t="str">
        <f>[3]!EQS(F393,"Units= ; EqnPrefix=Valem  ; EqnNo= 0; Multiplication= 1; ShowWorking= 0; EqnStyle= 2; Eqp$G$24_0")</f>
        <v/>
      </c>
      <c r="I393" s="40" t="s">
        <v>529</v>
      </c>
    </row>
    <row r="394" spans="2:9">
      <c r="B394" s="35"/>
      <c r="E394" s="37"/>
      <c r="F394" s="42"/>
      <c r="G394" s="61"/>
      <c r="H394" s="31" t="str">
        <f>[3]!EQS(F393,"Units= ; EqnPrefix=Valem  ; EqnNo= 0; Multiplication= 1; ShowWorking= 1; EqnStyle= 2; Eqp$G$24_$G$28_1")</f>
        <v/>
      </c>
      <c r="I394" s="40" t="s">
        <v>552</v>
      </c>
    </row>
    <row r="395" spans="2:9">
      <c r="B395" s="35"/>
      <c r="C395" s="107" t="s">
        <v>486</v>
      </c>
      <c r="E395" s="37"/>
      <c r="F395" s="42"/>
      <c r="G395" s="61"/>
      <c r="H395" s="31"/>
      <c r="I395" s="40"/>
    </row>
    <row r="396" spans="2:9">
      <c r="B396" s="35"/>
      <c r="E396" s="114" t="s">
        <v>525</v>
      </c>
      <c r="F396" s="33">
        <v>360</v>
      </c>
      <c r="G396" s="110" t="s">
        <v>51</v>
      </c>
      <c r="H396" s="31"/>
      <c r="I396" s="40"/>
    </row>
    <row r="397" spans="2:9">
      <c r="B397" s="35"/>
      <c r="C397" s="107" t="s">
        <v>485</v>
      </c>
      <c r="E397" s="37"/>
      <c r="F397" s="42"/>
      <c r="G397" s="61"/>
      <c r="H397" s="31"/>
      <c r="I397" s="40"/>
    </row>
    <row r="398" spans="2:9" ht="19.5">
      <c r="B398" s="35"/>
      <c r="E398" s="114" t="s">
        <v>487</v>
      </c>
      <c r="F398" s="42">
        <f>1.3-0.082*LN(F396)</f>
        <v>0.81733946942108726</v>
      </c>
      <c r="G398" s="61"/>
      <c r="H398" s="31" t="str">
        <f>[3]!EQS(F398,"Units= ; EqnPrefix=Valem  ; EqnNo= 0; Multiplication= 1; ShowWorking= 0; EqnStyle= 2; Eqp$G$24_0")</f>
        <v/>
      </c>
      <c r="I398" s="40" t="s">
        <v>495</v>
      </c>
    </row>
    <row r="399" spans="2:9">
      <c r="B399" s="35"/>
      <c r="C399" s="107" t="s">
        <v>488</v>
      </c>
      <c r="E399" s="108"/>
      <c r="F399" s="42"/>
      <c r="G399" s="61"/>
      <c r="H399" s="31"/>
      <c r="I399" s="40"/>
    </row>
    <row r="400" spans="2:9" ht="19.5">
      <c r="B400" s="35"/>
      <c r="E400" s="114" t="s">
        <v>489</v>
      </c>
      <c r="F400" s="42">
        <v>1.2</v>
      </c>
      <c r="G400" s="61"/>
      <c r="H400" s="31"/>
      <c r="I400" s="40"/>
    </row>
    <row r="401" spans="2:9">
      <c r="B401" s="35"/>
      <c r="C401" s="107" t="s">
        <v>490</v>
      </c>
      <c r="E401" s="37"/>
      <c r="F401" s="42"/>
      <c r="G401" s="61"/>
      <c r="H401" s="31"/>
      <c r="I401" s="40"/>
    </row>
    <row r="402" spans="2:9" ht="19.5">
      <c r="B402" s="35"/>
      <c r="C402" s="107"/>
      <c r="E402" s="114" t="s">
        <v>492</v>
      </c>
      <c r="F402" s="42">
        <f>F390*F393*F398*F400*F384/1000</f>
        <v>12.365388132445736</v>
      </c>
      <c r="G402" s="110" t="s">
        <v>86</v>
      </c>
      <c r="H402" s="31" t="str">
        <f>[3]!EQS(F402,"Units= ; EqnPrefix=Valem  ; EqnNo= 0; Multiplication= 1; ShowWorking= 0; EqnStyle= 2; Eqp$G$24_0")</f>
        <v/>
      </c>
      <c r="I402" s="40" t="s">
        <v>564</v>
      </c>
    </row>
    <row r="403" spans="2:9">
      <c r="B403" s="35"/>
      <c r="C403" s="107"/>
      <c r="E403" s="108"/>
      <c r="F403" s="42"/>
      <c r="G403" s="110"/>
      <c r="H403" s="31" t="str">
        <f>[3]!EQS(F402,"Units= ; EqnPrefix=Valem  ; EqnNo= 0; Multiplication= 1; ShowWorking= 1; EqnStyle= 2; Eqp$G$24_$H$294_1")</f>
        <v/>
      </c>
      <c r="I403" s="40" t="s">
        <v>579</v>
      </c>
    </row>
    <row r="404" spans="2:9">
      <c r="B404" s="35"/>
      <c r="C404" s="107" t="s">
        <v>491</v>
      </c>
      <c r="E404" s="37"/>
      <c r="F404" s="42"/>
      <c r="G404" s="61"/>
      <c r="H404" s="31"/>
      <c r="I404" s="40"/>
    </row>
    <row r="405" spans="2:9" ht="19.5">
      <c r="E405" s="114" t="s">
        <v>209</v>
      </c>
      <c r="F405" s="46">
        <f>F402*F385</f>
        <v>12.365388132445736</v>
      </c>
      <c r="G405" s="110" t="s">
        <v>86</v>
      </c>
      <c r="H405" s="31" t="str">
        <f>[3]!EQS(F405,"Units= ; EqnPrefix=Valem  ; EqnNo= 0; Multiplication= 1; ShowWorking= 0; EqnStyle= 2; Eqp$G$24_0")</f>
        <v/>
      </c>
      <c r="I405" s="30" t="s">
        <v>565</v>
      </c>
    </row>
    <row r="407" spans="2:9">
      <c r="C407" s="64" t="s">
        <v>210</v>
      </c>
    </row>
    <row r="408" spans="2:9" ht="19.5">
      <c r="E408" s="114" t="s">
        <v>211</v>
      </c>
      <c r="F408" s="117">
        <f>COS(RADIANS(41))^2</f>
        <v>0.56958655048003271</v>
      </c>
      <c r="H408" s="31" t="str">
        <f>[3]!EQS(F408,"Units= ; EqnPrefix=Valem  ; EqnNo= 0; Multiplication= 1; ShowWorking= 0; EqnStyle= 2; Eqp$H$274_2")</f>
        <v/>
      </c>
      <c r="I408" s="30" t="s">
        <v>557</v>
      </c>
    </row>
    <row r="409" spans="2:9">
      <c r="C409" s="64" t="s">
        <v>212</v>
      </c>
    </row>
    <row r="410" spans="2:9" ht="19.5">
      <c r="E410" s="114" t="s">
        <v>223</v>
      </c>
      <c r="F410" s="46">
        <f>F405*F408</f>
        <v>7.0431587717065005</v>
      </c>
      <c r="G410" s="67" t="s">
        <v>86</v>
      </c>
      <c r="H410" s="31" t="str">
        <f>[3]!EQS(F410,"Units= ; EqnPrefix=Valem  ; EqnNo= 0; Multiplication= 1; ShowWorking= 0; EqnStyle= 2; Eqp$H$276_2")</f>
        <v/>
      </c>
      <c r="I410" s="30" t="s">
        <v>566</v>
      </c>
    </row>
    <row r="411" spans="2:9">
      <c r="D411" s="64" t="s">
        <v>225</v>
      </c>
      <c r="E411" s="66"/>
      <c r="F411" s="70"/>
      <c r="G411" s="67"/>
      <c r="H411" s="31"/>
      <c r="I411" s="30"/>
    </row>
    <row r="412" spans="2:9" ht="19.5">
      <c r="E412" s="114" t="s">
        <v>221</v>
      </c>
      <c r="F412" s="70">
        <f>COS(RADIANS(4))*F410</f>
        <v>7.0260019909265452</v>
      </c>
      <c r="G412" s="67" t="s">
        <v>86</v>
      </c>
      <c r="H412" s="31" t="str">
        <f>[3]!EQS(F412,"Units= ; EqnPrefix=Valem  ; EqnNo= 0; Multiplication= 1; ShowWorking= 0; EqnStyle= 2; Eqp$H$277_2")</f>
        <v/>
      </c>
      <c r="I412" s="30" t="s">
        <v>574</v>
      </c>
    </row>
    <row r="413" spans="2:9" ht="19.5">
      <c r="E413" s="114" t="s">
        <v>222</v>
      </c>
      <c r="F413" s="70">
        <f>SIN(RADIANS(4))*F410</f>
        <v>0.49130591993425032</v>
      </c>
      <c r="G413" s="67" t="s">
        <v>86</v>
      </c>
      <c r="H413" s="31" t="str">
        <f>[3]!EQS(F413,"Units= ; EqnPrefix=Valem  ; EqnNo= 0; Multiplication= 1; ShowWorking= 0; EqnStyle=2; Eqp$H$278_2")</f>
        <v/>
      </c>
      <c r="I413" s="30" t="s">
        <v>575</v>
      </c>
    </row>
    <row r="414" spans="2:9">
      <c r="C414" s="64" t="s">
        <v>214</v>
      </c>
    </row>
    <row r="415" spans="2:9" ht="19.5">
      <c r="E415" s="114" t="s">
        <v>211</v>
      </c>
      <c r="F415" s="117">
        <f>COS(RADIANS(49))^2</f>
        <v>0.43041344951996724</v>
      </c>
      <c r="H415" s="31" t="str">
        <f>[3]!EQS(F415,"Units= ; EqnPrefix=Valem  ; EqnNo= 0; Multiplication= 1; ShowWorking= 0; EqnStyle= 2; Eqp$H$278_2")</f>
        <v/>
      </c>
      <c r="I415" s="30" t="s">
        <v>556</v>
      </c>
    </row>
    <row r="416" spans="2:9">
      <c r="C416" s="64" t="s">
        <v>215</v>
      </c>
    </row>
    <row r="417" spans="4:9" ht="19.5">
      <c r="E417" s="114" t="s">
        <v>224</v>
      </c>
      <c r="F417" s="46">
        <f>F405*F415</f>
        <v>5.3222293607392341</v>
      </c>
      <c r="G417" s="67" t="s">
        <v>86</v>
      </c>
      <c r="H417" s="31" t="str">
        <f>[3]!EQS(F417,"Units= ; EqnPrefix=Valem  ; EqnNo= 0; Multiplication= 1; ShowWorking= 0; EqnStyle= 2; Eqp$H$276_2")</f>
        <v/>
      </c>
      <c r="I417" s="30" t="s">
        <v>566</v>
      </c>
    </row>
    <row r="418" spans="4:9">
      <c r="D418" s="64" t="s">
        <v>225</v>
      </c>
      <c r="E418" s="66"/>
      <c r="F418" s="70"/>
      <c r="G418" s="67"/>
      <c r="H418" s="31"/>
      <c r="I418" s="30"/>
    </row>
    <row r="419" spans="4:9" ht="19.5">
      <c r="E419" s="114" t="s">
        <v>221</v>
      </c>
      <c r="F419" s="70">
        <f>COS(RADIANS(4))*F417</f>
        <v>5.309264677510785</v>
      </c>
      <c r="G419" s="67" t="s">
        <v>86</v>
      </c>
      <c r="H419" s="31" t="str">
        <f>[3]!EQS(F419,"Units= ; EqnPrefix=Valem  ; EqnNo= 0; Multiplication= 1; ShowWorking= 0; EqnStyle= 2; Eqp$H$277_2")</f>
        <v/>
      </c>
      <c r="I419" s="30" t="s">
        <v>576</v>
      </c>
    </row>
    <row r="420" spans="4:9" ht="19.5">
      <c r="E420" s="114" t="s">
        <v>222</v>
      </c>
      <c r="F420" s="70">
        <f>SIN(RADIANS(4))*F417</f>
        <v>0.37125995266261919</v>
      </c>
      <c r="G420" s="67" t="s">
        <v>86</v>
      </c>
      <c r="H420" s="31" t="str">
        <f>[3]!EQS(F420,"Units= ; EqnPrefix=Valem  ; EqnNo= 0; Multiplication= 1; ShowWorking= 0; EqnStyle=2; Eqp$H$278_2")</f>
        <v/>
      </c>
      <c r="I420" s="30" t="s">
        <v>577</v>
      </c>
    </row>
    <row r="421" spans="4:9">
      <c r="E421" s="66"/>
      <c r="F421" s="70"/>
      <c r="G421" s="67"/>
      <c r="H421" s="31"/>
      <c r="I421" s="30"/>
    </row>
  </sheetData>
  <mergeCells count="1">
    <mergeCell ref="A2:R2"/>
  </mergeCells>
  <pageMargins left="0.7" right="0.48958333333333331" top="0.75" bottom="0.75" header="0.3" footer="0.3"/>
  <pageSetup paperSize="9" orientation="portrait" horizontalDpi="300" verticalDpi="30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/>
  </sheetPr>
  <dimension ref="A2:R340"/>
  <sheetViews>
    <sheetView workbookViewId="0"/>
  </sheetViews>
  <sheetFormatPr defaultRowHeight="18" outlineLevelRow="1"/>
  <cols>
    <col min="1" max="1" width="1.375" style="71" customWidth="1"/>
    <col min="2" max="2" width="1.5" style="71" customWidth="1"/>
    <col min="3" max="4" width="1.5" style="35" customWidth="1"/>
    <col min="5" max="5" width="6.125" style="23" customWidth="1"/>
    <col min="6" max="6" width="8.5" style="23" customWidth="1"/>
    <col min="7" max="7" width="6.125" style="58" customWidth="1"/>
    <col min="8" max="8" width="0.875" style="23" customWidth="1"/>
    <col min="9" max="11" width="6.125" style="23" customWidth="1"/>
    <col min="12" max="20" width="6.25" style="23" customWidth="1"/>
    <col min="21" max="21" width="1.375" style="23" customWidth="1"/>
    <col min="22" max="22" width="6.25" style="23" customWidth="1"/>
    <col min="23" max="16384" width="9" style="23"/>
  </cols>
  <sheetData>
    <row r="2" spans="1:18" ht="31.5" customHeight="1" collapsed="1">
      <c r="A2" s="264" t="s">
        <v>325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</row>
    <row r="3" spans="1:18" ht="19.5" hidden="1" outlineLevel="1">
      <c r="E3" s="24" t="s">
        <v>42</v>
      </c>
      <c r="F3" s="23">
        <v>21</v>
      </c>
      <c r="G3" s="58" t="s">
        <v>43</v>
      </c>
      <c r="I3" s="23" t="s">
        <v>44</v>
      </c>
    </row>
    <row r="4" spans="1:18" ht="19.5" hidden="1" outlineLevel="1">
      <c r="E4" s="24" t="s">
        <v>45</v>
      </c>
      <c r="F4" s="23">
        <f>F3</f>
        <v>21</v>
      </c>
      <c r="G4" s="58" t="s">
        <v>43</v>
      </c>
      <c r="I4" s="23" t="s">
        <v>46</v>
      </c>
    </row>
    <row r="5" spans="1:18" hidden="1" outlineLevel="1">
      <c r="E5" s="25" t="s">
        <v>47</v>
      </c>
      <c r="F5" s="23">
        <v>1.2250000000000001</v>
      </c>
      <c r="G5" s="58" t="s">
        <v>48</v>
      </c>
      <c r="I5" s="23" t="s">
        <v>49</v>
      </c>
    </row>
    <row r="6" spans="1:18" ht="19.5" hidden="1" outlineLevel="1">
      <c r="E6" s="25" t="s">
        <v>58</v>
      </c>
      <c r="F6" s="23">
        <v>0.19</v>
      </c>
      <c r="I6" s="32" t="s">
        <v>59</v>
      </c>
    </row>
    <row r="7" spans="1:18" ht="19.5" hidden="1" outlineLevel="1">
      <c r="E7" s="25" t="s">
        <v>60</v>
      </c>
      <c r="F7" s="23">
        <v>0.05</v>
      </c>
      <c r="G7" s="59" t="s">
        <v>51</v>
      </c>
      <c r="I7" s="32" t="s">
        <v>61</v>
      </c>
    </row>
    <row r="8" spans="1:18" ht="19.5" hidden="1" outlineLevel="1">
      <c r="E8" s="25" t="s">
        <v>62</v>
      </c>
      <c r="F8" s="23">
        <v>10</v>
      </c>
      <c r="G8" s="59" t="s">
        <v>51</v>
      </c>
      <c r="I8" s="34" t="s">
        <v>63</v>
      </c>
    </row>
    <row r="9" spans="1:18" hidden="1" outlineLevel="1"/>
    <row r="10" spans="1:18" hidden="1" outlineLevel="1">
      <c r="E10" s="24"/>
    </row>
    <row r="11" spans="1:18">
      <c r="E11" s="24"/>
    </row>
    <row r="12" spans="1:18" collapsed="1">
      <c r="B12" s="72" t="s">
        <v>53</v>
      </c>
      <c r="C12" s="36"/>
      <c r="D12" s="36"/>
      <c r="E12" s="29"/>
      <c r="F12" s="29"/>
      <c r="G12" s="60"/>
      <c r="H12" s="29"/>
      <c r="I12" s="29"/>
      <c r="J12" s="29"/>
      <c r="K12" s="29"/>
      <c r="L12" s="29"/>
    </row>
    <row r="13" spans="1:18" hidden="1" outlineLevel="1">
      <c r="B13" s="72"/>
      <c r="C13" s="35" t="s">
        <v>100</v>
      </c>
      <c r="D13" s="36"/>
      <c r="E13" s="29"/>
      <c r="F13" s="29"/>
      <c r="G13" s="60"/>
      <c r="H13" s="29"/>
      <c r="I13" s="29"/>
      <c r="J13" s="29"/>
      <c r="K13" s="29"/>
      <c r="L13" s="29"/>
    </row>
    <row r="14" spans="1:18" hidden="1" outlineLevel="1">
      <c r="C14" s="38" t="s">
        <v>101</v>
      </c>
      <c r="E14" s="24"/>
      <c r="K14" s="38"/>
    </row>
    <row r="15" spans="1:18" hidden="1" outlineLevel="1">
      <c r="E15" s="78" t="s">
        <v>242</v>
      </c>
      <c r="F15" s="33">
        <v>36</v>
      </c>
      <c r="G15" s="59" t="s">
        <v>51</v>
      </c>
      <c r="I15" s="32" t="s">
        <v>55</v>
      </c>
    </row>
    <row r="16" spans="1:18" hidden="1" outlineLevel="1">
      <c r="E16" s="78" t="s">
        <v>243</v>
      </c>
      <c r="F16" s="33">
        <v>0.32400000000000001</v>
      </c>
      <c r="G16" s="59" t="s">
        <v>51</v>
      </c>
      <c r="I16" s="32" t="s">
        <v>56</v>
      </c>
    </row>
    <row r="17" spans="3:12" hidden="1" outlineLevel="1">
      <c r="C17" s="38" t="s">
        <v>82</v>
      </c>
      <c r="D17" s="38"/>
      <c r="E17" s="28"/>
      <c r="F17" s="27"/>
      <c r="G17" s="59"/>
      <c r="I17" s="32"/>
    </row>
    <row r="18" spans="3:12" ht="19.5" hidden="1" outlineLevel="1">
      <c r="E18" s="78" t="s">
        <v>97</v>
      </c>
      <c r="F18" s="45">
        <f>F16*F15</f>
        <v>11.664</v>
      </c>
      <c r="G18" s="61" t="s">
        <v>81</v>
      </c>
      <c r="H18" s="31" t="str">
        <f>[3]!EQS(F18,"Units= ; EqnPrefix=Valem  ; EqnNo= 0; Multiplication= 1; ShowWorking= 1; EqnStyle=2; Eqp$G$17_0")</f>
        <v/>
      </c>
      <c r="I18" s="30" t="s">
        <v>83</v>
      </c>
      <c r="L18" s="26"/>
    </row>
    <row r="19" spans="3:12" hidden="1" outlineLevel="1">
      <c r="C19" s="35" t="s">
        <v>65</v>
      </c>
      <c r="F19" s="27"/>
      <c r="G19" s="59"/>
      <c r="I19" s="32"/>
    </row>
    <row r="20" spans="3:12" ht="16.5" hidden="1" customHeight="1" outlineLevel="1">
      <c r="E20" s="78" t="s">
        <v>57</v>
      </c>
      <c r="F20" s="42">
        <f>$F$6*LN(F15/$F$7)*$F$3</f>
        <v>26.251212335920307</v>
      </c>
      <c r="G20" s="59" t="s">
        <v>43</v>
      </c>
      <c r="H20" s="31" t="str">
        <f>[3]!EQS(F20,"Units= ; EqnPrefix=Valem  ; EqnNo= 0; Multiplication= 1; ShowWorking= 0; EqnStyle= 2; Eqp$H$21_2")</f>
        <v/>
      </c>
      <c r="I20" s="40" t="s">
        <v>250</v>
      </c>
      <c r="J20" s="31"/>
    </row>
    <row r="21" spans="3:12" ht="12" hidden="1" customHeight="1" outlineLevel="1">
      <c r="E21" s="28"/>
      <c r="F21" s="42"/>
      <c r="G21" s="59"/>
      <c r="H21" s="31" t="str">
        <f>[3]!EQS(F20,"Units= ; EqnPrefix=Valem  ; EqnNo= 0; Multiplication= 1; ShowWorking= 1; EqnStyle= 2; Eqp$H$21_$H$22_3")</f>
        <v/>
      </c>
      <c r="I21" s="40" t="s">
        <v>64</v>
      </c>
      <c r="J21" s="31"/>
    </row>
    <row r="22" spans="3:12" hidden="1" outlineLevel="1">
      <c r="C22" s="41" t="s">
        <v>77</v>
      </c>
      <c r="D22" s="41"/>
      <c r="F22" s="42"/>
      <c r="G22" s="59"/>
      <c r="H22" s="31"/>
      <c r="I22" s="40"/>
      <c r="J22" s="31"/>
    </row>
    <row r="23" spans="3:12" ht="19.5" hidden="1" outlineLevel="1">
      <c r="E23" s="78" t="s">
        <v>75</v>
      </c>
      <c r="F23" s="42">
        <f>1/2*$F$5*F20^2</f>
        <v>422.08976632716445</v>
      </c>
      <c r="G23" s="61" t="s">
        <v>76</v>
      </c>
      <c r="H23" s="31" t="str">
        <f>[3]!EQS(F23,"Units= ; EqnPrefix=Valem  ; EqnNo= 0; Multiplication= 1; ShowWorking= 0; EqnStyle= 2; Eqp$G$21_0")</f>
        <v/>
      </c>
      <c r="I23" s="40" t="s">
        <v>251</v>
      </c>
      <c r="J23" s="31"/>
    </row>
    <row r="24" spans="3:12" hidden="1" outlineLevel="1">
      <c r="E24" s="37"/>
      <c r="F24" s="42"/>
      <c r="G24" s="61"/>
      <c r="H24" s="31" t="str">
        <f>[3]!EQS(F23,"Units= ; EqnPrefix=Valem  ; EqnNo= 0; Multiplication= 1; ShowWorking= 1; EqnStyle= 2; Eqp$G$21_$G$25_1")</f>
        <v/>
      </c>
      <c r="I24" s="40" t="s">
        <v>252</v>
      </c>
      <c r="J24" s="31"/>
    </row>
    <row r="25" spans="3:12" hidden="1" outlineLevel="1">
      <c r="C25" s="35" t="s">
        <v>79</v>
      </c>
      <c r="E25" s="37"/>
      <c r="F25" s="42"/>
      <c r="G25" s="61"/>
      <c r="I25" s="40"/>
      <c r="J25" s="31"/>
    </row>
    <row r="26" spans="3:12" ht="19.5" hidden="1" outlineLevel="1">
      <c r="E26" s="78" t="s">
        <v>80</v>
      </c>
      <c r="F26" s="42">
        <f>(1+2.28/LN(F15/$F$7))^2</f>
        <v>1.8131807308313552</v>
      </c>
      <c r="G26" s="61"/>
      <c r="H26" s="31" t="str">
        <f>[3]!EQS(F26,"Units= ; EqnPrefix=Valem  ; EqnNo= 0; Multiplication= 1; ShowWorking= 0; EqnStyle= 2; Eqp$G$24_0")</f>
        <v/>
      </c>
      <c r="I26" s="40" t="s">
        <v>253</v>
      </c>
      <c r="J26" s="31"/>
    </row>
    <row r="27" spans="3:12" hidden="1" outlineLevel="1">
      <c r="E27" s="37"/>
      <c r="F27" s="42"/>
      <c r="G27" s="61"/>
      <c r="H27" s="31" t="str">
        <f>[3]!EQS(F26,"Units= ; EqnPrefix=Valem  ; EqnNo= 0; Multiplication= 1; ShowWorking= 1; EqnStyle= 2; Eqp$G$24_$G$28_1")</f>
        <v/>
      </c>
      <c r="I27" s="40" t="s">
        <v>254</v>
      </c>
      <c r="J27" s="31"/>
    </row>
    <row r="28" spans="3:12" hidden="1" outlineLevel="1">
      <c r="C28" s="23" t="s">
        <v>50</v>
      </c>
      <c r="D28" s="23"/>
      <c r="E28" s="37"/>
      <c r="F28" s="42"/>
      <c r="G28" s="61"/>
      <c r="J28" s="31"/>
    </row>
    <row r="29" spans="3:12" ht="19.5" hidden="1" outlineLevel="1">
      <c r="E29" s="28" t="s">
        <v>52</v>
      </c>
      <c r="F29" s="23">
        <v>1.1499999999999999</v>
      </c>
      <c r="J29" s="31"/>
    </row>
    <row r="30" spans="3:12" ht="19.5" hidden="1" outlineLevel="1">
      <c r="C30" s="39" t="s">
        <v>70</v>
      </c>
      <c r="D30" s="39"/>
      <c r="E30" s="24"/>
      <c r="F30" s="43"/>
      <c r="H30" s="31"/>
      <c r="I30" s="31"/>
      <c r="J30" s="31"/>
    </row>
    <row r="31" spans="3:12" hidden="1" outlineLevel="1">
      <c r="E31" s="78" t="s">
        <v>244</v>
      </c>
      <c r="F31" s="31">
        <f>15*10^-6</f>
        <v>1.4999999999999999E-5</v>
      </c>
      <c r="G31" s="61" t="s">
        <v>66</v>
      </c>
      <c r="H31" s="31"/>
      <c r="I31" s="41" t="s">
        <v>67</v>
      </c>
      <c r="J31" s="31"/>
    </row>
    <row r="32" spans="3:12" hidden="1" outlineLevel="1">
      <c r="E32" s="78" t="s">
        <v>245</v>
      </c>
      <c r="F32" s="31">
        <f>F16</f>
        <v>0.32400000000000001</v>
      </c>
      <c r="G32" s="61" t="s">
        <v>51</v>
      </c>
      <c r="H32" s="31"/>
      <c r="I32" s="41" t="s">
        <v>68</v>
      </c>
      <c r="J32" s="31"/>
    </row>
    <row r="33" spans="2:12" hidden="1" outlineLevel="1">
      <c r="C33" s="23"/>
      <c r="D33" s="41" t="s">
        <v>73</v>
      </c>
      <c r="E33" s="37"/>
      <c r="F33" s="31"/>
      <c r="G33" s="61"/>
      <c r="H33" s="31"/>
      <c r="I33" s="41"/>
      <c r="J33" s="31"/>
    </row>
    <row r="34" spans="2:12" hidden="1" outlineLevel="1">
      <c r="C34" s="23"/>
      <c r="E34" s="37" t="s">
        <v>69</v>
      </c>
      <c r="F34" s="44">
        <f>F32*F20/F31</f>
        <v>567026.18645587866</v>
      </c>
      <c r="H34" s="31" t="str">
        <f>[3]!EQS(F34,"Units= ; EqnPrefix=Valem  ; EqnNo= 0; Multiplication= 1; ShowWorking= 1; EqnStyle= 2; Eqp$G$27_0")</f>
        <v/>
      </c>
      <c r="I34" s="30" t="s">
        <v>78</v>
      </c>
      <c r="J34" s="31"/>
    </row>
    <row r="35" spans="2:12" hidden="1" outlineLevel="1">
      <c r="C35" s="23"/>
      <c r="E35" s="37" t="s">
        <v>71</v>
      </c>
      <c r="F35" s="44">
        <f>6.175*10^-4</f>
        <v>6.1749999999999999E-4</v>
      </c>
      <c r="H35" s="31"/>
      <c r="I35" s="41" t="s">
        <v>72</v>
      </c>
      <c r="J35" s="31"/>
    </row>
    <row r="36" spans="2:12" hidden="1" outlineLevel="1">
      <c r="C36" s="23"/>
      <c r="D36" s="41" t="s">
        <v>84</v>
      </c>
      <c r="E36" s="37"/>
      <c r="F36" s="44"/>
      <c r="H36" s="31"/>
      <c r="I36" s="41"/>
      <c r="J36" s="31"/>
    </row>
    <row r="37" spans="2:12" ht="19.5" hidden="1" outlineLevel="1">
      <c r="C37" s="23"/>
      <c r="E37" s="78" t="s">
        <v>74</v>
      </c>
      <c r="F37" s="44">
        <f>1.2+(0.18*LOG(10*F35))/(1+0.4*LOG(F34/10^6))</f>
        <v>0.75883386915863227</v>
      </c>
      <c r="H37" s="31" t="str">
        <f>[3]!EQS(F37,"Units= ; EqnPrefix=Valem  ; EqnNo= 0; Multiplication= 1; ShowWorking= 0; EqnStyle=2; Eqp$G$36_2")</f>
        <v/>
      </c>
      <c r="I37" s="30" t="s">
        <v>255</v>
      </c>
      <c r="J37" s="31"/>
    </row>
    <row r="38" spans="2:12" hidden="1" outlineLevel="1">
      <c r="C38" s="23"/>
      <c r="E38" s="31"/>
      <c r="F38" s="31"/>
      <c r="H38" s="31" t="str">
        <f>[3]!EQS(F37,"Units= ; EqnPrefix=Valem  ; EqnNo= 0; Multiplication= 1; ShowWorking= 1; EqnStyle=2; Eqp$G$36_$G$37_3")</f>
        <v/>
      </c>
      <c r="I38" s="40" t="s">
        <v>256</v>
      </c>
      <c r="J38" s="31"/>
    </row>
    <row r="39" spans="2:12">
      <c r="C39" s="35" t="s">
        <v>89</v>
      </c>
    </row>
    <row r="40" spans="2:12" ht="19.5">
      <c r="E40" s="78" t="s">
        <v>85</v>
      </c>
      <c r="F40" s="46">
        <f>F23*F26*F29*F37*F16</f>
        <v>216.38914697938665</v>
      </c>
      <c r="G40" s="61" t="s">
        <v>86</v>
      </c>
      <c r="H40" s="31" t="str">
        <f>[3]!EQS(F40,"Units= ; EqnPrefix=Valem  ; EqnNo= 0; Multiplication= 1; ShowWorking= 0; EqnStyle= 2; Eqp$G$39_0")</f>
        <v/>
      </c>
      <c r="I40" s="30" t="s">
        <v>257</v>
      </c>
    </row>
    <row r="41" spans="2:12">
      <c r="H41" s="23" t="str">
        <f>[3]!EQS(F40,"Units= ; EqnPrefix=Valem  ; EqnNo= 0; Multiplication= 1; ShowWorking= 1; EqnStyle= 2; Eqp$G$39_$G$40_1")</f>
        <v/>
      </c>
      <c r="I41" s="30" t="s">
        <v>88</v>
      </c>
    </row>
    <row r="42" spans="2:12">
      <c r="C42" s="35" t="s">
        <v>87</v>
      </c>
    </row>
    <row r="44" spans="2:12" collapsed="1">
      <c r="B44" s="72" t="s">
        <v>90</v>
      </c>
      <c r="C44" s="36"/>
      <c r="D44" s="36"/>
      <c r="E44" s="29"/>
      <c r="F44" s="29"/>
      <c r="G44" s="60"/>
      <c r="H44" s="29"/>
      <c r="I44" s="29"/>
      <c r="J44" s="29"/>
      <c r="K44" s="29"/>
      <c r="L44" s="29"/>
    </row>
    <row r="45" spans="2:12" hidden="1" outlineLevel="1">
      <c r="C45" s="35" t="s">
        <v>93</v>
      </c>
      <c r="E45" s="24"/>
    </row>
    <row r="46" spans="2:12" hidden="1" outlineLevel="1">
      <c r="E46" s="78" t="s">
        <v>246</v>
      </c>
      <c r="F46" s="33">
        <v>14</v>
      </c>
      <c r="G46" s="59" t="s">
        <v>51</v>
      </c>
      <c r="I46" s="38" t="s">
        <v>91</v>
      </c>
    </row>
    <row r="47" spans="2:12" hidden="1" outlineLevel="1">
      <c r="E47" s="78" t="s">
        <v>243</v>
      </c>
      <c r="F47" s="33">
        <v>0.27300000000000002</v>
      </c>
      <c r="G47" s="59" t="s">
        <v>51</v>
      </c>
      <c r="I47" s="38" t="s">
        <v>92</v>
      </c>
    </row>
    <row r="48" spans="2:12" hidden="1" outlineLevel="1">
      <c r="E48" s="78" t="s">
        <v>126</v>
      </c>
      <c r="F48" s="33">
        <v>15.5</v>
      </c>
      <c r="G48" s="61" t="s">
        <v>51</v>
      </c>
      <c r="I48" s="38" t="s">
        <v>94</v>
      </c>
    </row>
    <row r="49" spans="3:10" hidden="1" outlineLevel="1">
      <c r="C49" s="38" t="s">
        <v>99</v>
      </c>
      <c r="D49" s="38"/>
      <c r="E49" s="28"/>
      <c r="F49" s="27"/>
      <c r="G49" s="59"/>
      <c r="I49" s="32"/>
    </row>
    <row r="50" spans="3:10" ht="19.5" hidden="1" outlineLevel="1">
      <c r="E50" s="78" t="s">
        <v>140</v>
      </c>
      <c r="F50" s="45">
        <f>F47*F48</f>
        <v>4.2315000000000005</v>
      </c>
      <c r="G50" s="61" t="s">
        <v>81</v>
      </c>
      <c r="H50" s="31" t="str">
        <f>[3]!EQS(F50,"Units= ; EqnPrefix=Valem  ; EqnNo= 0; Multiplication= 1; ShowWorking= 1; EqnStyle=2; Eqp$G$17_0")</f>
        <v/>
      </c>
      <c r="I50" s="30" t="s">
        <v>95</v>
      </c>
    </row>
    <row r="51" spans="3:10" hidden="1" outlineLevel="1">
      <c r="C51" s="35" t="s">
        <v>65</v>
      </c>
      <c r="F51" s="27"/>
      <c r="G51" s="59"/>
      <c r="I51" s="32"/>
    </row>
    <row r="52" spans="3:10" hidden="1" outlineLevel="1">
      <c r="E52" s="28"/>
      <c r="F52" s="27"/>
      <c r="G52" s="59"/>
      <c r="I52" s="32"/>
    </row>
    <row r="53" spans="3:10" hidden="1" outlineLevel="1"/>
    <row r="54" spans="3:10" ht="16.5" hidden="1" customHeight="1" outlineLevel="1">
      <c r="E54" s="78" t="s">
        <v>57</v>
      </c>
      <c r="F54" s="42">
        <f>$F$6*LN(F46/$F$7)*$F$3</f>
        <v>22.482810516645301</v>
      </c>
      <c r="G54" s="59" t="s">
        <v>43</v>
      </c>
      <c r="H54" s="31" t="str">
        <f>[3]!EQS(F54,"Units= ; EqnPrefix=Valem  ; EqnNo= 0; Multiplication= 1; ShowWorking= 0; EqnStyle= 2; Eqp$H$54_2")</f>
        <v/>
      </c>
      <c r="I54" s="40" t="s">
        <v>258</v>
      </c>
      <c r="J54" s="31"/>
    </row>
    <row r="55" spans="3:10" ht="12" hidden="1" customHeight="1" outlineLevel="1">
      <c r="E55" s="28"/>
      <c r="F55" s="42"/>
      <c r="G55" s="59"/>
      <c r="H55" s="31" t="str">
        <f>[3]!EQS(F54,"Units= ; EqnPrefix=Valem  ; EqnNo= 0; Multiplication= 1; ShowWorking= 1; EqnStyle= 2; Eqp$H$54_$H$55_3")</f>
        <v/>
      </c>
      <c r="I55" s="40" t="s">
        <v>102</v>
      </c>
      <c r="J55" s="31"/>
    </row>
    <row r="56" spans="3:10" hidden="1" outlineLevel="1">
      <c r="C56" s="41" t="s">
        <v>77</v>
      </c>
      <c r="D56" s="41"/>
      <c r="F56" s="42"/>
      <c r="G56" s="59"/>
      <c r="H56" s="31"/>
      <c r="I56" s="40"/>
      <c r="J56" s="31"/>
    </row>
    <row r="57" spans="3:10" ht="19.5" hidden="1" outlineLevel="1">
      <c r="E57" s="78" t="s">
        <v>75</v>
      </c>
      <c r="F57" s="42">
        <f>1/2*$F$5*F54^2</f>
        <v>309.60452084551815</v>
      </c>
      <c r="G57" s="61" t="s">
        <v>76</v>
      </c>
      <c r="H57" s="31" t="str">
        <f>[3]!EQS(F57,"Units= ; EqnPrefix=Valem  ; EqnNo= 0; Multiplication= 1; ShowWorking= 0; EqnStyle= 2; Eqp$G$21_0")</f>
        <v/>
      </c>
      <c r="I57" s="40" t="s">
        <v>251</v>
      </c>
      <c r="J57" s="31"/>
    </row>
    <row r="58" spans="3:10" hidden="1" outlineLevel="1">
      <c r="E58" s="37"/>
      <c r="F58" s="42"/>
      <c r="G58" s="61"/>
      <c r="H58" s="31" t="str">
        <f>[3]!EQS(F57,"Units= ; EqnPrefix=Valem  ; EqnNo= 0; Multiplication= 1; ShowWorking= 1; EqnStyle= 2; Eqp$G$21_$G$25_1")</f>
        <v/>
      </c>
      <c r="I58" s="40" t="s">
        <v>259</v>
      </c>
      <c r="J58" s="31"/>
    </row>
    <row r="59" spans="3:10" hidden="1" outlineLevel="1">
      <c r="C59" s="35" t="s">
        <v>79</v>
      </c>
      <c r="E59" s="37"/>
      <c r="F59" s="42"/>
      <c r="G59" s="61"/>
      <c r="I59" s="40"/>
      <c r="J59" s="31"/>
    </row>
    <row r="60" spans="3:10" ht="19.5" hidden="1" outlineLevel="1">
      <c r="E60" s="78" t="s">
        <v>80</v>
      </c>
      <c r="F60" s="42">
        <f>(1+2.28/LN(F46/$F$7))^2</f>
        <v>1.9729829854343099</v>
      </c>
      <c r="G60" s="61"/>
      <c r="H60" s="31" t="str">
        <f>[3]!EQS(F60,"Units= ; EqnPrefix=Valem  ; EqnNo= 0; Multiplication= 1; ShowWorking= 0; EqnStyle= 2; Eqp$G$24_0")</f>
        <v/>
      </c>
      <c r="I60" s="40" t="s">
        <v>260</v>
      </c>
      <c r="J60" s="31"/>
    </row>
    <row r="61" spans="3:10" hidden="1" outlineLevel="1">
      <c r="E61" s="37"/>
      <c r="F61" s="42"/>
      <c r="G61" s="61"/>
      <c r="H61" s="31" t="str">
        <f>[3]!EQS(F60,"Units= ; EqnPrefix=Valem  ; EqnNo= 0; Multiplication= 1; ShowWorking= 1; EqnStyle= 2; Eqp$G$24_$G$28_1")</f>
        <v/>
      </c>
      <c r="I61" s="40" t="s">
        <v>261</v>
      </c>
      <c r="J61" s="31"/>
    </row>
    <row r="62" spans="3:10" hidden="1" outlineLevel="1">
      <c r="C62" s="23" t="s">
        <v>50</v>
      </c>
      <c r="D62" s="23"/>
      <c r="E62" s="37"/>
      <c r="F62" s="42"/>
      <c r="G62" s="61"/>
      <c r="J62" s="31"/>
    </row>
    <row r="63" spans="3:10" ht="19.5" hidden="1" outlineLevel="1">
      <c r="E63" s="28" t="s">
        <v>52</v>
      </c>
      <c r="F63" s="23">
        <v>1.1499999999999999</v>
      </c>
      <c r="J63" s="31"/>
    </row>
    <row r="64" spans="3:10" ht="19.5" hidden="1" outlineLevel="1">
      <c r="C64" s="56" t="s">
        <v>139</v>
      </c>
      <c r="D64" s="39"/>
      <c r="E64" s="24"/>
      <c r="F64" s="43"/>
      <c r="H64" s="31"/>
      <c r="I64" s="31"/>
      <c r="J64" s="31"/>
    </row>
    <row r="65" spans="3:10" hidden="1" outlineLevel="1">
      <c r="E65" s="78" t="s">
        <v>244</v>
      </c>
      <c r="F65" s="31">
        <f>15*10^-6</f>
        <v>1.4999999999999999E-5</v>
      </c>
      <c r="G65" s="61" t="s">
        <v>66</v>
      </c>
      <c r="H65" s="31"/>
      <c r="I65" s="41" t="s">
        <v>67</v>
      </c>
      <c r="J65" s="31"/>
    </row>
    <row r="66" spans="3:10" hidden="1" outlineLevel="1">
      <c r="E66" s="78" t="s">
        <v>245</v>
      </c>
      <c r="F66" s="31">
        <f>F47</f>
        <v>0.27300000000000002</v>
      </c>
      <c r="G66" s="61" t="s">
        <v>51</v>
      </c>
      <c r="H66" s="31"/>
      <c r="I66" s="41" t="s">
        <v>68</v>
      </c>
      <c r="J66" s="31"/>
    </row>
    <row r="67" spans="3:10" hidden="1" outlineLevel="1">
      <c r="C67" s="23"/>
      <c r="D67" s="41" t="s">
        <v>73</v>
      </c>
      <c r="E67" s="37"/>
      <c r="F67" s="31"/>
      <c r="G67" s="61"/>
      <c r="H67" s="31"/>
      <c r="I67" s="41"/>
      <c r="J67" s="31"/>
    </row>
    <row r="68" spans="3:10" ht="19.5" hidden="1" outlineLevel="1">
      <c r="C68" s="23"/>
      <c r="E68" s="37" t="s">
        <v>69</v>
      </c>
      <c r="F68" s="44">
        <f>F66*F54/F65</f>
        <v>409187.15140294458</v>
      </c>
      <c r="H68" s="31" t="str">
        <f>[3]!EQS(F68,"Units= ; EqnPrefix=Valem  ; EqnNo= 0; Multiplication= 1; ShowWorking= 0; EqnStyle= 2; Eqp$G$27_0")</f>
        <v/>
      </c>
      <c r="I68" s="30" t="s">
        <v>262</v>
      </c>
      <c r="J68" s="31"/>
    </row>
    <row r="69" spans="3:10" hidden="1" outlineLevel="1">
      <c r="C69" s="23"/>
      <c r="E69" s="37"/>
      <c r="F69" s="44"/>
      <c r="H69" s="31" t="str">
        <f>[3]!EQS(F68,"Units= ; EqnPrefix=Valem  ; EqnNo= 0; Multiplication= 1; ShowWorking= 1; EqnStyle= 2; Eqp$G$27_$H$69_1")</f>
        <v/>
      </c>
      <c r="I69" s="30" t="s">
        <v>96</v>
      </c>
      <c r="J69" s="31"/>
    </row>
    <row r="70" spans="3:10" hidden="1" outlineLevel="1">
      <c r="C70" s="23"/>
      <c r="E70" s="37" t="s">
        <v>71</v>
      </c>
      <c r="F70" s="47">
        <f>0.2/F47*1000</f>
        <v>732.6007326007325</v>
      </c>
      <c r="H70" s="31"/>
      <c r="I70" s="41" t="s">
        <v>72</v>
      </c>
      <c r="J70" s="31"/>
    </row>
    <row r="71" spans="3:10" hidden="1" outlineLevel="1">
      <c r="C71" s="23"/>
      <c r="D71" s="41" t="s">
        <v>84</v>
      </c>
      <c r="E71" s="37"/>
      <c r="F71" s="44"/>
      <c r="H71" s="31"/>
      <c r="I71" s="41"/>
      <c r="J71" s="31"/>
    </row>
    <row r="72" spans="3:10" ht="19.5" hidden="1" outlineLevel="1">
      <c r="E72" s="78" t="s">
        <v>138</v>
      </c>
      <c r="F72" s="42">
        <f>1.2+(0.18*LOG(10*F70))/(1+0.4*LOG(F68/10^6))</f>
        <v>2.0235106772562297</v>
      </c>
      <c r="H72" s="31" t="str">
        <f>[3]!EQS(F72,"Units= ; EqnPrefix=Valem  ; EqnNo= 0; Multiplication= 1; ShowWorking= 0; EqnStyle=2; Eqp$G$36_2")</f>
        <v/>
      </c>
      <c r="I72" s="30" t="s">
        <v>255</v>
      </c>
      <c r="J72" s="31"/>
    </row>
    <row r="73" spans="3:10" hidden="1" outlineLevel="1">
      <c r="E73" s="31"/>
      <c r="F73" s="31"/>
      <c r="H73" s="31" t="str">
        <f>[3]!EQS(F72,"Units= ; EqnPrefix=Valem  ; EqnNo= 0; Multiplication= 1; ShowWorking= 1; EqnStyle=2; Eqp$G$36_$G$37_3")</f>
        <v/>
      </c>
      <c r="I73" s="40" t="s">
        <v>263</v>
      </c>
      <c r="J73" s="31"/>
    </row>
    <row r="74" spans="3:10" hidden="1" outlineLevel="1">
      <c r="C74" s="35" t="s">
        <v>104</v>
      </c>
      <c r="E74" s="31"/>
      <c r="F74" s="31"/>
      <c r="H74" s="31"/>
      <c r="I74" s="40"/>
      <c r="J74" s="31"/>
    </row>
    <row r="75" spans="3:10" ht="19.5" hidden="1" outlineLevel="1">
      <c r="E75" s="79" t="s">
        <v>105</v>
      </c>
      <c r="F75" s="31">
        <f>COS(RADIANS(45))^2</f>
        <v>0.50000000000000011</v>
      </c>
      <c r="H75" s="31" t="str">
        <f>[3]!EQS(F75,"Units= ; EqnPrefix=Valem  ; EqnNo= 0; Multiplication= 1; ShowWorking= 0; EqnStyle= 2; Eqp$H$75_2")</f>
        <v/>
      </c>
      <c r="I75" s="40" t="s">
        <v>264</v>
      </c>
      <c r="J75" s="31"/>
    </row>
    <row r="76" spans="3:10">
      <c r="C76" s="35" t="s">
        <v>103</v>
      </c>
    </row>
    <row r="77" spans="3:10" ht="19.5">
      <c r="E77" s="78" t="s">
        <v>137</v>
      </c>
      <c r="F77" s="46">
        <f>F57*F60*F63*F72*F47*F75</f>
        <v>194.02899120302681</v>
      </c>
      <c r="G77" s="61" t="s">
        <v>86</v>
      </c>
      <c r="H77" s="31" t="str">
        <f>[3]!EQS(F77,"Units= ; EqnPrefix=Valem  ; EqnNo= 0; Multiplication= 1; ShowWorking= 0; EqnStyle= 2; Eqp$G$39_0")</f>
        <v/>
      </c>
      <c r="I77" s="30" t="s">
        <v>265</v>
      </c>
    </row>
    <row r="78" spans="3:10">
      <c r="H78" s="23" t="str">
        <f>[3]!EQS(F77,"Units= ; EqnPrefix=Valem  ; EqnNo= 0; Multiplication= 1; ShowWorking= 1; EqnStyle= 2; Eqp$G$39_$G$40_1")</f>
        <v/>
      </c>
      <c r="I78" s="30" t="s">
        <v>266</v>
      </c>
    </row>
    <row r="81" spans="2:12" collapsed="1">
      <c r="B81" s="73" t="s">
        <v>107</v>
      </c>
      <c r="C81" s="36"/>
      <c r="D81" s="36"/>
      <c r="E81" s="29"/>
      <c r="F81" s="29"/>
      <c r="G81" s="60"/>
      <c r="H81" s="29"/>
      <c r="I81" s="29"/>
      <c r="J81" s="29"/>
      <c r="K81" s="29"/>
      <c r="L81" s="29"/>
    </row>
    <row r="82" spans="2:12" hidden="1" outlineLevel="1">
      <c r="C82" s="35" t="s">
        <v>108</v>
      </c>
      <c r="E82" s="24"/>
    </row>
    <row r="83" spans="2:12" hidden="1" outlineLevel="1">
      <c r="E83" s="78" t="s">
        <v>246</v>
      </c>
      <c r="F83" s="33">
        <v>28</v>
      </c>
      <c r="G83" s="59" t="s">
        <v>51</v>
      </c>
      <c r="I83" s="38" t="s">
        <v>109</v>
      </c>
    </row>
    <row r="84" spans="2:12" hidden="1" outlineLevel="1">
      <c r="E84" s="78" t="s">
        <v>54</v>
      </c>
      <c r="F84" s="33">
        <v>0.22</v>
      </c>
      <c r="G84" s="59" t="s">
        <v>51</v>
      </c>
      <c r="I84" s="38" t="s">
        <v>110</v>
      </c>
    </row>
    <row r="85" spans="2:12" hidden="1" outlineLevel="1">
      <c r="E85" s="78" t="s">
        <v>126</v>
      </c>
      <c r="F85" s="33">
        <v>23</v>
      </c>
      <c r="G85" s="61" t="s">
        <v>51</v>
      </c>
      <c r="I85" s="38" t="s">
        <v>94</v>
      </c>
    </row>
    <row r="86" spans="2:12" hidden="1" outlineLevel="1">
      <c r="C86" s="38" t="s">
        <v>99</v>
      </c>
      <c r="D86" s="38"/>
      <c r="E86" s="28"/>
      <c r="F86" s="27"/>
      <c r="G86" s="59"/>
      <c r="I86" s="32"/>
    </row>
    <row r="87" spans="2:12" ht="19.5" hidden="1" outlineLevel="1">
      <c r="E87" s="78" t="s">
        <v>98</v>
      </c>
      <c r="F87" s="45">
        <f>F84*F85</f>
        <v>5.0599999999999996</v>
      </c>
      <c r="G87" s="61" t="s">
        <v>81</v>
      </c>
      <c r="H87" s="31" t="str">
        <f>[3]!EQS(F87,"Units= ; EqnPrefix=Valem  ; EqnNo= 0; Multiplication= 1; ShowWorking= 1; EqnStyle=2; Eqp$G$17_0")</f>
        <v/>
      </c>
      <c r="I87" s="30" t="s">
        <v>121</v>
      </c>
    </row>
    <row r="88" spans="2:12" hidden="1" outlineLevel="1">
      <c r="C88" s="48" t="s">
        <v>112</v>
      </c>
      <c r="E88" s="37"/>
      <c r="F88" s="45"/>
      <c r="G88" s="61"/>
      <c r="H88" s="31"/>
      <c r="I88" s="30"/>
    </row>
    <row r="89" spans="2:12" hidden="1" outlineLevel="1">
      <c r="C89" s="35" t="s">
        <v>65</v>
      </c>
      <c r="F89" s="27"/>
      <c r="G89" s="59"/>
      <c r="I89" s="32"/>
    </row>
    <row r="90" spans="2:12" hidden="1" outlineLevel="1">
      <c r="E90" s="28"/>
      <c r="F90" s="27"/>
      <c r="G90" s="59"/>
      <c r="I90" s="32"/>
    </row>
    <row r="91" spans="2:12" hidden="1" outlineLevel="1"/>
    <row r="92" spans="2:12" ht="16.5" hidden="1" customHeight="1" outlineLevel="1">
      <c r="E92" s="78" t="s">
        <v>57</v>
      </c>
      <c r="F92" s="42">
        <f>$F$6*LN(F83/$F$7)*$F$3</f>
        <v>25.248467767079489</v>
      </c>
      <c r="G92" s="59" t="s">
        <v>43</v>
      </c>
      <c r="H92" s="31" t="str">
        <f>[3]!EQS(F92,"Units= ; EqnPrefix=Valem  ; EqnNo= 0; Multiplication= 1; ShowWorking= 0; EqnStyle= 2; Eqp$H$54_2")</f>
        <v/>
      </c>
      <c r="I92" s="40" t="s">
        <v>258</v>
      </c>
      <c r="J92" s="31"/>
    </row>
    <row r="93" spans="2:12" ht="12" hidden="1" customHeight="1" outlineLevel="1">
      <c r="E93" s="28"/>
      <c r="F93" s="42"/>
      <c r="G93" s="59"/>
      <c r="H93" s="31" t="str">
        <f>[3]!EQS(F92,"Units= ; EqnPrefix=Valem  ; EqnNo= 0; Multiplication= 1; ShowWorking= 1; EqnStyle= 2; Eqp$H$54_$H$55_3")</f>
        <v/>
      </c>
      <c r="I93" s="40" t="s">
        <v>111</v>
      </c>
      <c r="J93" s="31"/>
    </row>
    <row r="94" spans="2:12" hidden="1" outlineLevel="1">
      <c r="C94" s="41" t="s">
        <v>77</v>
      </c>
      <c r="D94" s="41"/>
      <c r="F94" s="42"/>
      <c r="G94" s="59"/>
      <c r="H94" s="31"/>
      <c r="I94" s="40"/>
      <c r="J94" s="31"/>
    </row>
    <row r="95" spans="2:12" ht="19.5" hidden="1" outlineLevel="1">
      <c r="E95" s="78" t="s">
        <v>75</v>
      </c>
      <c r="F95" s="42">
        <f>1/2*$F$5*F92^2</f>
        <v>390.45963880846682</v>
      </c>
      <c r="G95" s="61" t="s">
        <v>76</v>
      </c>
      <c r="H95" s="31" t="str">
        <f>[3]!EQS(F95,"Units= ; EqnPrefix=Valem  ; EqnNo= 0; Multiplication= 1; ShowWorking= 0; EqnStyle= 2; Eqp$G$21_0")</f>
        <v/>
      </c>
      <c r="I95" s="40" t="s">
        <v>251</v>
      </c>
      <c r="J95" s="31"/>
    </row>
    <row r="96" spans="2:12" hidden="1" outlineLevel="1">
      <c r="E96" s="37"/>
      <c r="F96" s="42"/>
      <c r="G96" s="61"/>
      <c r="H96" s="31" t="str">
        <f>[3]!EQS(F95,"Units= ; EqnPrefix=Valem  ; EqnNo= 0; Multiplication= 1; ShowWorking= 1; EqnStyle= 2; Eqp$G$21_$G$25_1")</f>
        <v/>
      </c>
      <c r="I96" s="40" t="s">
        <v>267</v>
      </c>
      <c r="J96" s="31"/>
    </row>
    <row r="97" spans="3:10" hidden="1" outlineLevel="1">
      <c r="C97" s="35" t="s">
        <v>79</v>
      </c>
      <c r="E97" s="37"/>
      <c r="F97" s="42"/>
      <c r="G97" s="61"/>
      <c r="I97" s="40"/>
      <c r="J97" s="31"/>
    </row>
    <row r="98" spans="3:10" ht="19.5" hidden="1" outlineLevel="1">
      <c r="E98" s="78" t="s">
        <v>80</v>
      </c>
      <c r="F98" s="42">
        <f>(1+2.28/LN(F83/$F$7))^2</f>
        <v>1.8504351691877789</v>
      </c>
      <c r="G98" s="61"/>
      <c r="H98" s="31" t="str">
        <f>[3]!EQS(F98,"Units= ; EqnPrefix=Valem  ; EqnNo= 0; Multiplication= 1; ShowWorking= 0; EqnStyle= 2; Eqp$G$24_0")</f>
        <v/>
      </c>
      <c r="I98" s="40" t="s">
        <v>260</v>
      </c>
      <c r="J98" s="31"/>
    </row>
    <row r="99" spans="3:10" hidden="1" outlineLevel="1">
      <c r="E99" s="37"/>
      <c r="F99" s="42"/>
      <c r="G99" s="61"/>
      <c r="H99" s="31" t="str">
        <f>[3]!EQS(F98,"Units= ; EqnPrefix=Valem  ; EqnNo= 0; Multiplication= 1; ShowWorking= 1; EqnStyle= 2; Eqp$G$24_$G$28_1")</f>
        <v/>
      </c>
      <c r="I99" s="40" t="s">
        <v>268</v>
      </c>
      <c r="J99" s="31"/>
    </row>
    <row r="100" spans="3:10" hidden="1" outlineLevel="1">
      <c r="C100" s="23" t="s">
        <v>50</v>
      </c>
      <c r="D100" s="23"/>
      <c r="E100" s="37"/>
      <c r="F100" s="42"/>
      <c r="G100" s="61"/>
      <c r="J100" s="31"/>
    </row>
    <row r="101" spans="3:10" ht="19.5" hidden="1" outlineLevel="1">
      <c r="E101" s="28" t="s">
        <v>52</v>
      </c>
      <c r="F101" s="23">
        <v>1.1499999999999999</v>
      </c>
      <c r="J101" s="31"/>
    </row>
    <row r="102" spans="3:10" ht="19.5" hidden="1" outlineLevel="1">
      <c r="C102" s="49" t="s">
        <v>113</v>
      </c>
      <c r="D102" s="39"/>
      <c r="E102" s="24"/>
      <c r="F102" s="43"/>
      <c r="H102" s="31"/>
      <c r="I102" s="31"/>
      <c r="J102" s="31"/>
    </row>
    <row r="103" spans="3:10" hidden="1" outlineLevel="1">
      <c r="C103" s="23"/>
      <c r="D103" s="41" t="s">
        <v>84</v>
      </c>
      <c r="E103" s="37"/>
      <c r="F103" s="44"/>
      <c r="H103" s="31"/>
      <c r="I103" s="41"/>
      <c r="J103" s="31"/>
    </row>
    <row r="104" spans="3:10" ht="19.5" hidden="1" outlineLevel="1">
      <c r="E104" s="78" t="s">
        <v>115</v>
      </c>
      <c r="F104" s="42">
        <v>2</v>
      </c>
      <c r="H104" s="31"/>
      <c r="I104" s="30"/>
      <c r="J104" s="31"/>
    </row>
    <row r="105" spans="3:10" hidden="1" outlineLevel="1">
      <c r="D105" s="48" t="s">
        <v>116</v>
      </c>
      <c r="E105" s="31"/>
      <c r="F105" s="31"/>
      <c r="H105" s="31"/>
      <c r="I105" s="40"/>
      <c r="J105" s="31"/>
    </row>
    <row r="106" spans="3:10" hidden="1" outlineLevel="1">
      <c r="D106" s="48"/>
      <c r="E106" s="79" t="s">
        <v>247</v>
      </c>
      <c r="F106" s="51">
        <f>MIN(70,2*F85/F84)</f>
        <v>70</v>
      </c>
      <c r="H106" s="31"/>
      <c r="I106" s="40"/>
      <c r="J106" s="31"/>
    </row>
    <row r="107" spans="3:10" hidden="1" outlineLevel="1">
      <c r="D107" s="48" t="s">
        <v>117</v>
      </c>
      <c r="E107" s="31"/>
      <c r="F107" s="31"/>
      <c r="H107" s="31"/>
      <c r="I107" s="40"/>
      <c r="J107" s="31"/>
    </row>
    <row r="108" spans="3:10" hidden="1" outlineLevel="1">
      <c r="D108" s="48"/>
      <c r="E108" s="79" t="s">
        <v>248</v>
      </c>
      <c r="F108" s="31">
        <v>1</v>
      </c>
      <c r="H108" s="31"/>
      <c r="I108" s="40"/>
      <c r="J108" s="31"/>
    </row>
    <row r="109" spans="3:10" hidden="1" outlineLevel="1">
      <c r="D109" s="49" t="s">
        <v>119</v>
      </c>
      <c r="F109" s="31"/>
      <c r="H109" s="31"/>
      <c r="I109" s="40"/>
      <c r="J109" s="31"/>
    </row>
    <row r="110" spans="3:10" ht="19.5" hidden="1" outlineLevel="1">
      <c r="E110" s="79" t="s">
        <v>118</v>
      </c>
      <c r="F110" s="23">
        <v>0.92</v>
      </c>
      <c r="H110" s="31"/>
      <c r="I110" s="40"/>
      <c r="J110" s="31"/>
    </row>
    <row r="111" spans="3:10" hidden="1" outlineLevel="1">
      <c r="C111" s="48" t="s">
        <v>120</v>
      </c>
      <c r="E111" s="31"/>
      <c r="F111" s="50"/>
      <c r="H111" s="31"/>
      <c r="I111" s="40"/>
      <c r="J111" s="31"/>
    </row>
    <row r="112" spans="3:10" ht="19.5" hidden="1" outlineLevel="1">
      <c r="E112" s="78" t="s">
        <v>114</v>
      </c>
      <c r="F112" s="52">
        <f>F104*F110</f>
        <v>1.84</v>
      </c>
      <c r="H112" s="31" t="str">
        <f>[3]!EQS(F112,"Units= ; EqnPrefix=Valem  ; EqnNo= 0; Multiplication= 1; ShowWorking= 0; EqnStyle= 2; Eqp$H$119_2")</f>
        <v/>
      </c>
      <c r="I112" s="40" t="s">
        <v>269</v>
      </c>
      <c r="J112" s="31"/>
    </row>
    <row r="113" spans="2:12" hidden="1" outlineLevel="1">
      <c r="E113" s="31"/>
      <c r="F113" s="50"/>
      <c r="H113" s="31" t="str">
        <f>[3]!EQS(F112,"Units= ; EqnPrefix=Valem  ; EqnNo= 0; Multiplication= 1; ShowWorking= 1; EqnStyle= 2; Eqp$H$119_$H$120_3")</f>
        <v/>
      </c>
      <c r="I113" s="40" t="s">
        <v>130</v>
      </c>
      <c r="J113" s="31"/>
    </row>
    <row r="114" spans="2:12" hidden="1" outlineLevel="1">
      <c r="C114" s="35" t="s">
        <v>104</v>
      </c>
      <c r="E114" s="31"/>
      <c r="F114" s="31"/>
      <c r="H114" s="31"/>
      <c r="I114" s="40"/>
      <c r="J114" s="31"/>
    </row>
    <row r="115" spans="2:12" ht="19.5" hidden="1" outlineLevel="1">
      <c r="E115" s="79" t="s">
        <v>105</v>
      </c>
      <c r="F115" s="76">
        <f>COS(RADIANS(45))^2</f>
        <v>0.50000000000000011</v>
      </c>
      <c r="H115" s="31" t="str">
        <f>[3]!EQS(F115,"Units= ; EqnPrefix=Valem  ; EqnNo= 0; Multiplication= 1; ShowWorking= 0; EqnStyle= 2; Eqp$H$75_2")</f>
        <v/>
      </c>
      <c r="I115" s="40" t="s">
        <v>264</v>
      </c>
      <c r="J115" s="31"/>
    </row>
    <row r="116" spans="2:12" hidden="1" outlineLevel="1">
      <c r="C116" s="48" t="s">
        <v>122</v>
      </c>
    </row>
    <row r="117" spans="2:12" ht="19.5">
      <c r="E117" s="78" t="s">
        <v>136</v>
      </c>
      <c r="F117" s="46">
        <f>F95*F98*F101*F112*F84*F115</f>
        <v>168.17381287782194</v>
      </c>
      <c r="G117" s="61" t="s">
        <v>86</v>
      </c>
      <c r="H117" s="31" t="str">
        <f>[3]!EQS(F117,"Units= ; EqnPrefix=Valem  ; EqnNo= 0; Multiplication= 1; ShowWorking= 0; EqnStyle= 2; Eqp$G$39_0")</f>
        <v/>
      </c>
      <c r="I117" s="30" t="s">
        <v>270</v>
      </c>
    </row>
    <row r="118" spans="2:12">
      <c r="H118" s="23" t="str">
        <f>[3]!EQS(F117,"Units= ; EqnPrefix=Valem  ; EqnNo= 0; Multiplication= 1; ShowWorking= 1; EqnStyle= 2; Eqp$G$39_$G$40_1")</f>
        <v/>
      </c>
      <c r="I118" s="30" t="s">
        <v>271</v>
      </c>
    </row>
    <row r="121" spans="2:12" collapsed="1">
      <c r="B121" s="73" t="s">
        <v>123</v>
      </c>
      <c r="C121" s="36"/>
      <c r="D121" s="36"/>
      <c r="E121" s="29"/>
      <c r="F121" s="29"/>
      <c r="G121" s="60"/>
      <c r="H121" s="29"/>
      <c r="I121" s="29"/>
      <c r="J121" s="29"/>
      <c r="K121" s="29"/>
      <c r="L121" s="29"/>
    </row>
    <row r="122" spans="2:12" hidden="1" outlineLevel="1">
      <c r="C122" s="57" t="s">
        <v>141</v>
      </c>
      <c r="E122" s="24"/>
    </row>
    <row r="123" spans="2:12" hidden="1" outlineLevel="1">
      <c r="E123" s="78" t="s">
        <v>246</v>
      </c>
      <c r="F123" s="33">
        <v>36</v>
      </c>
      <c r="G123" s="59" t="s">
        <v>51</v>
      </c>
      <c r="I123" s="38" t="s">
        <v>109</v>
      </c>
    </row>
    <row r="124" spans="2:12" hidden="1" outlineLevel="1">
      <c r="E124" s="78" t="s">
        <v>54</v>
      </c>
      <c r="F124" s="33">
        <v>0.25</v>
      </c>
      <c r="G124" s="59" t="s">
        <v>51</v>
      </c>
    </row>
    <row r="125" spans="2:12" hidden="1" outlineLevel="1">
      <c r="E125" s="78" t="s">
        <v>245</v>
      </c>
      <c r="F125" s="33">
        <v>0.25</v>
      </c>
      <c r="G125" s="62" t="s">
        <v>51</v>
      </c>
      <c r="I125" s="54" t="s">
        <v>124</v>
      </c>
    </row>
    <row r="126" spans="2:12" hidden="1" outlineLevel="1">
      <c r="E126" s="78" t="s">
        <v>126</v>
      </c>
      <c r="F126" s="33">
        <v>23</v>
      </c>
      <c r="G126" s="61" t="s">
        <v>51</v>
      </c>
      <c r="I126" s="38" t="s">
        <v>94</v>
      </c>
    </row>
    <row r="127" spans="2:12" hidden="1" outlineLevel="1">
      <c r="C127" s="38" t="s">
        <v>99</v>
      </c>
      <c r="D127" s="38"/>
      <c r="E127" s="28"/>
      <c r="F127" s="27"/>
      <c r="G127" s="59"/>
      <c r="I127" s="32"/>
    </row>
    <row r="128" spans="2:12" ht="19.5" hidden="1" outlineLevel="1">
      <c r="E128" s="78" t="s">
        <v>98</v>
      </c>
      <c r="F128" s="45">
        <f>F124*F126</f>
        <v>5.75</v>
      </c>
      <c r="G128" s="61" t="s">
        <v>81</v>
      </c>
      <c r="H128" s="31" t="str">
        <f>[3]!EQS(F128,"Units= ; EqnPrefix=Valem  ; EqnNo= 0; Multiplication= 1; ShowWorking= 1; EqnStyle=2; Eqp$G$17_0")</f>
        <v/>
      </c>
      <c r="I128" s="30" t="s">
        <v>127</v>
      </c>
    </row>
    <row r="129" spans="3:10" hidden="1" outlineLevel="1">
      <c r="C129" s="57" t="s">
        <v>165</v>
      </c>
      <c r="E129" s="37"/>
      <c r="F129" s="45"/>
      <c r="G129" s="61"/>
      <c r="H129" s="31"/>
      <c r="I129" s="30"/>
    </row>
    <row r="130" spans="3:10" ht="19.5" hidden="1" outlineLevel="1">
      <c r="C130" s="48"/>
      <c r="E130" s="78" t="s">
        <v>125</v>
      </c>
      <c r="F130" s="45">
        <f>F125*F124</f>
        <v>6.25E-2</v>
      </c>
      <c r="G130" s="61" t="s">
        <v>81</v>
      </c>
      <c r="H130" s="31" t="str">
        <f>[3]!EQS(F130,"Units= ; EqnPrefix=Valem  ; EqnNo= 0; Multiplication= 1; ShowWorking= 1; EqnStyle= 2; Eqp$H$137_2")</f>
        <v/>
      </c>
      <c r="I130" s="30" t="s">
        <v>128</v>
      </c>
    </row>
    <row r="131" spans="3:10" hidden="1" outlineLevel="1">
      <c r="C131" s="35" t="s">
        <v>65</v>
      </c>
      <c r="F131" s="27"/>
      <c r="G131" s="59"/>
      <c r="I131" s="32"/>
    </row>
    <row r="132" spans="3:10" hidden="1" outlineLevel="1">
      <c r="E132" s="28"/>
      <c r="F132" s="27"/>
      <c r="G132" s="59"/>
      <c r="I132" s="32"/>
    </row>
    <row r="133" spans="3:10" hidden="1" outlineLevel="1"/>
    <row r="134" spans="3:10" ht="19.5" hidden="1" outlineLevel="1">
      <c r="E134" s="78" t="s">
        <v>57</v>
      </c>
      <c r="F134" s="42">
        <f>$F$6*LN(F123/$F$7)*$F$3</f>
        <v>26.251212335920307</v>
      </c>
      <c r="G134" s="59" t="s">
        <v>43</v>
      </c>
      <c r="H134" s="31" t="str">
        <f>[3]!EQS(F134,"Units= ; EqnPrefix=Valem  ; EqnNo= 0; Multiplication= 1; ShowWorking= 0; EqnStyle= 2; Eqp$H$54_2")</f>
        <v/>
      </c>
      <c r="I134" s="40" t="s">
        <v>258</v>
      </c>
      <c r="J134" s="31"/>
    </row>
    <row r="135" spans="3:10" hidden="1" outlineLevel="1">
      <c r="E135" s="28"/>
      <c r="F135" s="42"/>
      <c r="G135" s="59"/>
      <c r="H135" s="31" t="str">
        <f>[3]!EQS(F134,"Units= ; EqnPrefix=Valem  ; EqnNo= 0; Multiplication= 1; ShowWorking= 1; EqnStyle= 2; Eqp$H$54_$H$55_3")</f>
        <v/>
      </c>
      <c r="I135" s="40" t="s">
        <v>64</v>
      </c>
      <c r="J135" s="31"/>
    </row>
    <row r="136" spans="3:10" hidden="1" outlineLevel="1">
      <c r="C136" s="41" t="s">
        <v>77</v>
      </c>
      <c r="D136" s="41"/>
      <c r="F136" s="42"/>
      <c r="G136" s="59"/>
      <c r="H136" s="31"/>
      <c r="I136" s="40"/>
      <c r="J136" s="31"/>
    </row>
    <row r="137" spans="3:10" ht="19.5" hidden="1" outlineLevel="1">
      <c r="E137" s="78" t="s">
        <v>75</v>
      </c>
      <c r="F137" s="42">
        <f>1/2*$F$5*F134^2</f>
        <v>422.08976632716445</v>
      </c>
      <c r="G137" s="61" t="s">
        <v>76</v>
      </c>
      <c r="H137" s="31" t="str">
        <f>[3]!EQS(F137,"Units= ; EqnPrefix=Valem  ; EqnNo= 0; Multiplication= 1; ShowWorking= 0; EqnStyle= 2; Eqp$G$21_0")</f>
        <v/>
      </c>
      <c r="I137" s="40" t="s">
        <v>251</v>
      </c>
      <c r="J137" s="31"/>
    </row>
    <row r="138" spans="3:10" hidden="1" outlineLevel="1">
      <c r="E138" s="37"/>
      <c r="F138" s="42"/>
      <c r="G138" s="61"/>
      <c r="H138" s="31" t="str">
        <f>[3]!EQS(F137,"Units= ; EqnPrefix=Valem  ; EqnNo= 0; Multiplication= 1; ShowWorking= 1; EqnStyle= 2; Eqp$G$21_$G$25_1")</f>
        <v/>
      </c>
      <c r="I138" s="40" t="s">
        <v>252</v>
      </c>
      <c r="J138" s="31"/>
    </row>
    <row r="139" spans="3:10" hidden="1" outlineLevel="1">
      <c r="C139" s="35" t="s">
        <v>79</v>
      </c>
      <c r="E139" s="37"/>
      <c r="F139" s="42"/>
      <c r="G139" s="61"/>
      <c r="I139" s="40"/>
      <c r="J139" s="31"/>
    </row>
    <row r="140" spans="3:10" ht="19.5" hidden="1" outlineLevel="1">
      <c r="E140" s="78" t="s">
        <v>80</v>
      </c>
      <c r="F140" s="42">
        <f>(1+2.28/LN(F123/$F$7))^2</f>
        <v>1.8131807308313552</v>
      </c>
      <c r="G140" s="61"/>
      <c r="H140" s="31" t="str">
        <f>[3]!EQS(F140,"Units= ; EqnPrefix=Valem  ; EqnNo= 0; Multiplication= 1; ShowWorking= 0; EqnStyle= 2; Eqp$G$24_0")</f>
        <v/>
      </c>
      <c r="I140" s="40" t="s">
        <v>260</v>
      </c>
      <c r="J140" s="31"/>
    </row>
    <row r="141" spans="3:10" hidden="1" outlineLevel="1">
      <c r="E141" s="37"/>
      <c r="F141" s="42"/>
      <c r="G141" s="61"/>
      <c r="H141" s="31" t="str">
        <f>[3]!EQS(F140,"Units= ; EqnPrefix=Valem  ; EqnNo= 0; Multiplication= 1; ShowWorking= 1; EqnStyle= 2; Eqp$G$24_$G$28_1")</f>
        <v/>
      </c>
      <c r="I141" s="40" t="s">
        <v>254</v>
      </c>
      <c r="J141" s="31"/>
    </row>
    <row r="142" spans="3:10" hidden="1" outlineLevel="1">
      <c r="C142" s="23" t="s">
        <v>50</v>
      </c>
      <c r="D142" s="23"/>
      <c r="E142" s="37"/>
      <c r="F142" s="42"/>
      <c r="G142" s="61"/>
      <c r="J142" s="31"/>
    </row>
    <row r="143" spans="3:10" ht="19.5" hidden="1" outlineLevel="1">
      <c r="E143" s="28" t="s">
        <v>52</v>
      </c>
      <c r="F143" s="23">
        <v>1.1499999999999999</v>
      </c>
      <c r="J143" s="31"/>
    </row>
    <row r="144" spans="3:10" ht="19.5" hidden="1" outlineLevel="1">
      <c r="C144" s="56" t="s">
        <v>129</v>
      </c>
      <c r="D144" s="39"/>
      <c r="E144" s="24"/>
      <c r="F144" s="43"/>
      <c r="H144" s="31"/>
      <c r="I144" s="31"/>
      <c r="J144" s="31"/>
    </row>
    <row r="145" spans="3:10" hidden="1" outlineLevel="1">
      <c r="C145" s="23"/>
      <c r="D145" s="41" t="s">
        <v>84</v>
      </c>
      <c r="E145" s="37"/>
      <c r="F145" s="44"/>
      <c r="H145" s="31"/>
      <c r="I145" s="41"/>
      <c r="J145" s="31"/>
    </row>
    <row r="146" spans="3:10" ht="19.5" hidden="1" outlineLevel="1">
      <c r="E146" s="78" t="s">
        <v>132</v>
      </c>
      <c r="F146" s="42">
        <v>2</v>
      </c>
      <c r="H146" s="31"/>
      <c r="I146" s="30"/>
      <c r="J146" s="31"/>
    </row>
    <row r="147" spans="3:10" hidden="1" outlineLevel="1">
      <c r="D147" s="48" t="s">
        <v>116</v>
      </c>
      <c r="E147" s="31"/>
      <c r="F147" s="31"/>
      <c r="H147" s="31"/>
      <c r="I147" s="40"/>
      <c r="J147" s="31"/>
    </row>
    <row r="148" spans="3:10" hidden="1" outlineLevel="1">
      <c r="D148" s="48"/>
      <c r="E148" s="79" t="s">
        <v>247</v>
      </c>
      <c r="F148" s="51">
        <f>MIN(70,2*F126/F124)</f>
        <v>70</v>
      </c>
      <c r="H148" s="31" t="str">
        <f>[3]!EQS(F148,"Units= ; EqnPrefix=Valem  ; EqnNo= 0; Multiplication= 1; ShowWorking= 1; EqnStyle=2; Eqp$H$148_0")</f>
        <v/>
      </c>
      <c r="I148" s="40" t="s">
        <v>133</v>
      </c>
      <c r="J148" s="31"/>
    </row>
    <row r="149" spans="3:10" hidden="1" outlineLevel="1">
      <c r="D149" s="48" t="s">
        <v>117</v>
      </c>
      <c r="E149" s="31"/>
      <c r="F149" s="31"/>
      <c r="H149" s="31"/>
      <c r="I149" s="40"/>
      <c r="J149" s="31"/>
    </row>
    <row r="150" spans="3:10" hidden="1" outlineLevel="1">
      <c r="D150" s="48"/>
      <c r="E150" s="79" t="s">
        <v>248</v>
      </c>
      <c r="F150" s="31">
        <v>1</v>
      </c>
      <c r="H150" s="31"/>
      <c r="I150" s="40"/>
      <c r="J150" s="31"/>
    </row>
    <row r="151" spans="3:10" hidden="1" outlineLevel="1">
      <c r="D151" s="49" t="s">
        <v>119</v>
      </c>
      <c r="F151" s="31"/>
      <c r="H151" s="31"/>
      <c r="I151" s="40"/>
      <c r="J151" s="31"/>
    </row>
    <row r="152" spans="3:10" ht="19.5" hidden="1" outlineLevel="1">
      <c r="E152" s="79" t="s">
        <v>118</v>
      </c>
      <c r="F152" s="23">
        <v>0.92</v>
      </c>
      <c r="H152" s="31"/>
      <c r="I152" s="40"/>
      <c r="J152" s="31"/>
    </row>
    <row r="153" spans="3:10" hidden="1" outlineLevel="1">
      <c r="D153" s="57" t="s">
        <v>142</v>
      </c>
      <c r="E153" s="55"/>
      <c r="H153" s="31"/>
      <c r="I153" s="40"/>
      <c r="J153" s="31"/>
    </row>
    <row r="154" spans="3:10" ht="19.5" hidden="1" outlineLevel="1">
      <c r="E154" s="79" t="s">
        <v>143</v>
      </c>
      <c r="F154" s="23">
        <v>0.88</v>
      </c>
      <c r="H154" s="31"/>
      <c r="I154" s="63" t="s">
        <v>144</v>
      </c>
      <c r="J154" s="31"/>
    </row>
    <row r="155" spans="3:10" hidden="1" outlineLevel="1">
      <c r="C155" s="57" t="s">
        <v>145</v>
      </c>
      <c r="E155" s="31"/>
      <c r="F155" s="50"/>
      <c r="H155" s="31"/>
      <c r="I155" s="40"/>
      <c r="J155" s="31"/>
    </row>
    <row r="156" spans="3:10" ht="19.5" hidden="1" outlineLevel="1">
      <c r="E156" s="78" t="s">
        <v>149</v>
      </c>
      <c r="F156" s="52">
        <f>F146*F152*F154</f>
        <v>1.6192</v>
      </c>
      <c r="H156" s="31" t="str">
        <f>[3]!EQS(F156,"Units= ; EqnPrefix=Valem  ; EqnNo= 0; Multiplication= 1; ShowWorking= 0; EqnStyle= 2; Eqp$H$119_2")</f>
        <v/>
      </c>
      <c r="I156" s="40" t="s">
        <v>272</v>
      </c>
      <c r="J156" s="31"/>
    </row>
    <row r="157" spans="3:10" hidden="1" outlineLevel="1">
      <c r="E157" s="31"/>
      <c r="F157" s="50"/>
      <c r="H157" s="31" t="str">
        <f>[3]!EQS(F156,"Units= ; EqnPrefix=Valem  ; EqnNo= 0; Multiplication= 1; ShowWorking= 1; EqnStyle= 2; Eqp$H$119_$H$120_3")</f>
        <v/>
      </c>
      <c r="I157" s="40" t="s">
        <v>147</v>
      </c>
      <c r="J157" s="31"/>
    </row>
    <row r="158" spans="3:10" hidden="1" outlineLevel="1">
      <c r="C158" s="57" t="s">
        <v>146</v>
      </c>
      <c r="E158" s="31"/>
      <c r="F158" s="50"/>
      <c r="H158" s="31"/>
      <c r="I158" s="40"/>
      <c r="J158" s="31"/>
    </row>
    <row r="159" spans="3:10" ht="19.5" hidden="1" outlineLevel="1">
      <c r="C159" s="57"/>
      <c r="E159" s="78" t="s">
        <v>150</v>
      </c>
      <c r="F159" s="52">
        <f>F146*F152</f>
        <v>1.84</v>
      </c>
      <c r="H159" s="31" t="str">
        <f>[3]!EQS(F159,"Units= ; EqnPrefix=Valem  ; EqnNo= 0; Multiplication= 1; ShowWorking= 0; EqnStyle= 2; Eqp$H$119_2")</f>
        <v/>
      </c>
      <c r="I159" s="40" t="s">
        <v>273</v>
      </c>
      <c r="J159" s="31"/>
    </row>
    <row r="160" spans="3:10" hidden="1" outlineLevel="1">
      <c r="E160" s="31"/>
      <c r="F160" s="50"/>
      <c r="H160" s="31" t="str">
        <f>[3]!EQS(F159,"Units= ; EqnPrefix=Valem  ; EqnNo= 0; Multiplication= 1; ShowWorking= 1; EqnStyle= 2; Eqp$H$119_$H$120_3")</f>
        <v/>
      </c>
      <c r="I160" s="40" t="s">
        <v>130</v>
      </c>
      <c r="J160" s="31"/>
    </row>
    <row r="161" spans="2:12" hidden="1" outlineLevel="1">
      <c r="C161" s="57" t="s">
        <v>134</v>
      </c>
      <c r="E161" s="31"/>
      <c r="F161" s="31"/>
      <c r="H161" s="31"/>
      <c r="I161" s="40"/>
      <c r="J161" s="31"/>
    </row>
    <row r="162" spans="2:12" ht="19.5" hidden="1" outlineLevel="1">
      <c r="E162" s="79" t="s">
        <v>155</v>
      </c>
      <c r="F162" s="77">
        <f>COS(RADIANS(45))^2</f>
        <v>0.50000000000000011</v>
      </c>
      <c r="H162" s="31" t="str">
        <f>[3]!EQS(F162,"Units= ; EqnPrefix=Valem  ; EqnNo= 0; Multiplication= 1; ShowWorking= 0; EqnStyle= 2; Eqp$H$75_2")</f>
        <v/>
      </c>
      <c r="I162" s="40" t="s">
        <v>264</v>
      </c>
      <c r="J162" s="31"/>
    </row>
    <row r="163" spans="2:12" hidden="1" outlineLevel="1">
      <c r="C163" s="57" t="s">
        <v>151</v>
      </c>
      <c r="E163" s="55"/>
      <c r="F163" s="53"/>
      <c r="H163" s="31"/>
      <c r="I163" s="40"/>
      <c r="J163" s="31"/>
    </row>
    <row r="164" spans="2:12" ht="19.5" hidden="1" outlineLevel="1">
      <c r="E164" s="79" t="s">
        <v>156</v>
      </c>
      <c r="F164" s="77">
        <f>COS(RADIANS(45))^2</f>
        <v>0.50000000000000011</v>
      </c>
      <c r="H164" s="31" t="str">
        <f>[3]!EQS(F164,"Units= ; EqnPrefix=Valem  ; EqnNo= 0; Multiplication= 1; ShowWorking= 0; EqnStyle= 2; Eqp$H$75_2")</f>
        <v/>
      </c>
      <c r="I164" s="40" t="s">
        <v>264</v>
      </c>
      <c r="J164" s="31"/>
    </row>
    <row r="165" spans="2:12">
      <c r="C165" s="57" t="s">
        <v>135</v>
      </c>
    </row>
    <row r="166" spans="2:12" ht="19.5">
      <c r="E166" s="78" t="s">
        <v>152</v>
      </c>
      <c r="F166" s="46">
        <f>F137*F140*F143*F156*F124*F162</f>
        <v>178.13705421219058</v>
      </c>
      <c r="G166" s="61" t="s">
        <v>86</v>
      </c>
      <c r="H166" s="31" t="str">
        <f>[3]!EQS(F166,"Units= ; EqnPrefix=Valem  ; EqnNo= 0; Multiplication= 1; ShowWorking= 0; EqnStyle= 2; Eqp$G$39_0")</f>
        <v/>
      </c>
      <c r="I166" s="30" t="s">
        <v>274</v>
      </c>
    </row>
    <row r="167" spans="2:12">
      <c r="H167" s="23" t="str">
        <f>[3]!EQS(F166,"Units= ; EqnPrefix=Valem  ; EqnNo= 0; Multiplication= 1; ShowWorking= 1; EqnStyle= 2; Eqp$G$39_$G$40_1")</f>
        <v/>
      </c>
      <c r="I167" s="30" t="s">
        <v>275</v>
      </c>
    </row>
    <row r="168" spans="2:12">
      <c r="C168" s="57" t="s">
        <v>158</v>
      </c>
    </row>
    <row r="169" spans="2:12" ht="19.5">
      <c r="E169" s="78" t="s">
        <v>153</v>
      </c>
      <c r="F169" s="46">
        <f>F137*F140*F143*F159*F125*F124*F164</f>
        <v>50.607117673917791</v>
      </c>
      <c r="G169" s="62" t="s">
        <v>154</v>
      </c>
      <c r="H169" s="31" t="str">
        <f>[3]!EQS(F169,"Units= ; EqnPrefix=Valem  ; EqnNo= 0; Multiplication= 1; ShowWorking= 0; EqnStyle= 2; Eqp$G$39_0")</f>
        <v/>
      </c>
      <c r="I169" s="30" t="s">
        <v>276</v>
      </c>
    </row>
    <row r="170" spans="2:12">
      <c r="H170" s="23" t="str">
        <f>[3]!EQS(F169,"Units= ; EqnPrefix=Valem  ; EqnNo= 0; Multiplication= 1; ShowWorking= 1; EqnStyle= 2; Eqp$G$39_$G$40_1")</f>
        <v/>
      </c>
      <c r="I170" s="30" t="s">
        <v>277</v>
      </c>
    </row>
    <row r="171" spans="2:12" collapsed="1">
      <c r="B171" s="73" t="s">
        <v>159</v>
      </c>
      <c r="C171" s="36"/>
      <c r="D171" s="36"/>
      <c r="E171" s="29"/>
      <c r="F171" s="29"/>
      <c r="G171" s="60"/>
      <c r="H171" s="29"/>
      <c r="I171" s="29"/>
      <c r="J171" s="29"/>
      <c r="K171" s="29"/>
      <c r="L171" s="29"/>
    </row>
    <row r="172" spans="2:12" hidden="1" outlineLevel="1">
      <c r="C172" s="57" t="s">
        <v>160</v>
      </c>
      <c r="E172" s="24"/>
    </row>
    <row r="173" spans="2:12" hidden="1" outlineLevel="1">
      <c r="E173" s="78" t="s">
        <v>246</v>
      </c>
      <c r="F173" s="33">
        <v>41</v>
      </c>
      <c r="G173" s="59" t="s">
        <v>51</v>
      </c>
      <c r="I173" s="38" t="s">
        <v>109</v>
      </c>
    </row>
    <row r="174" spans="2:12" hidden="1" outlineLevel="1">
      <c r="E174" s="78" t="s">
        <v>54</v>
      </c>
      <c r="F174" s="33">
        <v>0.25</v>
      </c>
      <c r="G174" s="59" t="s">
        <v>51</v>
      </c>
    </row>
    <row r="175" spans="2:12" hidden="1" outlineLevel="1">
      <c r="E175" s="78" t="s">
        <v>245</v>
      </c>
      <c r="F175" s="33">
        <v>0.15</v>
      </c>
      <c r="G175" s="62" t="s">
        <v>51</v>
      </c>
      <c r="I175" s="54" t="s">
        <v>124</v>
      </c>
    </row>
    <row r="176" spans="2:12" hidden="1" outlineLevel="1">
      <c r="E176" s="78" t="s">
        <v>126</v>
      </c>
      <c r="F176" s="33">
        <v>5</v>
      </c>
      <c r="G176" s="61" t="s">
        <v>51</v>
      </c>
      <c r="I176" s="38" t="s">
        <v>94</v>
      </c>
    </row>
    <row r="177" spans="3:10" hidden="1" outlineLevel="1">
      <c r="C177" s="38" t="s">
        <v>99</v>
      </c>
      <c r="D177" s="38"/>
      <c r="E177" s="28"/>
      <c r="F177" s="27"/>
      <c r="G177" s="59"/>
      <c r="I177" s="32"/>
    </row>
    <row r="178" spans="3:10" ht="19.5" hidden="1" outlineLevel="1">
      <c r="E178" s="78" t="s">
        <v>98</v>
      </c>
      <c r="F178" s="45">
        <f>F175*F176</f>
        <v>0.75</v>
      </c>
      <c r="G178" s="61" t="s">
        <v>81</v>
      </c>
      <c r="H178" s="31" t="str">
        <f>[3]!EQS(F178,"Units= ; EqnPrefix=Valem  ; EqnNo= 0; Multiplication= 1; ShowWorking= 1; EqnStyle=2; Eqp$G$17_0")</f>
        <v/>
      </c>
      <c r="I178" s="30" t="s">
        <v>163</v>
      </c>
    </row>
    <row r="179" spans="3:10" hidden="1" outlineLevel="1">
      <c r="C179" s="57" t="s">
        <v>165</v>
      </c>
      <c r="E179" s="37"/>
      <c r="F179" s="45"/>
      <c r="G179" s="61"/>
      <c r="H179" s="31"/>
      <c r="I179" s="30"/>
    </row>
    <row r="180" spans="3:10" ht="19.5" hidden="1" outlineLevel="1">
      <c r="C180" s="48"/>
      <c r="E180" s="78" t="s">
        <v>125</v>
      </c>
      <c r="F180" s="45">
        <f>F176*F174</f>
        <v>1.25</v>
      </c>
      <c r="G180" s="61" t="s">
        <v>81</v>
      </c>
      <c r="H180" s="31" t="str">
        <f>[3]!EQS(F180,"Units= ; EqnPrefix=Valem  ; EqnNo= 0; Multiplication= 1; ShowWorking= 1; EqnStyle= 2; Eqp$H$137_2")</f>
        <v/>
      </c>
      <c r="I180" s="30" t="s">
        <v>164</v>
      </c>
    </row>
    <row r="181" spans="3:10" hidden="1" outlineLevel="1">
      <c r="C181" s="35" t="s">
        <v>65</v>
      </c>
      <c r="F181" s="27"/>
      <c r="G181" s="59"/>
      <c r="I181" s="32"/>
    </row>
    <row r="182" spans="3:10" hidden="1" outlineLevel="1">
      <c r="E182" s="28"/>
      <c r="F182" s="27"/>
      <c r="G182" s="59"/>
      <c r="I182" s="32"/>
    </row>
    <row r="183" spans="3:10" hidden="1" outlineLevel="1"/>
    <row r="184" spans="3:10" ht="19.5" hidden="1" outlineLevel="1">
      <c r="E184" s="78" t="s">
        <v>57</v>
      </c>
      <c r="F184" s="42">
        <f>$F$6*LN(F173/$F$7)*$F$3</f>
        <v>26.770124317630611</v>
      </c>
      <c r="G184" s="59" t="s">
        <v>43</v>
      </c>
      <c r="H184" s="31" t="str">
        <f>[3]!EQS(F184,"Units= ; EqnPrefix=Valem  ; EqnNo= 0; Multiplication= 1; ShowWorking= 0; EqnStyle= 2; Eqp$H$54_2")</f>
        <v/>
      </c>
      <c r="I184" s="40" t="s">
        <v>258</v>
      </c>
      <c r="J184" s="31"/>
    </row>
    <row r="185" spans="3:10" hidden="1" outlineLevel="1">
      <c r="E185" s="28"/>
      <c r="F185" s="42"/>
      <c r="G185" s="59"/>
      <c r="H185" s="31" t="str">
        <f>[3]!EQS(F184,"Units= ; EqnPrefix=Valem  ; EqnNo= 0; Multiplication= 1; ShowWorking= 1; EqnStyle= 2; Eqp$H$54_$H$55_3")</f>
        <v/>
      </c>
      <c r="I185" s="40" t="s">
        <v>161</v>
      </c>
      <c r="J185" s="31"/>
    </row>
    <row r="186" spans="3:10" hidden="1" outlineLevel="1">
      <c r="C186" s="41" t="s">
        <v>77</v>
      </c>
      <c r="D186" s="41"/>
      <c r="F186" s="42"/>
      <c r="G186" s="59"/>
      <c r="H186" s="31"/>
      <c r="I186" s="40"/>
      <c r="J186" s="31"/>
    </row>
    <row r="187" spans="3:10" ht="19.5" hidden="1" outlineLevel="1">
      <c r="E187" s="78" t="s">
        <v>75</v>
      </c>
      <c r="F187" s="42">
        <f>1/2*$F$5*F184^2</f>
        <v>438.94172803860613</v>
      </c>
      <c r="G187" s="61" t="s">
        <v>76</v>
      </c>
      <c r="H187" s="31" t="str">
        <f>[3]!EQS(F187,"Units= ; EqnPrefix=Valem  ; EqnNo= 0; Multiplication= 1; ShowWorking= 0; EqnStyle= 2; Eqp$G$21_0")</f>
        <v/>
      </c>
      <c r="I187" s="40" t="s">
        <v>251</v>
      </c>
      <c r="J187" s="31"/>
    </row>
    <row r="188" spans="3:10" hidden="1" outlineLevel="1">
      <c r="E188" s="37"/>
      <c r="F188" s="42"/>
      <c r="G188" s="61"/>
      <c r="H188" s="31" t="str">
        <f>[3]!EQS(F187,"Units= ; EqnPrefix=Valem  ; EqnNo= 0; Multiplication= 1; ShowWorking= 1; EqnStyle= 2; Eqp$G$21_$G$25_1")</f>
        <v/>
      </c>
      <c r="I188" s="40" t="s">
        <v>278</v>
      </c>
      <c r="J188" s="31"/>
    </row>
    <row r="189" spans="3:10" hidden="1" outlineLevel="1">
      <c r="C189" s="35" t="s">
        <v>79</v>
      </c>
      <c r="E189" s="37"/>
      <c r="F189" s="42"/>
      <c r="G189" s="61"/>
      <c r="I189" s="40"/>
      <c r="J189" s="31"/>
    </row>
    <row r="190" spans="3:10" ht="19.5" hidden="1" outlineLevel="1">
      <c r="E190" s="78" t="s">
        <v>80</v>
      </c>
      <c r="F190" s="42">
        <f>(1+2.28/LN(F173/$F$7))^2</f>
        <v>1.7951352851913878</v>
      </c>
      <c r="G190" s="61"/>
      <c r="H190" s="31" t="str">
        <f>[3]!EQS(F190,"Units= ; EqnPrefix=Valem  ; EqnNo= 0; Multiplication= 1; ShowWorking= 0; EqnStyle= 2; Eqp$G$24_0")</f>
        <v/>
      </c>
      <c r="I190" s="40" t="s">
        <v>260</v>
      </c>
      <c r="J190" s="31"/>
    </row>
    <row r="191" spans="3:10" hidden="1" outlineLevel="1">
      <c r="E191" s="37"/>
      <c r="F191" s="42"/>
      <c r="G191" s="61"/>
      <c r="H191" s="31" t="str">
        <f>[3]!EQS(F190,"Units= ; EqnPrefix=Valem  ; EqnNo= 0; Multiplication= 1; ShowWorking= 1; EqnStyle= 2; Eqp$G$24_$G$28_1")</f>
        <v/>
      </c>
      <c r="I191" s="40" t="s">
        <v>279</v>
      </c>
      <c r="J191" s="31"/>
    </row>
    <row r="192" spans="3:10" hidden="1" outlineLevel="1">
      <c r="C192" s="23" t="s">
        <v>50</v>
      </c>
      <c r="D192" s="23"/>
      <c r="E192" s="37"/>
      <c r="F192" s="42"/>
      <c r="G192" s="61"/>
      <c r="J192" s="31"/>
    </row>
    <row r="193" spans="3:10" ht="19.5" hidden="1" outlineLevel="1">
      <c r="E193" s="28" t="s">
        <v>52</v>
      </c>
      <c r="F193" s="23">
        <v>1.1499999999999999</v>
      </c>
      <c r="J193" s="31"/>
    </row>
    <row r="194" spans="3:10" ht="19.5" hidden="1" outlineLevel="1">
      <c r="C194" s="56" t="s">
        <v>166</v>
      </c>
      <c r="D194" s="39"/>
      <c r="E194" s="24"/>
      <c r="F194" s="43"/>
      <c r="H194" s="31"/>
      <c r="I194" s="31"/>
      <c r="J194" s="31"/>
    </row>
    <row r="195" spans="3:10" hidden="1" outlineLevel="1">
      <c r="C195" s="23"/>
      <c r="D195" s="41" t="s">
        <v>84</v>
      </c>
      <c r="E195" s="37"/>
      <c r="F195" s="44"/>
      <c r="H195" s="31"/>
      <c r="I195" s="41"/>
      <c r="J195" s="31"/>
    </row>
    <row r="196" spans="3:10" ht="19.5" hidden="1" outlineLevel="1">
      <c r="E196" s="78" t="s">
        <v>167</v>
      </c>
      <c r="F196" s="42">
        <v>2</v>
      </c>
      <c r="H196" s="31"/>
      <c r="I196" s="30"/>
      <c r="J196" s="31"/>
    </row>
    <row r="197" spans="3:10" hidden="1" outlineLevel="1">
      <c r="D197" s="48" t="s">
        <v>116</v>
      </c>
      <c r="E197" s="31"/>
      <c r="F197" s="31"/>
      <c r="H197" s="31"/>
      <c r="I197" s="40"/>
      <c r="J197" s="31"/>
    </row>
    <row r="198" spans="3:10" hidden="1" outlineLevel="1">
      <c r="D198" s="48"/>
      <c r="E198" s="79" t="s">
        <v>247</v>
      </c>
      <c r="F198" s="51">
        <f>MIN(70,2*F176/F174)</f>
        <v>40</v>
      </c>
      <c r="H198" s="31" t="str">
        <f>[3]!EQS(F198,"Units= ; EqnPrefix=Valem  ; EqnNo= 0; Multiplication= 1; ShowWorking= 1; EqnStyle=2; Eqp$H$148_0")</f>
        <v/>
      </c>
      <c r="I198" s="40" t="s">
        <v>162</v>
      </c>
      <c r="J198" s="31"/>
    </row>
    <row r="199" spans="3:10" hidden="1" outlineLevel="1">
      <c r="D199" s="48" t="s">
        <v>117</v>
      </c>
      <c r="E199" s="31"/>
      <c r="F199" s="31"/>
      <c r="H199" s="31"/>
      <c r="I199" s="40"/>
      <c r="J199" s="31"/>
    </row>
    <row r="200" spans="3:10" hidden="1" outlineLevel="1">
      <c r="D200" s="48"/>
      <c r="E200" s="79" t="s">
        <v>248</v>
      </c>
      <c r="F200" s="31">
        <v>1</v>
      </c>
      <c r="H200" s="31"/>
      <c r="I200" s="40"/>
      <c r="J200" s="31"/>
    </row>
    <row r="201" spans="3:10" hidden="1" outlineLevel="1">
      <c r="D201" s="49" t="s">
        <v>119</v>
      </c>
      <c r="F201" s="31"/>
      <c r="H201" s="31"/>
      <c r="I201" s="40"/>
      <c r="J201" s="31"/>
    </row>
    <row r="202" spans="3:10" ht="19.5" hidden="1" outlineLevel="1">
      <c r="E202" s="79" t="s">
        <v>118</v>
      </c>
      <c r="F202" s="23">
        <v>0.85</v>
      </c>
      <c r="H202" s="31"/>
      <c r="I202" s="40"/>
      <c r="J202" s="31"/>
    </row>
    <row r="203" spans="3:10" hidden="1" outlineLevel="1">
      <c r="D203" s="57" t="s">
        <v>142</v>
      </c>
      <c r="E203" s="55"/>
      <c r="H203" s="31"/>
      <c r="I203" s="40"/>
      <c r="J203" s="31"/>
    </row>
    <row r="204" spans="3:10" ht="19.5" hidden="1" outlineLevel="1">
      <c r="E204" s="79" t="s">
        <v>143</v>
      </c>
      <c r="F204" s="23">
        <v>0.9</v>
      </c>
      <c r="H204" s="31"/>
      <c r="I204" s="63" t="s">
        <v>168</v>
      </c>
      <c r="J204" s="31"/>
    </row>
    <row r="205" spans="3:10" hidden="1" outlineLevel="1">
      <c r="C205" s="57" t="s">
        <v>145</v>
      </c>
      <c r="E205" s="31"/>
      <c r="F205" s="50"/>
      <c r="H205" s="31"/>
      <c r="I205" s="40"/>
      <c r="J205" s="31"/>
    </row>
    <row r="206" spans="3:10" ht="19.5" hidden="1" outlineLevel="1">
      <c r="E206" s="78" t="s">
        <v>170</v>
      </c>
      <c r="F206" s="52">
        <f>F196*F202*F204</f>
        <v>1.53</v>
      </c>
      <c r="H206" s="31" t="str">
        <f>[3]!EQS(F206,"Units= ; EqnPrefix=Valem  ; EqnNo= 0; Multiplication= 1; ShowWorking= 0; EqnStyle= 2; Eqp$H$119_2")</f>
        <v/>
      </c>
      <c r="I206" s="40" t="s">
        <v>280</v>
      </c>
      <c r="J206" s="31"/>
    </row>
    <row r="207" spans="3:10" hidden="1" outlineLevel="1">
      <c r="E207" s="31"/>
      <c r="F207" s="50"/>
      <c r="H207" s="31" t="str">
        <f>[3]!EQS(F206,"Units= ; EqnPrefix=Valem  ; EqnNo= 0; Multiplication= 1; ShowWorking= 1; EqnStyle= 2; Eqp$H$119_$H$120_3")</f>
        <v/>
      </c>
      <c r="I207" s="40" t="s">
        <v>169</v>
      </c>
      <c r="J207" s="31"/>
    </row>
    <row r="208" spans="3:10" hidden="1" outlineLevel="1">
      <c r="C208" s="57" t="s">
        <v>146</v>
      </c>
      <c r="E208" s="31"/>
      <c r="F208" s="50"/>
      <c r="H208" s="31"/>
      <c r="I208" s="40"/>
      <c r="J208" s="31"/>
    </row>
    <row r="209" spans="2:10" ht="19.5" hidden="1" outlineLevel="1">
      <c r="C209" s="57"/>
      <c r="E209" s="78" t="s">
        <v>171</v>
      </c>
      <c r="F209" s="52">
        <f>F196*F202*F204</f>
        <v>1.53</v>
      </c>
      <c r="H209" s="31" t="str">
        <f>[3]!EQS(F209,"Units= ; EqnPrefix=Valem  ; EqnNo= 0; Multiplication= 1; ShowWorking= 0; EqnStyle= 2; Eqp$H$119_2")</f>
        <v/>
      </c>
      <c r="I209" s="40" t="s">
        <v>280</v>
      </c>
      <c r="J209" s="31"/>
    </row>
    <row r="210" spans="2:10" hidden="1" outlineLevel="1">
      <c r="E210" s="31"/>
      <c r="F210" s="50"/>
      <c r="H210" s="31" t="str">
        <f>[3]!EQS(F209,"Units= ; EqnPrefix=Valem  ; EqnNo= 0; Multiplication= 1; ShowWorking= 1; EqnStyle= 2; Eqp$H$119_$H$120_3")</f>
        <v/>
      </c>
      <c r="I210" s="40" t="s">
        <v>169</v>
      </c>
      <c r="J210" s="31"/>
    </row>
    <row r="211" spans="2:10" hidden="1" outlineLevel="1">
      <c r="C211" s="57" t="s">
        <v>134</v>
      </c>
      <c r="E211" s="31"/>
      <c r="F211" s="31"/>
      <c r="H211" s="31"/>
      <c r="I211" s="40"/>
      <c r="J211" s="31"/>
    </row>
    <row r="212" spans="2:10" ht="19.5" hidden="1" outlineLevel="1">
      <c r="E212" s="79" t="s">
        <v>155</v>
      </c>
      <c r="F212" s="77">
        <f>COS(RADIANS(45))^2</f>
        <v>0.50000000000000011</v>
      </c>
      <c r="H212" s="31" t="str">
        <f>[3]!EQS(F212,"Units= ; EqnPrefix=Valem  ; EqnNo= 0; Multiplication= 1; ShowWorking= 0; EqnStyle= 2; Eqp$H$75_2")</f>
        <v/>
      </c>
      <c r="I212" s="40" t="s">
        <v>264</v>
      </c>
      <c r="J212" s="31"/>
    </row>
    <row r="213" spans="2:10" hidden="1" outlineLevel="1">
      <c r="C213" s="57" t="s">
        <v>151</v>
      </c>
      <c r="E213" s="55"/>
      <c r="F213" s="53"/>
      <c r="H213" s="31"/>
      <c r="I213" s="40"/>
      <c r="J213" s="31"/>
    </row>
    <row r="214" spans="2:10" ht="19.5" hidden="1" outlineLevel="1">
      <c r="E214" s="79" t="s">
        <v>156</v>
      </c>
      <c r="F214" s="77">
        <f>COS(RADIANS(45))^2</f>
        <v>0.50000000000000011</v>
      </c>
      <c r="H214" s="31" t="str">
        <f>[3]!EQS(F214,"Units= ; EqnPrefix=Valem  ; EqnNo= 0; Multiplication= 1; ShowWorking= 0; EqnStyle= 2; Eqp$H$75_2")</f>
        <v/>
      </c>
      <c r="I214" s="40" t="s">
        <v>264</v>
      </c>
      <c r="J214" s="31"/>
    </row>
    <row r="215" spans="2:10">
      <c r="C215" s="57" t="s">
        <v>173</v>
      </c>
    </row>
    <row r="216" spans="2:10" ht="19.5">
      <c r="E216" s="78" t="s">
        <v>152</v>
      </c>
      <c r="F216" s="46">
        <f>F187*F190*F193*F206*F175*F212</f>
        <v>103.98114301523243</v>
      </c>
      <c r="G216" s="61" t="s">
        <v>86</v>
      </c>
      <c r="H216" s="31" t="str">
        <f>[3]!EQS(F216,"Units= ; EqnPrefix=Valem  ; EqnNo= 0; Multiplication= 1; ShowWorking= 0; EqnStyle= 2; Eqp$G$39_0")</f>
        <v/>
      </c>
      <c r="I216" s="30" t="s">
        <v>281</v>
      </c>
    </row>
    <row r="217" spans="2:10">
      <c r="H217" s="23" t="str">
        <f>[3]!EQS(F216,"Units= ; EqnPrefix=Valem  ; EqnNo= 0; Multiplication= 1; ShowWorking= 1; EqnStyle= 2; Eqp$G$39_$G$40_1")</f>
        <v/>
      </c>
      <c r="I217" s="30" t="s">
        <v>282</v>
      </c>
    </row>
    <row r="218" spans="2:10">
      <c r="C218" s="57" t="s">
        <v>174</v>
      </c>
    </row>
    <row r="219" spans="2:10" ht="19.5">
      <c r="E219" s="78" t="s">
        <v>153</v>
      </c>
      <c r="F219" s="46">
        <f>F187*F190*F193*F209*F174*F214</f>
        <v>173.30190502538738</v>
      </c>
      <c r="G219" s="62" t="s">
        <v>86</v>
      </c>
      <c r="H219" s="31" t="str">
        <f>[3]!EQS(F219,"Units= ; EqnPrefix=Valem  ; EqnNo= 0; Multiplication= 1; ShowWorking= 0; EqnStyle= 2; Eqp$G$39_0")</f>
        <v/>
      </c>
      <c r="I219" s="30" t="s">
        <v>283</v>
      </c>
    </row>
    <row r="220" spans="2:10">
      <c r="H220" s="23" t="str">
        <f>[3]!EQS(F219,"Units= ; EqnPrefix=Valem  ; EqnNo= 0; Multiplication= 1; ShowWorking= 1; EqnStyle= 2; Eqp$G$39_$G$40_1")</f>
        <v/>
      </c>
      <c r="I220" s="30" t="s">
        <v>284</v>
      </c>
    </row>
    <row r="222" spans="2:10" collapsed="1">
      <c r="B222" s="73" t="s">
        <v>183</v>
      </c>
      <c r="C222" s="36"/>
      <c r="D222" s="36"/>
      <c r="E222" s="29"/>
    </row>
    <row r="223" spans="2:10" hidden="1" outlineLevel="1">
      <c r="C223" s="57" t="s">
        <v>176</v>
      </c>
      <c r="E223" s="24"/>
    </row>
    <row r="224" spans="2:10" hidden="1" outlineLevel="1">
      <c r="C224" s="57" t="s">
        <v>177</v>
      </c>
    </row>
    <row r="225" spans="3:10" hidden="1" outlineLevel="1"/>
    <row r="226" spans="3:10" hidden="1" outlineLevel="1">
      <c r="C226" s="64" t="s">
        <v>181</v>
      </c>
    </row>
    <row r="227" spans="3:10" hidden="1" outlineLevel="1"/>
    <row r="228" spans="3:10" hidden="1" outlineLevel="1">
      <c r="C228" s="65" t="s">
        <v>182</v>
      </c>
      <c r="E228" s="24"/>
    </row>
    <row r="229" spans="3:10" hidden="1" outlineLevel="1">
      <c r="E229" s="78" t="s">
        <v>242</v>
      </c>
      <c r="F229" s="33">
        <v>36</v>
      </c>
      <c r="G229" s="59" t="s">
        <v>51</v>
      </c>
      <c r="I229" s="65" t="s">
        <v>184</v>
      </c>
    </row>
    <row r="230" spans="3:10" hidden="1" outlineLevel="1">
      <c r="E230" s="78" t="s">
        <v>243</v>
      </c>
      <c r="F230" s="33">
        <v>2.01E-2</v>
      </c>
      <c r="G230" s="59" t="s">
        <v>51</v>
      </c>
      <c r="I230" s="65" t="s">
        <v>185</v>
      </c>
    </row>
    <row r="231" spans="3:10" hidden="1" outlineLevel="1">
      <c r="E231" s="78" t="s">
        <v>249</v>
      </c>
      <c r="F231" s="33">
        <v>40.590000000000003</v>
      </c>
      <c r="G231" s="67" t="s">
        <v>51</v>
      </c>
      <c r="I231" s="65" t="s">
        <v>198</v>
      </c>
    </row>
    <row r="232" spans="3:10" hidden="1" outlineLevel="1">
      <c r="C232" s="38" t="s">
        <v>82</v>
      </c>
      <c r="D232" s="38"/>
      <c r="E232" s="28"/>
      <c r="F232" s="27"/>
      <c r="G232" s="59"/>
      <c r="I232" s="32"/>
    </row>
    <row r="233" spans="3:10" ht="19.5" hidden="1" outlineLevel="1">
      <c r="E233" s="78" t="s">
        <v>97</v>
      </c>
      <c r="F233" s="45">
        <f>F230*F231</f>
        <v>0.81585900000000011</v>
      </c>
      <c r="G233" s="61" t="s">
        <v>81</v>
      </c>
      <c r="H233" s="31" t="str">
        <f>[3]!EQS(F233,"Units= ; EqnPrefix=Valem  ; EqnNo= 0; Multiplication= 1; ShowWorking= 1; EqnStyle=2; Eqp$G$17_0")</f>
        <v/>
      </c>
      <c r="I233" s="30" t="s">
        <v>186</v>
      </c>
    </row>
    <row r="234" spans="3:10" hidden="1" outlineLevel="1">
      <c r="C234" s="35" t="s">
        <v>65</v>
      </c>
      <c r="F234" s="27"/>
      <c r="G234" s="59"/>
      <c r="I234" s="32"/>
    </row>
    <row r="235" spans="3:10" ht="19.5" hidden="1" outlineLevel="1">
      <c r="E235" s="78" t="s">
        <v>57</v>
      </c>
      <c r="F235" s="42">
        <f>$F$6*LN(F229/$F$7)*$F$3</f>
        <v>26.251212335920307</v>
      </c>
      <c r="G235" s="59" t="s">
        <v>43</v>
      </c>
      <c r="H235" s="31" t="str">
        <f>[3]!EQS(F235,"Units= ; EqnPrefix=Valem  ; EqnNo= 0; Multiplication= 1; ShowWorking= 0; EqnStyle= 2; Eqp$H$21_2")</f>
        <v/>
      </c>
      <c r="I235" s="40" t="s">
        <v>250</v>
      </c>
      <c r="J235" s="31"/>
    </row>
    <row r="236" spans="3:10" hidden="1" outlineLevel="1">
      <c r="E236" s="28"/>
      <c r="F236" s="42"/>
      <c r="G236" s="59"/>
      <c r="H236" s="31" t="str">
        <f>[3]!EQS(F235,"Units= ; EqnPrefix=Valem  ; EqnNo= 0; Multiplication= 1; ShowWorking= 1; EqnStyle= 2; Eqp$H$21_$H$22_3")</f>
        <v/>
      </c>
      <c r="I236" s="40" t="s">
        <v>64</v>
      </c>
      <c r="J236" s="31"/>
    </row>
    <row r="237" spans="3:10" hidden="1" outlineLevel="1">
      <c r="C237" s="41" t="s">
        <v>77</v>
      </c>
      <c r="D237" s="41"/>
      <c r="F237" s="42"/>
      <c r="G237" s="59"/>
      <c r="H237" s="31"/>
      <c r="I237" s="40"/>
      <c r="J237" s="31"/>
    </row>
    <row r="238" spans="3:10" ht="19.5" hidden="1" outlineLevel="1">
      <c r="E238" s="78" t="s">
        <v>75</v>
      </c>
      <c r="F238" s="42">
        <f>1/2*$F$5*F235^2</f>
        <v>422.08976632716445</v>
      </c>
      <c r="G238" s="61" t="s">
        <v>76</v>
      </c>
      <c r="H238" s="31" t="str">
        <f>[3]!EQS(F238,"Units= ; EqnPrefix=Valem  ; EqnNo= 0; Multiplication= 1; ShowWorking= 0; EqnStyle= 2; Eqp$G$21_0")</f>
        <v/>
      </c>
      <c r="I238" s="40" t="s">
        <v>251</v>
      </c>
      <c r="J238" s="31"/>
    </row>
    <row r="239" spans="3:10" hidden="1" outlineLevel="1">
      <c r="E239" s="37"/>
      <c r="F239" s="42"/>
      <c r="G239" s="61"/>
      <c r="H239" s="31" t="str">
        <f>[3]!EQS(F238,"Units= ; EqnPrefix=Valem  ; EqnNo= 0; Multiplication= 1; ShowWorking= 1; EqnStyle= 2; Eqp$G$21_$G$25_1")</f>
        <v/>
      </c>
      <c r="I239" s="40" t="s">
        <v>252</v>
      </c>
      <c r="J239" s="31"/>
    </row>
    <row r="240" spans="3:10" hidden="1" outlineLevel="1">
      <c r="C240" s="35" t="s">
        <v>79</v>
      </c>
      <c r="E240" s="37"/>
      <c r="F240" s="42"/>
      <c r="G240" s="61"/>
      <c r="I240" s="40"/>
      <c r="J240" s="31"/>
    </row>
    <row r="241" spans="3:10" ht="19.5" hidden="1" outlineLevel="1">
      <c r="E241" s="78" t="s">
        <v>80</v>
      </c>
      <c r="F241" s="42">
        <f>(1+2.28/LN(F229/$F$7))^2</f>
        <v>1.8131807308313552</v>
      </c>
      <c r="G241" s="61"/>
      <c r="H241" s="31" t="str">
        <f>[3]!EQS(F241,"Units= ; EqnPrefix=Valem  ; EqnNo= 0; Multiplication= 1; ShowWorking= 0; EqnStyle= 2; Eqp$G$24_0")</f>
        <v/>
      </c>
      <c r="I241" s="40" t="s">
        <v>253</v>
      </c>
      <c r="J241" s="31"/>
    </row>
    <row r="242" spans="3:10" hidden="1" outlineLevel="1">
      <c r="E242" s="37"/>
      <c r="F242" s="42"/>
      <c r="G242" s="61"/>
      <c r="H242" s="31" t="str">
        <f>[3]!EQS(F241,"Units= ; EqnPrefix=Valem  ; EqnNo= 0; Multiplication= 1; ShowWorking= 1; EqnStyle= 2; Eqp$G$24_$G$28_1")</f>
        <v/>
      </c>
      <c r="I242" s="40" t="s">
        <v>254</v>
      </c>
      <c r="J242" s="31"/>
    </row>
    <row r="243" spans="3:10" hidden="1" outlineLevel="1">
      <c r="C243" s="23" t="s">
        <v>50</v>
      </c>
      <c r="D243" s="23"/>
      <c r="E243" s="37"/>
      <c r="F243" s="42"/>
      <c r="G243" s="61"/>
      <c r="J243" s="31"/>
    </row>
    <row r="244" spans="3:10" ht="19.5" hidden="1" outlineLevel="1">
      <c r="E244" s="28" t="s">
        <v>52</v>
      </c>
      <c r="F244" s="23">
        <v>1.1499999999999999</v>
      </c>
      <c r="J244" s="31"/>
    </row>
    <row r="245" spans="3:10" ht="19.5" hidden="1" outlineLevel="1">
      <c r="C245" s="69" t="s">
        <v>187</v>
      </c>
      <c r="D245" s="39"/>
      <c r="E245" s="24"/>
      <c r="F245" s="43"/>
      <c r="H245" s="31"/>
      <c r="I245" s="31"/>
      <c r="J245" s="31"/>
    </row>
    <row r="246" spans="3:10" hidden="1" outlineLevel="1">
      <c r="E246" s="78" t="s">
        <v>244</v>
      </c>
      <c r="F246" s="31">
        <f>15*10^-6</f>
        <v>1.4999999999999999E-5</v>
      </c>
      <c r="G246" s="61" t="s">
        <v>66</v>
      </c>
      <c r="H246" s="31"/>
      <c r="I246" s="41" t="s">
        <v>67</v>
      </c>
      <c r="J246" s="31"/>
    </row>
    <row r="247" spans="3:10" hidden="1" outlineLevel="1">
      <c r="E247" s="78" t="s">
        <v>245</v>
      </c>
      <c r="F247" s="31">
        <f>F230</f>
        <v>2.01E-2</v>
      </c>
      <c r="G247" s="61" t="s">
        <v>51</v>
      </c>
      <c r="H247" s="31"/>
      <c r="I247" s="41" t="s">
        <v>68</v>
      </c>
      <c r="J247" s="31"/>
    </row>
    <row r="248" spans="3:10" hidden="1" outlineLevel="1">
      <c r="C248" s="23"/>
      <c r="D248" s="41" t="s">
        <v>73</v>
      </c>
      <c r="E248" s="37"/>
      <c r="F248" s="31"/>
      <c r="G248" s="61"/>
      <c r="H248" s="31"/>
      <c r="I248" s="41"/>
      <c r="J248" s="31"/>
    </row>
    <row r="249" spans="3:10" hidden="1" outlineLevel="1">
      <c r="C249" s="23"/>
      <c r="E249" s="37" t="s">
        <v>69</v>
      </c>
      <c r="F249" s="44">
        <f>F247*F235/F246</f>
        <v>35176.624530133209</v>
      </c>
      <c r="H249" s="31" t="str">
        <f>[3]!EQS(F249,"Units= ; EqnPrefix=Valem  ; EqnNo= 0; Multiplication= 1; ShowWorking= 1; EqnStyle= 2; Eqp$G$27_0")</f>
        <v/>
      </c>
      <c r="I249" s="30" t="s">
        <v>207</v>
      </c>
      <c r="J249" s="31"/>
    </row>
    <row r="250" spans="3:10" hidden="1" outlineLevel="1">
      <c r="C250" s="23"/>
      <c r="D250" s="64" t="s">
        <v>188</v>
      </c>
      <c r="E250" s="37"/>
      <c r="F250" s="44"/>
      <c r="H250" s="31"/>
      <c r="I250" s="41"/>
      <c r="J250" s="31"/>
    </row>
    <row r="251" spans="3:10" ht="19.5" hidden="1" outlineLevel="1">
      <c r="C251" s="23"/>
      <c r="D251" s="41"/>
      <c r="E251" s="78" t="s">
        <v>189</v>
      </c>
      <c r="F251" s="42">
        <v>1.2</v>
      </c>
      <c r="H251" s="31"/>
      <c r="I251" s="41"/>
      <c r="J251" s="31"/>
    </row>
    <row r="252" spans="3:10" hidden="1" outlineLevel="1">
      <c r="C252" s="64" t="s">
        <v>190</v>
      </c>
      <c r="E252" s="31"/>
      <c r="F252" s="31"/>
      <c r="H252" s="31"/>
      <c r="I252" s="40"/>
      <c r="J252" s="31"/>
    </row>
    <row r="253" spans="3:10" ht="19.5" hidden="1" outlineLevel="1">
      <c r="E253" s="79" t="s">
        <v>196</v>
      </c>
      <c r="F253" s="53">
        <f>COS(RADIANS(0))^2</f>
        <v>1</v>
      </c>
      <c r="H253" s="31" t="str">
        <f>[3]!EQS(F253,"Units= ; EqnPrefix=Valem  ; EqnNo= 0; Multiplication= 1; ShowWorking= 0; EqnStyle= 2; Eqp$H$75_2")</f>
        <v/>
      </c>
      <c r="I253" s="40" t="s">
        <v>300</v>
      </c>
      <c r="J253" s="31"/>
    </row>
    <row r="254" spans="3:10" hidden="1" outlineLevel="1">
      <c r="C254" s="64" t="s">
        <v>191</v>
      </c>
      <c r="E254" s="55"/>
      <c r="F254" s="53"/>
      <c r="H254" s="31"/>
      <c r="I254" s="40"/>
      <c r="J254" s="31"/>
    </row>
    <row r="255" spans="3:10" ht="19.5" hidden="1" outlineLevel="1">
      <c r="E255" s="79" t="s">
        <v>197</v>
      </c>
      <c r="F255" s="53">
        <f>COS(RADIANS(90))^2</f>
        <v>3.7524718414124473E-33</v>
      </c>
      <c r="H255" s="31" t="str">
        <f>[3]!EQS(F255,"Units= ; EqnPrefix=Valem  ; EqnNo= 0; Multiplication= 1; ShowWorking= 0; EqnStyle= 2; Eqp$H$75_2")</f>
        <v/>
      </c>
      <c r="I255" s="40" t="s">
        <v>298</v>
      </c>
      <c r="J255" s="31"/>
    </row>
    <row r="256" spans="3:10">
      <c r="C256" s="64" t="s">
        <v>192</v>
      </c>
    </row>
    <row r="257" spans="2:9" ht="19.5">
      <c r="E257" s="79" t="s">
        <v>199</v>
      </c>
      <c r="F257" s="46">
        <f>F238*F241*F244*F251*F230*F253</f>
        <v>21.228585709476462</v>
      </c>
      <c r="G257" s="61" t="s">
        <v>86</v>
      </c>
      <c r="H257" s="31" t="str">
        <f>[3]!EQS(F257,"Units= ; EqnPrefix=Valem  ; EqnNo= 0; Multiplication= 1; ShowWorking= 0; EqnStyle= 2; Eqp$G$39_0")</f>
        <v/>
      </c>
      <c r="I257" s="30" t="s">
        <v>285</v>
      </c>
    </row>
    <row r="258" spans="2:9">
      <c r="H258" s="23" t="str">
        <f>[3]!EQS(F257,"Units= ; EqnPrefix=Valem  ; EqnNo= 0; Multiplication= 1; ShowWorking= 1; EqnStyle= 2; Eqp$G$39_$G$40_1")</f>
        <v/>
      </c>
      <c r="I258" s="30" t="s">
        <v>301</v>
      </c>
    </row>
    <row r="259" spans="2:9" ht="19.5">
      <c r="E259" s="79" t="s">
        <v>201</v>
      </c>
      <c r="F259" s="70">
        <f>COS(RADIANS(45))*F257</f>
        <v>15.010876910170644</v>
      </c>
      <c r="G259" s="61" t="s">
        <v>86</v>
      </c>
      <c r="H259" s="31" t="str">
        <f>[3]!EQS(F259,"Units= ; EqnPrefix=Valem  ; EqnNo= 0; Multiplication= 1; ShowWorking= 0; EqnStyle= 2; Eqp$H$259_2")</f>
        <v/>
      </c>
      <c r="I259" s="30" t="s">
        <v>286</v>
      </c>
    </row>
    <row r="260" spans="2:9" ht="19.5">
      <c r="E260" s="79" t="s">
        <v>202</v>
      </c>
      <c r="F260" s="68" t="s">
        <v>203</v>
      </c>
      <c r="I260" s="30"/>
    </row>
    <row r="261" spans="2:9">
      <c r="C261" s="64" t="s">
        <v>193</v>
      </c>
    </row>
    <row r="262" spans="2:9" ht="19.5">
      <c r="E262" s="78" t="s">
        <v>200</v>
      </c>
      <c r="F262" s="46">
        <f>F238*F241*F244*F251*F230*F255</f>
        <v>7.9659670107821104E-32</v>
      </c>
      <c r="G262" s="61" t="s">
        <v>86</v>
      </c>
      <c r="H262" s="31" t="str">
        <f>[3]!EQS(F262,"Units= ; EqnPrefix=Valem  ; EqnNo= 0; Multiplication= 1; ShowWorking= 0; EqnStyle= 2; Eqp$G$39_0")</f>
        <v/>
      </c>
      <c r="I262" s="30" t="s">
        <v>287</v>
      </c>
    </row>
    <row r="263" spans="2:9">
      <c r="H263" s="23" t="str">
        <f>[3]!EQS(F262,"Units= ; EqnPrefix=Valem  ; EqnNo= 0; Multiplication= 1; ShowWorking= 1; EqnStyle= 2; Eqp$G$39_$G$40_1")</f>
        <v/>
      </c>
      <c r="I263" s="30" t="s">
        <v>299</v>
      </c>
    </row>
    <row r="264" spans="2:9" ht="19.5">
      <c r="E264" s="79" t="s">
        <v>204</v>
      </c>
      <c r="F264" s="70">
        <f>COS(RADIANS(45))*F262</f>
        <v>5.6327892920323625E-32</v>
      </c>
      <c r="G264" s="61" t="s">
        <v>86</v>
      </c>
      <c r="H264" s="31" t="str">
        <f>[3]!EQS(F264,"Units= ; EqnPrefix=Valem  ; EqnNo= 0; Multiplication= 1; ShowWorking= 0; EqnStyle= 2; Eqp$H$264_2")</f>
        <v/>
      </c>
      <c r="I264" s="30" t="s">
        <v>288</v>
      </c>
    </row>
    <row r="265" spans="2:9" ht="19.5">
      <c r="E265" s="79" t="s">
        <v>205</v>
      </c>
      <c r="F265" s="68" t="s">
        <v>206</v>
      </c>
      <c r="I265" s="30"/>
    </row>
    <row r="269" spans="2:9">
      <c r="B269" s="71" t="s">
        <v>311</v>
      </c>
      <c r="C269" s="64"/>
    </row>
    <row r="270" spans="2:9">
      <c r="C270" s="64" t="s">
        <v>218</v>
      </c>
    </row>
    <row r="271" spans="2:9" ht="19.5">
      <c r="E271" s="78" t="s">
        <v>209</v>
      </c>
      <c r="F271" s="70">
        <f>2047.07103484027/360</f>
        <v>5.6863084301118612</v>
      </c>
      <c r="G271" s="67" t="s">
        <v>86</v>
      </c>
    </row>
    <row r="273" spans="2:9">
      <c r="C273" s="64" t="s">
        <v>210</v>
      </c>
    </row>
    <row r="274" spans="2:9" ht="19.5">
      <c r="E274" s="78" t="s">
        <v>211</v>
      </c>
      <c r="F274" s="70">
        <f>COS(RADIANS(41))</f>
        <v>0.75470958022277201</v>
      </c>
      <c r="H274" s="31" t="str">
        <f>[3]!EQS(F274,"Units= ; EqnPrefix=Valem  ; EqnNo= 0; Multiplication= 1; ShowWorking= 0; EqnStyle= 2; Eqp$H$274_2")</f>
        <v/>
      </c>
      <c r="I274" s="30" t="s">
        <v>302</v>
      </c>
    </row>
    <row r="275" spans="2:9">
      <c r="C275" s="64" t="s">
        <v>219</v>
      </c>
    </row>
    <row r="276" spans="2:9" ht="19.5">
      <c r="E276" s="78" t="s">
        <v>213</v>
      </c>
      <c r="F276" s="46">
        <f>F271*F274</f>
        <v>4.2915114483069328</v>
      </c>
      <c r="G276" s="67" t="s">
        <v>86</v>
      </c>
      <c r="H276" s="31" t="str">
        <f>[3]!EQS(F276,"Units= ; EqnPrefix=Valem  ; EqnNo= 0; Multiplication= 1; ShowWorking= 0; EqnStyle= 2; Eqp$H$276_2")</f>
        <v/>
      </c>
      <c r="I276" s="30" t="s">
        <v>289</v>
      </c>
    </row>
    <row r="277" spans="2:9">
      <c r="D277" s="64" t="s">
        <v>225</v>
      </c>
      <c r="F277" s="70"/>
      <c r="G277" s="67"/>
      <c r="H277" s="31"/>
      <c r="I277" s="30"/>
    </row>
    <row r="278" spans="2:9" ht="19.5">
      <c r="E278" s="78" t="s">
        <v>221</v>
      </c>
      <c r="F278" s="70">
        <f>COS(RADIANS(4))*F276</f>
        <v>4.2810575421094681</v>
      </c>
      <c r="G278" s="67" t="s">
        <v>86</v>
      </c>
      <c r="H278" s="31" t="str">
        <f>[3]!EQS(F278,"Units= ; EqnPrefix=Valem  ; EqnNo= 0; Multiplication= 1; ShowWorking= 0; EqnStyle= 2; Eqp$H$277_2")</f>
        <v/>
      </c>
      <c r="I278" s="30" t="s">
        <v>290</v>
      </c>
    </row>
    <row r="279" spans="2:9" ht="19.5">
      <c r="E279" s="78" t="s">
        <v>222</v>
      </c>
      <c r="F279" s="70">
        <f>SIN(RADIANS(4))*F276</f>
        <v>0.29936070566643569</v>
      </c>
      <c r="G279" s="67" t="s">
        <v>86</v>
      </c>
      <c r="H279" s="31" t="str">
        <f>[3]!EQS(F279,"Units= ; EqnPrefix=Valem  ; EqnNo= 0; Multiplication= 1; ShowWorking= 0; EqnStyle=2; Eqp$H$278_2")</f>
        <v/>
      </c>
      <c r="I279" s="30" t="s">
        <v>291</v>
      </c>
    </row>
    <row r="280" spans="2:9">
      <c r="C280" s="64" t="s">
        <v>214</v>
      </c>
    </row>
    <row r="281" spans="2:9" ht="19.5">
      <c r="E281" s="78" t="s">
        <v>304</v>
      </c>
      <c r="F281" s="70">
        <f>COS(RADIANS(49))</f>
        <v>0.65605902899050728</v>
      </c>
      <c r="H281" s="31" t="str">
        <f>[3]!EQS(F281,"Units= ; EqnPrefix=Valem  ; EqnNo= 0; Multiplication= 1; ShowWorking= 0; EqnStyle= 2; Eqp$H$278_2")</f>
        <v/>
      </c>
      <c r="I281" s="30" t="s">
        <v>303</v>
      </c>
    </row>
    <row r="282" spans="2:9">
      <c r="C282" s="64" t="s">
        <v>220</v>
      </c>
    </row>
    <row r="283" spans="2:9" ht="19.5">
      <c r="E283" s="78" t="s">
        <v>216</v>
      </c>
      <c r="F283" s="46">
        <f>F271*F281</f>
        <v>3.7305539871997233</v>
      </c>
      <c r="G283" s="67" t="s">
        <v>86</v>
      </c>
      <c r="H283" s="31" t="str">
        <f>[3]!EQS(F283,"Units= ; EqnPrefix=Valem  ; EqnNo= 0; Multiplication= 1; ShowWorking= 0; EqnStyle= 2; Eqp$H$276_2")</f>
        <v/>
      </c>
      <c r="I283" s="30" t="s">
        <v>305</v>
      </c>
    </row>
    <row r="284" spans="2:9">
      <c r="D284" s="64" t="s">
        <v>225</v>
      </c>
      <c r="E284" s="66"/>
      <c r="F284" s="70"/>
      <c r="G284" s="67"/>
      <c r="H284" s="31"/>
      <c r="I284" s="30"/>
    </row>
    <row r="285" spans="2:9" ht="19.5">
      <c r="E285" s="78" t="s">
        <v>221</v>
      </c>
      <c r="F285" s="70">
        <f>COS(RADIANS(4))*F283</f>
        <v>3.7214665451838922</v>
      </c>
      <c r="G285" s="67" t="s">
        <v>86</v>
      </c>
      <c r="H285" s="31" t="str">
        <f>[3]!EQS(F285,"Units= ; EqnPrefix=Valem  ; EqnNo= 0; Multiplication= 1; ShowWorking= 0; EqnStyle= 2; Eqp$H$277_2")</f>
        <v/>
      </c>
      <c r="I285" s="30" t="s">
        <v>292</v>
      </c>
    </row>
    <row r="286" spans="2:9" ht="19.5">
      <c r="E286" s="78" t="s">
        <v>222</v>
      </c>
      <c r="F286" s="70">
        <f>SIN(RADIANS(4))*F283</f>
        <v>0.26023029125913943</v>
      </c>
      <c r="G286" s="67" t="s">
        <v>86</v>
      </c>
      <c r="H286" s="31" t="str">
        <f>[3]!EQS(F286,"Units= ; EqnPrefix=Valem  ; EqnNo= 0; Multiplication= 1; ShowWorking= 0; EqnStyle=2; Eqp$H$278_2")</f>
        <v/>
      </c>
      <c r="I286" s="30" t="s">
        <v>293</v>
      </c>
    </row>
    <row r="287" spans="2:9">
      <c r="E287" s="66"/>
      <c r="F287" s="70"/>
      <c r="G287" s="67"/>
      <c r="H287" s="31"/>
      <c r="I287" s="30"/>
    </row>
    <row r="288" spans="2:9">
      <c r="B288" s="71" t="s">
        <v>226</v>
      </c>
      <c r="E288" s="66"/>
      <c r="F288" s="70"/>
      <c r="G288" s="67"/>
      <c r="H288" s="31"/>
      <c r="I288" s="30"/>
    </row>
    <row r="289" spans="2:9">
      <c r="D289" s="64" t="s">
        <v>208</v>
      </c>
      <c r="E289" s="66"/>
      <c r="F289" s="70"/>
      <c r="G289" s="67"/>
      <c r="H289" s="31"/>
      <c r="I289" s="30"/>
    </row>
    <row r="290" spans="2:9" ht="19.5">
      <c r="E290" s="80" t="s">
        <v>227</v>
      </c>
      <c r="F290" s="46">
        <v>71</v>
      </c>
      <c r="G290" s="67" t="s">
        <v>154</v>
      </c>
      <c r="H290" s="31"/>
      <c r="I290" s="30"/>
    </row>
    <row r="291" spans="2:9">
      <c r="D291" s="64" t="s">
        <v>225</v>
      </c>
      <c r="E291" s="66"/>
      <c r="F291" s="70"/>
      <c r="G291" s="67"/>
      <c r="H291" s="31"/>
      <c r="I291" s="30"/>
    </row>
    <row r="292" spans="2:9" ht="19.5">
      <c r="E292" s="78" t="s">
        <v>221</v>
      </c>
      <c r="F292" s="70">
        <f>COS(RADIANS(45))*F290</f>
        <v>50.204581464244875</v>
      </c>
      <c r="G292" s="67" t="s">
        <v>154</v>
      </c>
      <c r="H292" s="31" t="str">
        <f>[3]!EQS(F292,"Units= ; EqnPrefix=Valem  ; EqnNo= 0; Multiplication= 1; ShowWorking= 0; EqnStyle= 2; Eqp$H$277_2")</f>
        <v/>
      </c>
      <c r="I292" s="30" t="s">
        <v>306</v>
      </c>
    </row>
    <row r="293" spans="2:9" ht="19.5">
      <c r="E293" s="78" t="s">
        <v>222</v>
      </c>
      <c r="F293" s="70">
        <f>SIN(RADIANS(45))*F290</f>
        <v>50.204581464244868</v>
      </c>
      <c r="G293" s="67" t="s">
        <v>154</v>
      </c>
      <c r="H293" s="31" t="str">
        <f>[3]!EQS(F293,"Units= ; EqnPrefix=Valem  ; EqnNo= 0; Multiplication= 1; ShowWorking= 0; EqnStyle=2; Eqp$H$278_2")</f>
        <v/>
      </c>
      <c r="I293" s="30" t="s">
        <v>307</v>
      </c>
    </row>
    <row r="294" spans="2:9">
      <c r="E294" s="66"/>
      <c r="F294" s="70"/>
      <c r="G294" s="67"/>
      <c r="H294" s="31"/>
      <c r="I294" s="30"/>
    </row>
    <row r="295" spans="2:9">
      <c r="E295" s="66"/>
      <c r="F295" s="70"/>
      <c r="G295" s="67"/>
      <c r="H295" s="31"/>
      <c r="I295" s="30"/>
    </row>
    <row r="296" spans="2:9">
      <c r="B296" s="71" t="s">
        <v>310</v>
      </c>
    </row>
    <row r="297" spans="2:9">
      <c r="C297" s="64" t="s">
        <v>217</v>
      </c>
    </row>
    <row r="298" spans="2:9" ht="19.5">
      <c r="E298" s="78" t="s">
        <v>209</v>
      </c>
      <c r="F298" s="70">
        <f>4231/360</f>
        <v>11.752777777777778</v>
      </c>
      <c r="G298" s="67" t="s">
        <v>86</v>
      </c>
    </row>
    <row r="300" spans="2:9">
      <c r="C300" s="64" t="s">
        <v>210</v>
      </c>
    </row>
    <row r="301" spans="2:9" ht="19.5">
      <c r="E301" s="78" t="s">
        <v>211</v>
      </c>
      <c r="F301" s="23">
        <f>COS(RADIANS(41))</f>
        <v>0.75470958022277201</v>
      </c>
      <c r="H301" s="31" t="str">
        <f>[3]!EQS(F301,"Units= ; EqnPrefix=Valem  ; EqnNo= 0; Multiplication= 1; ShowWorking= 0; EqnStyle= 2; Eqp$H$274_2")</f>
        <v/>
      </c>
      <c r="I301" s="30" t="s">
        <v>302</v>
      </c>
    </row>
    <row r="302" spans="2:9">
      <c r="C302" s="64" t="s">
        <v>212</v>
      </c>
    </row>
    <row r="303" spans="2:9" ht="19.5">
      <c r="E303" s="78" t="s">
        <v>223</v>
      </c>
      <c r="F303" s="46">
        <f>F298*F301</f>
        <v>8.8699339831181909</v>
      </c>
      <c r="G303" s="67" t="s">
        <v>86</v>
      </c>
      <c r="H303" s="31" t="str">
        <f>[3]!EQS(F303,"Units= ; EqnPrefix=Valem  ; EqnNo= 0; Multiplication= 1; ShowWorking= 0; EqnStyle= 2; Eqp$H$276_2")</f>
        <v/>
      </c>
      <c r="I303" s="30" t="s">
        <v>289</v>
      </c>
    </row>
    <row r="304" spans="2:9">
      <c r="D304" s="64" t="s">
        <v>225</v>
      </c>
      <c r="E304" s="66"/>
      <c r="F304" s="70"/>
      <c r="G304" s="67"/>
      <c r="H304" s="31"/>
      <c r="I304" s="30"/>
    </row>
    <row r="305" spans="2:9" ht="19.5">
      <c r="E305" s="78" t="s">
        <v>221</v>
      </c>
      <c r="F305" s="70">
        <f>COS(RADIANS(4))*F303</f>
        <v>8.8483272697366377</v>
      </c>
      <c r="G305" s="67" t="s">
        <v>86</v>
      </c>
      <c r="H305" s="31" t="str">
        <f>[3]!EQS(F305,"Units= ; EqnPrefix=Valem  ; EqnNo= 0; Multiplication= 1; ShowWorking= 0; EqnStyle= 2; Eqp$H$277_2")</f>
        <v/>
      </c>
      <c r="I305" s="30" t="s">
        <v>294</v>
      </c>
    </row>
    <row r="306" spans="2:9" ht="19.5">
      <c r="E306" s="78" t="s">
        <v>222</v>
      </c>
      <c r="F306" s="70">
        <f>SIN(RADIANS(4))*F303</f>
        <v>0.61873531700550888</v>
      </c>
      <c r="G306" s="67" t="s">
        <v>86</v>
      </c>
      <c r="H306" s="31" t="str">
        <f>[3]!EQS(F306,"Units= ; EqnPrefix=Valem  ; EqnNo= 0; Multiplication= 1; ShowWorking= 0; EqnStyle=2; Eqp$H$278_2")</f>
        <v/>
      </c>
      <c r="I306" s="30" t="s">
        <v>295</v>
      </c>
    </row>
    <row r="307" spans="2:9">
      <c r="C307" s="64" t="s">
        <v>214</v>
      </c>
    </row>
    <row r="308" spans="2:9" ht="19.5">
      <c r="E308" s="78" t="s">
        <v>211</v>
      </c>
      <c r="F308" s="70">
        <f>COS(RADIANS(49))</f>
        <v>0.65605902899050728</v>
      </c>
      <c r="H308" s="31" t="str">
        <f>[3]!EQS(F308,"Units= ; EqnPrefix=Valem  ; EqnNo= 0; Multiplication= 1; ShowWorking= 0; EqnStyle= 2; Eqp$H$278_2")</f>
        <v/>
      </c>
      <c r="I308" s="30" t="s">
        <v>303</v>
      </c>
    </row>
    <row r="309" spans="2:9">
      <c r="C309" s="64" t="s">
        <v>215</v>
      </c>
    </row>
    <row r="310" spans="2:9" ht="19.5">
      <c r="E310" s="78" t="s">
        <v>224</v>
      </c>
      <c r="F310" s="46">
        <f>F298*F308</f>
        <v>7.7105159768301013</v>
      </c>
      <c r="G310" s="67" t="s">
        <v>86</v>
      </c>
      <c r="H310" s="31" t="str">
        <f>[3]!EQS(F310,"Units= ; EqnPrefix=Valem  ; EqnNo= 0; Multiplication= 1; ShowWorking= 0; EqnStyle= 2; Eqp$H$276_2")</f>
        <v/>
      </c>
      <c r="I310" s="30" t="s">
        <v>289</v>
      </c>
    </row>
    <row r="311" spans="2:9">
      <c r="D311" s="64" t="s">
        <v>225</v>
      </c>
      <c r="E311" s="66"/>
      <c r="F311" s="70"/>
      <c r="G311" s="67"/>
      <c r="H311" s="31"/>
      <c r="I311" s="30"/>
    </row>
    <row r="312" spans="2:9" ht="19.5">
      <c r="E312" s="78" t="s">
        <v>221</v>
      </c>
      <c r="F312" s="70">
        <f>COS(RADIANS(4))*F310</f>
        <v>7.6917335474397204</v>
      </c>
      <c r="G312" s="67" t="s">
        <v>86</v>
      </c>
      <c r="H312" s="31" t="str">
        <f>[3]!EQS(F312,"Units= ; EqnPrefix=Valem  ; EqnNo= 0; Multiplication= 1; ShowWorking= 0; EqnStyle= 2; Eqp$H$277_2")</f>
        <v/>
      </c>
      <c r="I312" s="30" t="s">
        <v>296</v>
      </c>
    </row>
    <row r="313" spans="2:9" ht="19.5">
      <c r="E313" s="78" t="s">
        <v>222</v>
      </c>
      <c r="F313" s="70">
        <f>SIN(RADIANS(4))*F310</f>
        <v>0.5378584052914076</v>
      </c>
      <c r="G313" s="67" t="s">
        <v>86</v>
      </c>
      <c r="H313" s="31" t="str">
        <f>[3]!EQS(F313,"Units= ; EqnPrefix=Valem  ; EqnNo= 0; Multiplication= 1; ShowWorking= 0; EqnStyle=2; Eqp$H$278_2")</f>
        <v/>
      </c>
      <c r="I313" s="30" t="s">
        <v>297</v>
      </c>
    </row>
    <row r="314" spans="2:9">
      <c r="E314" s="66"/>
      <c r="F314" s="70"/>
      <c r="G314" s="67"/>
      <c r="H314" s="31"/>
      <c r="I314" s="30"/>
    </row>
    <row r="315" spans="2:9">
      <c r="B315" s="71" t="s">
        <v>228</v>
      </c>
      <c r="E315" s="66"/>
      <c r="F315" s="70"/>
      <c r="G315" s="67"/>
      <c r="H315" s="31"/>
      <c r="I315" s="30"/>
    </row>
    <row r="316" spans="2:9">
      <c r="D316" s="64" t="s">
        <v>208</v>
      </c>
      <c r="E316" s="66"/>
      <c r="F316" s="70"/>
      <c r="G316" s="67"/>
      <c r="H316" s="31"/>
      <c r="I316" s="30"/>
    </row>
    <row r="317" spans="2:9" ht="19.5">
      <c r="E317" s="80" t="s">
        <v>229</v>
      </c>
      <c r="F317" s="46">
        <v>457.09998725859163</v>
      </c>
      <c r="G317" s="67" t="s">
        <v>154</v>
      </c>
      <c r="H317" s="31"/>
      <c r="I317" s="30"/>
    </row>
    <row r="318" spans="2:9">
      <c r="D318" s="64" t="s">
        <v>225</v>
      </c>
      <c r="E318" s="66"/>
      <c r="F318" s="70"/>
      <c r="G318" s="67"/>
      <c r="H318" s="31"/>
      <c r="I318" s="30"/>
    </row>
    <row r="319" spans="2:9" ht="19.5">
      <c r="E319" s="78" t="s">
        <v>221</v>
      </c>
      <c r="F319" s="70">
        <f>COS(RADIANS(45))*F317</f>
        <v>323.21850067083466</v>
      </c>
      <c r="G319" s="67" t="s">
        <v>154</v>
      </c>
      <c r="H319" s="31" t="str">
        <f>[3]!EQS(F319,"Units= ; EqnPrefix=Valem  ; EqnNo= 0; Multiplication= 1; ShowWorking= 0; EqnStyle= 2; Eqp$H$277_2")</f>
        <v/>
      </c>
      <c r="I319" s="30" t="s">
        <v>308</v>
      </c>
    </row>
    <row r="320" spans="2:9" ht="19.5">
      <c r="E320" s="78" t="s">
        <v>222</v>
      </c>
      <c r="F320" s="70">
        <f>SIN(RADIANS(45))*F317</f>
        <v>323.2185006708346</v>
      </c>
      <c r="G320" s="67" t="s">
        <v>154</v>
      </c>
      <c r="H320" s="31" t="str">
        <f>[3]!EQS(F320,"Units= ; EqnPrefix=Valem  ; EqnNo= 0; Multiplication= 1; ShowWorking= 0; EqnStyle=2; Eqp$H$278_2")</f>
        <v/>
      </c>
      <c r="I320" s="30" t="s">
        <v>309</v>
      </c>
    </row>
    <row r="321" spans="2:9">
      <c r="E321" s="66"/>
      <c r="F321" s="70"/>
      <c r="G321" s="67"/>
      <c r="H321" s="31"/>
      <c r="I321" s="30"/>
    </row>
    <row r="322" spans="2:9">
      <c r="B322" s="71" t="s">
        <v>180</v>
      </c>
    </row>
    <row r="323" spans="2:9">
      <c r="C323" s="64" t="s">
        <v>217</v>
      </c>
    </row>
    <row r="324" spans="2:9" ht="19.5">
      <c r="E324" s="78" t="s">
        <v>209</v>
      </c>
      <c r="F324" s="70">
        <f>888.8322/360</f>
        <v>2.4689783333333333</v>
      </c>
      <c r="G324" s="67" t="s">
        <v>86</v>
      </c>
    </row>
    <row r="326" spans="2:9">
      <c r="C326" s="64" t="s">
        <v>210</v>
      </c>
    </row>
    <row r="327" spans="2:9" ht="19.5">
      <c r="E327" s="78" t="s">
        <v>211</v>
      </c>
      <c r="F327" s="70">
        <f>COS(RADIANS(41))^2</f>
        <v>0.56958655048003271</v>
      </c>
      <c r="H327" s="31" t="str">
        <f>[3]!EQS(F327,"Units= ; EqnPrefix=Valem  ; EqnNo= 0; Multiplication= 1; ShowWorking= 0; EqnStyle= 2; Eqp$H$274_2")</f>
        <v/>
      </c>
      <c r="I327" s="30" t="s">
        <v>557</v>
      </c>
    </row>
    <row r="328" spans="2:9">
      <c r="C328" s="64" t="s">
        <v>212</v>
      </c>
    </row>
    <row r="329" spans="2:9" ht="19.5">
      <c r="E329" s="78" t="s">
        <v>223</v>
      </c>
      <c r="F329" s="46">
        <f>F324*F327</f>
        <v>1.4062968520932737</v>
      </c>
      <c r="G329" s="67" t="s">
        <v>86</v>
      </c>
      <c r="H329" s="31" t="str">
        <f>[3]!EQS(F329,"Units= ; EqnPrefix=Valem  ; EqnNo= 0; Multiplication= 1; ShowWorking= 0; EqnStyle= 2; Eqp$H$276_2")</f>
        <v/>
      </c>
      <c r="I329" s="30" t="s">
        <v>289</v>
      </c>
    </row>
    <row r="330" spans="2:9">
      <c r="D330" s="64" t="s">
        <v>225</v>
      </c>
      <c r="E330" s="66"/>
      <c r="F330" s="70"/>
      <c r="G330" s="67"/>
      <c r="H330" s="31"/>
      <c r="I330" s="30"/>
    </row>
    <row r="331" spans="2:9" ht="19.5">
      <c r="E331" s="78" t="s">
        <v>221</v>
      </c>
      <c r="F331" s="70">
        <f>COS(RADIANS(4))*F329</f>
        <v>1.4028711836418071</v>
      </c>
      <c r="G331" s="67" t="s">
        <v>86</v>
      </c>
      <c r="H331" s="31" t="str">
        <f>[3]!EQS(F331,"Units= ; EqnPrefix=Valem  ; EqnNo= 0; Multiplication= 1; ShowWorking= 0; EqnStyle= 2; Eqp$H$277_2")</f>
        <v/>
      </c>
      <c r="I331" s="30" t="s">
        <v>294</v>
      </c>
    </row>
    <row r="332" spans="2:9" ht="19.5">
      <c r="E332" s="78" t="s">
        <v>222</v>
      </c>
      <c r="F332" s="70">
        <f>SIN(RADIANS(4))*F329</f>
        <v>9.8098309439490508E-2</v>
      </c>
      <c r="G332" s="67" t="s">
        <v>86</v>
      </c>
      <c r="H332" s="31" t="str">
        <f>[3]!EQS(F332,"Units= ; EqnPrefix=Valem  ; EqnNo= 0; Multiplication= 1; ShowWorking= 0; EqnStyle=2; Eqp$H$278_2")</f>
        <v/>
      </c>
      <c r="I332" s="30" t="s">
        <v>295</v>
      </c>
    </row>
    <row r="333" spans="2:9">
      <c r="C333" s="64" t="s">
        <v>214</v>
      </c>
    </row>
    <row r="334" spans="2:9" ht="19.5">
      <c r="E334" s="114" t="s">
        <v>304</v>
      </c>
      <c r="F334" s="70">
        <f>COS(RADIANS(49))^2</f>
        <v>0.43041344951996724</v>
      </c>
      <c r="H334" s="31" t="str">
        <f>[3]!EQS(F334,"Units= ; EqnPrefix=Valem  ; EqnNo= 0; Multiplication= 1; ShowWorking= 0; EqnStyle= 2; Eqp$H$278_2")</f>
        <v/>
      </c>
      <c r="I334" s="30" t="s">
        <v>556</v>
      </c>
    </row>
    <row r="335" spans="2:9">
      <c r="C335" s="64" t="s">
        <v>215</v>
      </c>
    </row>
    <row r="336" spans="2:9" ht="19.5">
      <c r="E336" s="78" t="s">
        <v>224</v>
      </c>
      <c r="F336" s="46">
        <f>F324*F334</f>
        <v>1.0626814812400596</v>
      </c>
      <c r="G336" s="67" t="s">
        <v>86</v>
      </c>
      <c r="H336" s="31" t="str">
        <f>[3]!EQS(F336,"Units= ; EqnPrefix=Valem  ; EqnNo= 0; Multiplication= 1; ShowWorking= 0; EqnStyle= 2; Eqp$H$276_2")</f>
        <v/>
      </c>
      <c r="I336" s="30" t="s">
        <v>589</v>
      </c>
    </row>
    <row r="337" spans="4:9">
      <c r="D337" s="64" t="s">
        <v>225</v>
      </c>
      <c r="E337" s="66"/>
      <c r="F337" s="70"/>
      <c r="G337" s="67"/>
      <c r="H337" s="31"/>
      <c r="I337" s="30"/>
    </row>
    <row r="338" spans="4:9" ht="19.5">
      <c r="E338" s="78" t="s">
        <v>221</v>
      </c>
      <c r="F338" s="70">
        <f>COS(RADIANS(4))*F336</f>
        <v>1.0600928425619431</v>
      </c>
      <c r="G338" s="67" t="s">
        <v>86</v>
      </c>
      <c r="H338" s="31" t="str">
        <f>[3]!EQS(F338,"Units= ; EqnPrefix=Valem  ; EqnNo= 0; Multiplication= 1; ShowWorking= 0; EqnStyle= 2; Eqp$H$277_2")</f>
        <v/>
      </c>
      <c r="I338" s="30" t="s">
        <v>296</v>
      </c>
    </row>
    <row r="339" spans="4:9" ht="19.5">
      <c r="E339" s="78" t="s">
        <v>222</v>
      </c>
      <c r="F339" s="70">
        <f>SIN(RADIANS(4))*F336</f>
        <v>7.4128912844490399E-2</v>
      </c>
      <c r="G339" s="67" t="s">
        <v>86</v>
      </c>
      <c r="H339" s="31" t="str">
        <f>[3]!EQS(F339,"Units= ; EqnPrefix=Valem  ; EqnNo= 0; Multiplication= 1; ShowWorking= 0; EqnStyle=2; Eqp$H$278_2")</f>
        <v/>
      </c>
      <c r="I339" s="30" t="s">
        <v>297</v>
      </c>
    </row>
    <row r="340" spans="4:9">
      <c r="E340" s="66"/>
      <c r="F340" s="70"/>
      <c r="G340" s="67"/>
      <c r="H340" s="31"/>
      <c r="I340" s="30"/>
    </row>
  </sheetData>
  <mergeCells count="1">
    <mergeCell ref="A2:R2"/>
  </mergeCells>
  <pageMargins left="0.7" right="0.48958333333333331" top="0.75" bottom="0.75" header="0.3" footer="0.3"/>
  <pageSetup paperSize="9" orientation="portrait" horizontalDpi="300" verticalDpi="3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/>
  </sheetPr>
  <dimension ref="A2:R340"/>
  <sheetViews>
    <sheetView workbookViewId="0"/>
  </sheetViews>
  <sheetFormatPr defaultRowHeight="18" outlineLevelRow="1"/>
  <cols>
    <col min="1" max="1" width="1.375" style="71" customWidth="1"/>
    <col min="2" max="2" width="1.5" style="71" customWidth="1"/>
    <col min="3" max="4" width="1.5" style="35" customWidth="1"/>
    <col min="5" max="5" width="6.125" style="23" customWidth="1"/>
    <col min="6" max="6" width="8.5" style="23" customWidth="1"/>
    <col min="7" max="7" width="6.125" style="58" customWidth="1"/>
    <col min="8" max="8" width="0.875" style="23" customWidth="1"/>
    <col min="9" max="11" width="6.125" style="23" customWidth="1"/>
    <col min="12" max="20" width="6.25" style="23" customWidth="1"/>
    <col min="21" max="21" width="1.375" style="23" customWidth="1"/>
    <col min="22" max="22" width="6.25" style="23" customWidth="1"/>
    <col min="23" max="16384" width="9" style="23"/>
  </cols>
  <sheetData>
    <row r="2" spans="1:18" ht="31.5" customHeight="1">
      <c r="A2" s="264" t="s">
        <v>326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</row>
    <row r="3" spans="1:18" ht="19.5" outlineLevel="1">
      <c r="E3" s="24" t="s">
        <v>42</v>
      </c>
      <c r="F3" s="23">
        <v>21</v>
      </c>
      <c r="G3" s="58" t="s">
        <v>43</v>
      </c>
      <c r="I3" s="23" t="s">
        <v>44</v>
      </c>
    </row>
    <row r="4" spans="1:18" ht="19.5" outlineLevel="1">
      <c r="E4" s="24" t="s">
        <v>45</v>
      </c>
      <c r="F4" s="23">
        <f>F3</f>
        <v>21</v>
      </c>
      <c r="G4" s="58" t="s">
        <v>43</v>
      </c>
      <c r="I4" s="23" t="s">
        <v>46</v>
      </c>
    </row>
    <row r="5" spans="1:18" outlineLevel="1">
      <c r="E5" s="25" t="s">
        <v>47</v>
      </c>
      <c r="F5" s="23">
        <v>1.2250000000000001</v>
      </c>
      <c r="G5" s="58" t="s">
        <v>48</v>
      </c>
      <c r="I5" s="23" t="s">
        <v>49</v>
      </c>
    </row>
    <row r="6" spans="1:18" ht="19.5" outlineLevel="1">
      <c r="E6" s="25" t="s">
        <v>58</v>
      </c>
      <c r="F6" s="23">
        <v>0.19</v>
      </c>
      <c r="I6" s="32" t="s">
        <v>59</v>
      </c>
    </row>
    <row r="7" spans="1:18" ht="19.5" outlineLevel="1">
      <c r="E7" s="25" t="s">
        <v>60</v>
      </c>
      <c r="F7" s="23">
        <v>0.05</v>
      </c>
      <c r="G7" s="59" t="s">
        <v>51</v>
      </c>
      <c r="I7" s="32" t="s">
        <v>61</v>
      </c>
    </row>
    <row r="8" spans="1:18" ht="19.5" outlineLevel="1">
      <c r="E8" s="25" t="s">
        <v>62</v>
      </c>
      <c r="F8" s="23">
        <v>10</v>
      </c>
      <c r="G8" s="59" t="s">
        <v>51</v>
      </c>
      <c r="I8" s="34" t="s">
        <v>63</v>
      </c>
    </row>
    <row r="9" spans="1:18" outlineLevel="1"/>
    <row r="10" spans="1:18" outlineLevel="1">
      <c r="E10" s="24"/>
    </row>
    <row r="11" spans="1:18">
      <c r="E11" s="24"/>
    </row>
    <row r="12" spans="1:18">
      <c r="B12" s="72" t="s">
        <v>53</v>
      </c>
      <c r="C12" s="36"/>
      <c r="D12" s="36"/>
      <c r="E12" s="29"/>
      <c r="F12" s="29"/>
      <c r="G12" s="60"/>
      <c r="H12" s="29"/>
      <c r="I12" s="29"/>
      <c r="J12" s="29"/>
      <c r="K12" s="29"/>
      <c r="L12" s="29"/>
    </row>
    <row r="13" spans="1:18" outlineLevel="1">
      <c r="B13" s="72"/>
      <c r="C13" s="35" t="s">
        <v>100</v>
      </c>
      <c r="D13" s="36"/>
      <c r="E13" s="29"/>
      <c r="F13" s="29"/>
      <c r="G13" s="60"/>
      <c r="H13" s="29"/>
      <c r="I13" s="29"/>
      <c r="J13" s="29"/>
      <c r="K13" s="29"/>
      <c r="L13" s="29"/>
    </row>
    <row r="14" spans="1:18" outlineLevel="1">
      <c r="C14" s="38" t="s">
        <v>101</v>
      </c>
      <c r="E14" s="24"/>
      <c r="K14" s="38"/>
    </row>
    <row r="15" spans="1:18" outlineLevel="1">
      <c r="E15" s="78" t="s">
        <v>242</v>
      </c>
      <c r="F15" s="33">
        <v>36</v>
      </c>
      <c r="G15" s="59" t="s">
        <v>51</v>
      </c>
      <c r="I15" s="32" t="s">
        <v>55</v>
      </c>
    </row>
    <row r="16" spans="1:18" outlineLevel="1">
      <c r="E16" s="78" t="s">
        <v>243</v>
      </c>
      <c r="F16" s="33">
        <v>0.32400000000000001</v>
      </c>
      <c r="G16" s="59" t="s">
        <v>51</v>
      </c>
      <c r="I16" s="32" t="s">
        <v>56</v>
      </c>
    </row>
    <row r="17" spans="3:12" outlineLevel="1">
      <c r="C17" s="38" t="s">
        <v>82</v>
      </c>
      <c r="D17" s="38"/>
      <c r="E17" s="28"/>
      <c r="F17" s="27"/>
      <c r="G17" s="59"/>
      <c r="I17" s="32"/>
    </row>
    <row r="18" spans="3:12" ht="19.5" outlineLevel="1">
      <c r="E18" s="78" t="s">
        <v>97</v>
      </c>
      <c r="F18" s="45">
        <f>F16*F15</f>
        <v>11.664</v>
      </c>
      <c r="G18" s="61" t="s">
        <v>81</v>
      </c>
      <c r="H18" s="31" t="str">
        <f>[3]!EQS(F18,"Units= ; EqnPrefix=Valem  ; EqnNo= 0; Multiplication= 1; ShowWorking= 1; EqnStyle=2; Eqp$G$17_0")</f>
        <v/>
      </c>
      <c r="I18" s="30" t="s">
        <v>83</v>
      </c>
      <c r="L18" s="26"/>
    </row>
    <row r="19" spans="3:12" outlineLevel="1">
      <c r="C19" s="35" t="s">
        <v>65</v>
      </c>
      <c r="F19" s="27"/>
      <c r="G19" s="59"/>
      <c r="I19" s="32"/>
    </row>
    <row r="20" spans="3:12" ht="16.5" customHeight="1" outlineLevel="1">
      <c r="E20" s="78" t="s">
        <v>57</v>
      </c>
      <c r="F20" s="42">
        <f>$F$6*LN(F15/$F$7)*$F$3</f>
        <v>26.251212335920307</v>
      </c>
      <c r="G20" s="59" t="s">
        <v>43</v>
      </c>
      <c r="H20" s="31" t="str">
        <f>[3]!EQS(F20,"Units= ; EqnPrefix=Valem  ; EqnNo= 0; Multiplication= 1; ShowWorking= 0; EqnStyle= 2; Eqp$H$21_2")</f>
        <v/>
      </c>
      <c r="I20" s="40" t="s">
        <v>250</v>
      </c>
      <c r="J20" s="31"/>
    </row>
    <row r="21" spans="3:12" ht="12" customHeight="1" outlineLevel="1">
      <c r="E21" s="28"/>
      <c r="F21" s="42"/>
      <c r="G21" s="59"/>
      <c r="H21" s="31" t="str">
        <f>[3]!EQS(F20,"Units= ; EqnPrefix=Valem  ; EqnNo= 0; Multiplication= 1; ShowWorking= 1; EqnStyle= 2; Eqp$H$21_$H$22_3")</f>
        <v/>
      </c>
      <c r="I21" s="40" t="s">
        <v>64</v>
      </c>
      <c r="J21" s="31"/>
    </row>
    <row r="22" spans="3:12" outlineLevel="1">
      <c r="C22" s="41" t="s">
        <v>77</v>
      </c>
      <c r="D22" s="41"/>
      <c r="F22" s="42"/>
      <c r="G22" s="59"/>
      <c r="H22" s="31"/>
      <c r="I22" s="40"/>
      <c r="J22" s="31"/>
    </row>
    <row r="23" spans="3:12" ht="19.5" outlineLevel="1">
      <c r="E23" s="78" t="s">
        <v>75</v>
      </c>
      <c r="F23" s="42">
        <f>1/2*$F$5*F20^2</f>
        <v>422.08976632716445</v>
      </c>
      <c r="G23" s="61" t="s">
        <v>76</v>
      </c>
      <c r="H23" s="31" t="str">
        <f>[3]!EQS(F23,"Units= ; EqnPrefix=Valem  ; EqnNo= 0; Multiplication= 1; ShowWorking= 0; EqnStyle= 2; Eqp$G$21_0")</f>
        <v/>
      </c>
      <c r="I23" s="40" t="s">
        <v>251</v>
      </c>
      <c r="J23" s="31"/>
    </row>
    <row r="24" spans="3:12" outlineLevel="1">
      <c r="E24" s="37"/>
      <c r="F24" s="42"/>
      <c r="G24" s="61"/>
      <c r="H24" s="31" t="str">
        <f>[3]!EQS(F23,"Units= ; EqnPrefix=Valem  ; EqnNo= 0; Multiplication= 1; ShowWorking= 1; EqnStyle= 2; Eqp$G$21_$G$25_1")</f>
        <v/>
      </c>
      <c r="I24" s="40" t="s">
        <v>252</v>
      </c>
      <c r="J24" s="31"/>
    </row>
    <row r="25" spans="3:12" outlineLevel="1">
      <c r="C25" s="35" t="s">
        <v>79</v>
      </c>
      <c r="E25" s="37"/>
      <c r="F25" s="42"/>
      <c r="G25" s="61"/>
      <c r="I25" s="40"/>
      <c r="J25" s="31"/>
    </row>
    <row r="26" spans="3:12" ht="19.5" outlineLevel="1">
      <c r="E26" s="78" t="s">
        <v>80</v>
      </c>
      <c r="F26" s="42">
        <f>(1+2.28/LN(F15/$F$7))^2</f>
        <v>1.8131807308313552</v>
      </c>
      <c r="G26" s="61"/>
      <c r="H26" s="31" t="str">
        <f>[3]!EQS(F26,"Units= ; EqnPrefix=Valem  ; EqnNo= 0; Multiplication= 1; ShowWorking= 0; EqnStyle= 2; Eqp$G$24_0")</f>
        <v/>
      </c>
      <c r="I26" s="40" t="s">
        <v>253</v>
      </c>
      <c r="J26" s="31"/>
    </row>
    <row r="27" spans="3:12" outlineLevel="1">
      <c r="E27" s="37"/>
      <c r="F27" s="42"/>
      <c r="G27" s="61"/>
      <c r="H27" s="31" t="str">
        <f>[3]!EQS(F26,"Units= ; EqnPrefix=Valem  ; EqnNo= 0; Multiplication= 1; ShowWorking= 1; EqnStyle= 2; Eqp$G$24_$G$28_1")</f>
        <v/>
      </c>
      <c r="I27" s="40" t="s">
        <v>254</v>
      </c>
      <c r="J27" s="31"/>
    </row>
    <row r="28" spans="3:12" outlineLevel="1">
      <c r="C28" s="23" t="s">
        <v>50</v>
      </c>
      <c r="D28" s="23"/>
      <c r="E28" s="37"/>
      <c r="F28" s="42"/>
      <c r="G28" s="61"/>
      <c r="J28" s="31"/>
    </row>
    <row r="29" spans="3:12" ht="19.5" outlineLevel="1">
      <c r="E29" s="28" t="s">
        <v>52</v>
      </c>
      <c r="F29" s="23">
        <v>1.1499999999999999</v>
      </c>
      <c r="J29" s="31"/>
    </row>
    <row r="30" spans="3:12" ht="19.5" outlineLevel="1">
      <c r="C30" s="39" t="s">
        <v>70</v>
      </c>
      <c r="D30" s="39"/>
      <c r="E30" s="24"/>
      <c r="F30" s="43"/>
      <c r="H30" s="31"/>
      <c r="I30" s="31"/>
      <c r="J30" s="31"/>
    </row>
    <row r="31" spans="3:12" outlineLevel="1">
      <c r="E31" s="78" t="s">
        <v>244</v>
      </c>
      <c r="F31" s="31">
        <f>15*10^-6</f>
        <v>1.4999999999999999E-5</v>
      </c>
      <c r="G31" s="61" t="s">
        <v>66</v>
      </c>
      <c r="H31" s="31"/>
      <c r="I31" s="41" t="s">
        <v>67</v>
      </c>
      <c r="J31" s="31"/>
    </row>
    <row r="32" spans="3:12" outlineLevel="1">
      <c r="E32" s="78" t="s">
        <v>245</v>
      </c>
      <c r="F32" s="31">
        <f>F16</f>
        <v>0.32400000000000001</v>
      </c>
      <c r="G32" s="61" t="s">
        <v>51</v>
      </c>
      <c r="H32" s="31"/>
      <c r="I32" s="41" t="s">
        <v>68</v>
      </c>
      <c r="J32" s="31"/>
    </row>
    <row r="33" spans="2:12" outlineLevel="1">
      <c r="C33" s="23"/>
      <c r="D33" s="41" t="s">
        <v>73</v>
      </c>
      <c r="E33" s="37"/>
      <c r="F33" s="31"/>
      <c r="G33" s="61"/>
      <c r="H33" s="31"/>
      <c r="I33" s="41"/>
      <c r="J33" s="31"/>
    </row>
    <row r="34" spans="2:12" outlineLevel="1">
      <c r="C34" s="23"/>
      <c r="E34" s="37" t="s">
        <v>69</v>
      </c>
      <c r="F34" s="44">
        <f>F32*F20/F31</f>
        <v>567026.18645587866</v>
      </c>
      <c r="H34" s="31" t="str">
        <f>[3]!EQS(F34,"Units= ; EqnPrefix=Valem  ; EqnNo= 0; Multiplication= 1; ShowWorking= 1; EqnStyle= 2; Eqp$G$27_0")</f>
        <v/>
      </c>
      <c r="I34" s="30" t="s">
        <v>78</v>
      </c>
      <c r="J34" s="31"/>
    </row>
    <row r="35" spans="2:12" outlineLevel="1">
      <c r="C35" s="23"/>
      <c r="E35" s="37" t="s">
        <v>71</v>
      </c>
      <c r="F35" s="44">
        <f>6.175*10^-4</f>
        <v>6.1749999999999999E-4</v>
      </c>
      <c r="H35" s="31"/>
      <c r="I35" s="41" t="s">
        <v>72</v>
      </c>
      <c r="J35" s="31"/>
    </row>
    <row r="36" spans="2:12" outlineLevel="1">
      <c r="C36" s="23"/>
      <c r="D36" s="41" t="s">
        <v>84</v>
      </c>
      <c r="E36" s="37"/>
      <c r="F36" s="44"/>
      <c r="H36" s="31"/>
      <c r="I36" s="41"/>
      <c r="J36" s="31"/>
    </row>
    <row r="37" spans="2:12" ht="19.5" outlineLevel="1">
      <c r="C37" s="23"/>
      <c r="E37" s="78" t="s">
        <v>74</v>
      </c>
      <c r="F37" s="44">
        <f>1.2+(0.18*LOG(10*F35))/(1+0.4*LOG(F34/10^6))</f>
        <v>0.75883386915863227</v>
      </c>
      <c r="H37" s="31" t="str">
        <f>[3]!EQS(F37,"Units= ; EqnPrefix=Valem  ; EqnNo= 0; Multiplication= 1; ShowWorking= 0; EqnStyle=2; Eqp$G$36_2")</f>
        <v/>
      </c>
      <c r="I37" s="30" t="s">
        <v>255</v>
      </c>
      <c r="J37" s="31"/>
    </row>
    <row r="38" spans="2:12" outlineLevel="1">
      <c r="C38" s="23"/>
      <c r="E38" s="31"/>
      <c r="F38" s="31"/>
      <c r="H38" s="31" t="str">
        <f>[3]!EQS(F37,"Units= ; EqnPrefix=Valem  ; EqnNo= 0; Multiplication= 1; ShowWorking= 1; EqnStyle=2; Eqp$G$36_$G$37_3")</f>
        <v/>
      </c>
      <c r="I38" s="40" t="s">
        <v>256</v>
      </c>
      <c r="J38" s="31"/>
    </row>
    <row r="39" spans="2:12">
      <c r="C39" s="35" t="s">
        <v>89</v>
      </c>
    </row>
    <row r="40" spans="2:12" ht="19.5">
      <c r="E40" s="78" t="s">
        <v>85</v>
      </c>
      <c r="F40" s="46">
        <f>F23*F26*F29*F37*F16</f>
        <v>216.38914697938665</v>
      </c>
      <c r="G40" s="61" t="s">
        <v>86</v>
      </c>
      <c r="H40" s="31" t="str">
        <f>[3]!EQS(F40,"Units= ; EqnPrefix=Valem  ; EqnNo= 0; Multiplication= 1; ShowWorking= 0; EqnStyle= 2; Eqp$G$39_0")</f>
        <v/>
      </c>
      <c r="I40" s="30" t="s">
        <v>257</v>
      </c>
    </row>
    <row r="41" spans="2:12">
      <c r="H41" s="23" t="str">
        <f>[3]!EQS(F40,"Units= ; EqnPrefix=Valem  ; EqnNo= 0; Multiplication= 1; ShowWorking= 1; EqnStyle= 2; Eqp$G$39_$G$40_1")</f>
        <v/>
      </c>
      <c r="I41" s="30" t="s">
        <v>88</v>
      </c>
    </row>
    <row r="42" spans="2:12">
      <c r="C42" s="35" t="s">
        <v>87</v>
      </c>
    </row>
    <row r="44" spans="2:12" collapsed="1">
      <c r="B44" s="72" t="s">
        <v>90</v>
      </c>
      <c r="C44" s="36"/>
      <c r="D44" s="36"/>
      <c r="E44" s="29"/>
      <c r="F44" s="29"/>
      <c r="G44" s="60"/>
      <c r="H44" s="29"/>
      <c r="I44" s="29"/>
      <c r="J44" s="29"/>
      <c r="K44" s="29"/>
      <c r="L44" s="29"/>
    </row>
    <row r="45" spans="2:12" hidden="1" outlineLevel="1">
      <c r="C45" s="35" t="s">
        <v>93</v>
      </c>
      <c r="E45" s="24"/>
    </row>
    <row r="46" spans="2:12" hidden="1" outlineLevel="1">
      <c r="E46" s="78" t="s">
        <v>246</v>
      </c>
      <c r="F46" s="33">
        <v>14</v>
      </c>
      <c r="G46" s="59" t="s">
        <v>51</v>
      </c>
      <c r="I46" s="38" t="s">
        <v>91</v>
      </c>
    </row>
    <row r="47" spans="2:12" hidden="1" outlineLevel="1">
      <c r="E47" s="78" t="s">
        <v>243</v>
      </c>
      <c r="F47" s="33">
        <v>0.27300000000000002</v>
      </c>
      <c r="G47" s="59" t="s">
        <v>51</v>
      </c>
      <c r="I47" s="38" t="s">
        <v>92</v>
      </c>
    </row>
    <row r="48" spans="2:12" hidden="1" outlineLevel="1">
      <c r="E48" s="78" t="s">
        <v>126</v>
      </c>
      <c r="F48" s="33">
        <v>15.5</v>
      </c>
      <c r="G48" s="61" t="s">
        <v>51</v>
      </c>
      <c r="I48" s="38" t="s">
        <v>94</v>
      </c>
    </row>
    <row r="49" spans="3:10" hidden="1" outlineLevel="1">
      <c r="C49" s="38" t="s">
        <v>99</v>
      </c>
      <c r="D49" s="38"/>
      <c r="E49" s="28"/>
      <c r="F49" s="27"/>
      <c r="G49" s="59"/>
      <c r="I49" s="32"/>
    </row>
    <row r="50" spans="3:10" ht="19.5" hidden="1" outlineLevel="1">
      <c r="E50" s="78" t="s">
        <v>140</v>
      </c>
      <c r="F50" s="45">
        <f>F47*F48</f>
        <v>4.2315000000000005</v>
      </c>
      <c r="G50" s="61" t="s">
        <v>81</v>
      </c>
      <c r="H50" s="31" t="str">
        <f>[3]!EQS(F50,"Units= ; EqnPrefix=Valem  ; EqnNo= 0; Multiplication= 1; ShowWorking= 1; EqnStyle=2; Eqp$G$17_0")</f>
        <v/>
      </c>
      <c r="I50" s="30" t="s">
        <v>95</v>
      </c>
    </row>
    <row r="51" spans="3:10" hidden="1" outlineLevel="1">
      <c r="C51" s="35" t="s">
        <v>65</v>
      </c>
      <c r="F51" s="27"/>
      <c r="G51" s="59"/>
      <c r="I51" s="32"/>
    </row>
    <row r="52" spans="3:10" hidden="1" outlineLevel="1">
      <c r="E52" s="28"/>
      <c r="F52" s="27"/>
      <c r="G52" s="59"/>
      <c r="I52" s="32"/>
    </row>
    <row r="53" spans="3:10" hidden="1" outlineLevel="1"/>
    <row r="54" spans="3:10" ht="16.5" hidden="1" customHeight="1" outlineLevel="1">
      <c r="E54" s="78" t="s">
        <v>57</v>
      </c>
      <c r="F54" s="42">
        <f>$F$6*LN(F46/$F$7)*$F$3</f>
        <v>22.482810516645301</v>
      </c>
      <c r="G54" s="59" t="s">
        <v>43</v>
      </c>
      <c r="H54" s="31" t="str">
        <f>[3]!EQS(F54,"Units= ; EqnPrefix=Valem  ; EqnNo= 0; Multiplication= 1; ShowWorking= 0; EqnStyle= 2; Eqp$H$54_2")</f>
        <v/>
      </c>
      <c r="I54" s="40" t="s">
        <v>258</v>
      </c>
      <c r="J54" s="31"/>
    </row>
    <row r="55" spans="3:10" ht="12" hidden="1" customHeight="1" outlineLevel="1">
      <c r="E55" s="28"/>
      <c r="F55" s="42"/>
      <c r="G55" s="59"/>
      <c r="H55" s="31" t="str">
        <f>[3]!EQS(F54,"Units= ; EqnPrefix=Valem  ; EqnNo= 0; Multiplication= 1; ShowWorking= 1; EqnStyle= 2; Eqp$H$54_$H$55_3")</f>
        <v/>
      </c>
      <c r="I55" s="40" t="s">
        <v>102</v>
      </c>
      <c r="J55" s="31"/>
    </row>
    <row r="56" spans="3:10" hidden="1" outlineLevel="1">
      <c r="C56" s="41" t="s">
        <v>77</v>
      </c>
      <c r="D56" s="41"/>
      <c r="F56" s="42"/>
      <c r="G56" s="59"/>
      <c r="H56" s="31"/>
      <c r="I56" s="40"/>
      <c r="J56" s="31"/>
    </row>
    <row r="57" spans="3:10" ht="19.5" hidden="1" outlineLevel="1">
      <c r="E57" s="78" t="s">
        <v>75</v>
      </c>
      <c r="F57" s="42">
        <f>1/2*$F$5*F54^2</f>
        <v>309.60452084551815</v>
      </c>
      <c r="G57" s="61" t="s">
        <v>76</v>
      </c>
      <c r="H57" s="31" t="str">
        <f>[3]!EQS(F57,"Units= ; EqnPrefix=Valem  ; EqnNo= 0; Multiplication= 1; ShowWorking= 0; EqnStyle= 2; Eqp$G$21_0")</f>
        <v/>
      </c>
      <c r="I57" s="40" t="s">
        <v>251</v>
      </c>
      <c r="J57" s="31"/>
    </row>
    <row r="58" spans="3:10" hidden="1" outlineLevel="1">
      <c r="E58" s="37"/>
      <c r="F58" s="42"/>
      <c r="G58" s="61"/>
      <c r="H58" s="31" t="str">
        <f>[3]!EQS(F57,"Units= ; EqnPrefix=Valem  ; EqnNo= 0; Multiplication= 1; ShowWorking= 1; EqnStyle= 2; Eqp$G$21_$G$25_1")</f>
        <v/>
      </c>
      <c r="I58" s="40" t="s">
        <v>259</v>
      </c>
      <c r="J58" s="31"/>
    </row>
    <row r="59" spans="3:10" hidden="1" outlineLevel="1">
      <c r="C59" s="35" t="s">
        <v>79</v>
      </c>
      <c r="E59" s="37"/>
      <c r="F59" s="42"/>
      <c r="G59" s="61"/>
      <c r="I59" s="40"/>
      <c r="J59" s="31"/>
    </row>
    <row r="60" spans="3:10" ht="19.5" hidden="1" outlineLevel="1">
      <c r="E60" s="78" t="s">
        <v>80</v>
      </c>
      <c r="F60" s="42">
        <f>(1+2.28/LN(F46/$F$7))^2</f>
        <v>1.9729829854343099</v>
      </c>
      <c r="G60" s="61"/>
      <c r="H60" s="31" t="str">
        <f>[3]!EQS(F60,"Units= ; EqnPrefix=Valem  ; EqnNo= 0; Multiplication= 1; ShowWorking= 0; EqnStyle= 2; Eqp$G$24_0")</f>
        <v/>
      </c>
      <c r="I60" s="40" t="s">
        <v>260</v>
      </c>
      <c r="J60" s="31"/>
    </row>
    <row r="61" spans="3:10" hidden="1" outlineLevel="1">
      <c r="E61" s="37"/>
      <c r="F61" s="42"/>
      <c r="G61" s="61"/>
      <c r="H61" s="31" t="str">
        <f>[3]!EQS(F60,"Units= ; EqnPrefix=Valem  ; EqnNo= 0; Multiplication= 1; ShowWorking= 1; EqnStyle= 2; Eqp$G$24_$G$28_1")</f>
        <v/>
      </c>
      <c r="I61" s="40" t="s">
        <v>261</v>
      </c>
      <c r="J61" s="31"/>
    </row>
    <row r="62" spans="3:10" hidden="1" outlineLevel="1">
      <c r="C62" s="23" t="s">
        <v>50</v>
      </c>
      <c r="D62" s="23"/>
      <c r="E62" s="37"/>
      <c r="F62" s="42"/>
      <c r="G62" s="61"/>
      <c r="J62" s="31"/>
    </row>
    <row r="63" spans="3:10" ht="19.5" hidden="1" outlineLevel="1">
      <c r="E63" s="28" t="s">
        <v>52</v>
      </c>
      <c r="F63" s="23">
        <v>1.1499999999999999</v>
      </c>
      <c r="J63" s="31"/>
    </row>
    <row r="64" spans="3:10" ht="19.5" hidden="1" outlineLevel="1">
      <c r="C64" s="56" t="s">
        <v>139</v>
      </c>
      <c r="D64" s="39"/>
      <c r="E64" s="24"/>
      <c r="F64" s="43"/>
      <c r="H64" s="31"/>
      <c r="I64" s="31"/>
      <c r="J64" s="31"/>
    </row>
    <row r="65" spans="3:10" hidden="1" outlineLevel="1">
      <c r="E65" s="78" t="s">
        <v>244</v>
      </c>
      <c r="F65" s="31">
        <f>15*10^-6</f>
        <v>1.4999999999999999E-5</v>
      </c>
      <c r="G65" s="61" t="s">
        <v>66</v>
      </c>
      <c r="H65" s="31"/>
      <c r="I65" s="41" t="s">
        <v>67</v>
      </c>
      <c r="J65" s="31"/>
    </row>
    <row r="66" spans="3:10" hidden="1" outlineLevel="1">
      <c r="E66" s="78" t="s">
        <v>245</v>
      </c>
      <c r="F66" s="31">
        <f>F47</f>
        <v>0.27300000000000002</v>
      </c>
      <c r="G66" s="61" t="s">
        <v>51</v>
      </c>
      <c r="H66" s="31"/>
      <c r="I66" s="41" t="s">
        <v>68</v>
      </c>
      <c r="J66" s="31"/>
    </row>
    <row r="67" spans="3:10" hidden="1" outlineLevel="1">
      <c r="C67" s="23"/>
      <c r="D67" s="41" t="s">
        <v>73</v>
      </c>
      <c r="E67" s="37"/>
      <c r="F67" s="31"/>
      <c r="G67" s="61"/>
      <c r="H67" s="31"/>
      <c r="I67" s="41"/>
      <c r="J67" s="31"/>
    </row>
    <row r="68" spans="3:10" ht="19.5" hidden="1" outlineLevel="1">
      <c r="C68" s="23"/>
      <c r="E68" s="37" t="s">
        <v>69</v>
      </c>
      <c r="F68" s="44">
        <f>F66*F54/F65</f>
        <v>409187.15140294458</v>
      </c>
      <c r="H68" s="31" t="str">
        <f>[3]!EQS(F68,"Units= ; EqnPrefix=Valem  ; EqnNo= 0; Multiplication= 1; ShowWorking= 0; EqnStyle= 2; Eqp$G$27_0")</f>
        <v/>
      </c>
      <c r="I68" s="30" t="s">
        <v>262</v>
      </c>
      <c r="J68" s="31"/>
    </row>
    <row r="69" spans="3:10" hidden="1" outlineLevel="1">
      <c r="C69" s="23"/>
      <c r="E69" s="37"/>
      <c r="F69" s="44"/>
      <c r="H69" s="31" t="str">
        <f>[3]!EQS(F68,"Units= ; EqnPrefix=Valem  ; EqnNo= 0; Multiplication= 1; ShowWorking= 1; EqnStyle= 2; Eqp$G$27_$H$69_1")</f>
        <v/>
      </c>
      <c r="I69" s="30" t="s">
        <v>96</v>
      </c>
      <c r="J69" s="31"/>
    </row>
    <row r="70" spans="3:10" hidden="1" outlineLevel="1">
      <c r="C70" s="23"/>
      <c r="E70" s="37" t="s">
        <v>71</v>
      </c>
      <c r="F70" s="47">
        <f>0.2/F47*1000</f>
        <v>732.6007326007325</v>
      </c>
      <c r="H70" s="31"/>
      <c r="I70" s="41" t="s">
        <v>72</v>
      </c>
      <c r="J70" s="31"/>
    </row>
    <row r="71" spans="3:10" hidden="1" outlineLevel="1">
      <c r="C71" s="23"/>
      <c r="D71" s="41" t="s">
        <v>84</v>
      </c>
      <c r="E71" s="37"/>
      <c r="F71" s="44"/>
      <c r="H71" s="31"/>
      <c r="I71" s="41"/>
      <c r="J71" s="31"/>
    </row>
    <row r="72" spans="3:10" ht="19.5" hidden="1" outlineLevel="1">
      <c r="E72" s="78" t="s">
        <v>138</v>
      </c>
      <c r="F72" s="42">
        <f>1.2+(0.18*LOG(10*F70))/(1+0.4*LOG(F68/10^6))</f>
        <v>2.0235106772562297</v>
      </c>
      <c r="H72" s="31" t="str">
        <f>[3]!EQS(F72,"Units= ; EqnPrefix=Valem  ; EqnNo= 0; Multiplication= 1; ShowWorking= 0; EqnStyle=2; Eqp$G$36_2")</f>
        <v/>
      </c>
      <c r="I72" s="30" t="s">
        <v>255</v>
      </c>
      <c r="J72" s="31"/>
    </row>
    <row r="73" spans="3:10" hidden="1" outlineLevel="1">
      <c r="E73" s="31"/>
      <c r="F73" s="31"/>
      <c r="H73" s="31" t="str">
        <f>[3]!EQS(F72,"Units= ; EqnPrefix=Valem  ; EqnNo= 0; Multiplication= 1; ShowWorking= 1; EqnStyle=2; Eqp$G$36_$G$37_3")</f>
        <v/>
      </c>
      <c r="I73" s="40" t="s">
        <v>263</v>
      </c>
      <c r="J73" s="31"/>
    </row>
    <row r="74" spans="3:10" hidden="1" outlineLevel="1">
      <c r="C74" s="35" t="s">
        <v>104</v>
      </c>
      <c r="E74" s="31"/>
      <c r="F74" s="31"/>
      <c r="H74" s="31"/>
      <c r="I74" s="40"/>
      <c r="J74" s="31"/>
    </row>
    <row r="75" spans="3:10" ht="19.5" hidden="1" outlineLevel="1">
      <c r="E75" s="79" t="s">
        <v>105</v>
      </c>
      <c r="F75" s="31">
        <f>COS(RADIANS(90))^2</f>
        <v>3.7524718414124473E-33</v>
      </c>
      <c r="H75" s="31" t="str">
        <f>[3]!EQS(F75,"Units= ; EqnPrefix=Valem  ; EqnNo= 0; Multiplication= 1; ShowWorking= 0; EqnStyle= 2; Eqp$H$75_2")</f>
        <v/>
      </c>
      <c r="I75" s="40" t="s">
        <v>298</v>
      </c>
      <c r="J75" s="31"/>
    </row>
    <row r="76" spans="3:10">
      <c r="C76" s="35" t="s">
        <v>103</v>
      </c>
    </row>
    <row r="77" spans="3:10" ht="19.5">
      <c r="E77" s="78" t="s">
        <v>137</v>
      </c>
      <c r="F77" s="46">
        <f>F57*F60*F63*F72*F47*F75</f>
        <v>1.4561766518140426E-30</v>
      </c>
      <c r="G77" s="61" t="s">
        <v>86</v>
      </c>
      <c r="H77" s="31" t="str">
        <f>[3]!EQS(F77,"Units= ; EqnPrefix=Valem  ; EqnNo= 0; Multiplication= 1; ShowWorking= 0; EqnStyle= 2; Eqp$G$39_0")</f>
        <v/>
      </c>
      <c r="I77" s="30" t="s">
        <v>265</v>
      </c>
    </row>
    <row r="78" spans="3:10">
      <c r="H78" s="23" t="str">
        <f>[3]!EQS(F77,"Units= ; EqnPrefix=Valem  ; EqnNo= 0; Multiplication= 1; ShowWorking= 1; EqnStyle= 2; Eqp$G$39_$G$40_1")</f>
        <v/>
      </c>
      <c r="I78" s="30" t="s">
        <v>312</v>
      </c>
    </row>
    <row r="81" spans="2:12" collapsed="1">
      <c r="B81" s="73" t="s">
        <v>107</v>
      </c>
      <c r="C81" s="36"/>
      <c r="D81" s="36"/>
      <c r="E81" s="29"/>
      <c r="F81" s="29"/>
      <c r="G81" s="60"/>
      <c r="H81" s="29"/>
      <c r="I81" s="29"/>
      <c r="J81" s="29"/>
      <c r="K81" s="29"/>
      <c r="L81" s="29"/>
    </row>
    <row r="82" spans="2:12" hidden="1" outlineLevel="1">
      <c r="C82" s="35" t="s">
        <v>108</v>
      </c>
      <c r="E82" s="24"/>
    </row>
    <row r="83" spans="2:12" hidden="1" outlineLevel="1">
      <c r="E83" s="78" t="s">
        <v>246</v>
      </c>
      <c r="F83" s="33">
        <v>28</v>
      </c>
      <c r="G83" s="59" t="s">
        <v>51</v>
      </c>
      <c r="I83" s="38" t="s">
        <v>109</v>
      </c>
    </row>
    <row r="84" spans="2:12" hidden="1" outlineLevel="1">
      <c r="E84" s="78" t="s">
        <v>54</v>
      </c>
      <c r="F84" s="33">
        <v>0.22</v>
      </c>
      <c r="G84" s="59" t="s">
        <v>51</v>
      </c>
      <c r="I84" s="38" t="s">
        <v>110</v>
      </c>
    </row>
    <row r="85" spans="2:12" hidden="1" outlineLevel="1">
      <c r="E85" s="78" t="s">
        <v>126</v>
      </c>
      <c r="F85" s="33">
        <v>23</v>
      </c>
      <c r="G85" s="61" t="s">
        <v>51</v>
      </c>
      <c r="I85" s="38" t="s">
        <v>94</v>
      </c>
    </row>
    <row r="86" spans="2:12" hidden="1" outlineLevel="1">
      <c r="C86" s="38" t="s">
        <v>99</v>
      </c>
      <c r="D86" s="38"/>
      <c r="E86" s="28"/>
      <c r="F86" s="27"/>
      <c r="G86" s="59"/>
      <c r="I86" s="32"/>
    </row>
    <row r="87" spans="2:12" ht="19.5" hidden="1" outlineLevel="1">
      <c r="E87" s="78" t="s">
        <v>98</v>
      </c>
      <c r="F87" s="45">
        <f>F84*F85</f>
        <v>5.0599999999999996</v>
      </c>
      <c r="G87" s="61" t="s">
        <v>81</v>
      </c>
      <c r="H87" s="31" t="str">
        <f>[3]!EQS(F87,"Units= ; EqnPrefix=Valem  ; EqnNo= 0; Multiplication= 1; ShowWorking= 1; EqnStyle=2; Eqp$G$17_0")</f>
        <v/>
      </c>
      <c r="I87" s="30" t="s">
        <v>121</v>
      </c>
    </row>
    <row r="88" spans="2:12" hidden="1" outlineLevel="1">
      <c r="C88" s="48" t="s">
        <v>112</v>
      </c>
      <c r="E88" s="37"/>
      <c r="F88" s="45"/>
      <c r="G88" s="61"/>
      <c r="H88" s="31"/>
      <c r="I88" s="30"/>
    </row>
    <row r="89" spans="2:12" hidden="1" outlineLevel="1">
      <c r="C89" s="35" t="s">
        <v>65</v>
      </c>
      <c r="F89" s="27"/>
      <c r="G89" s="59"/>
      <c r="I89" s="32"/>
    </row>
    <row r="90" spans="2:12" hidden="1" outlineLevel="1">
      <c r="E90" s="28"/>
      <c r="F90" s="27"/>
      <c r="G90" s="59"/>
      <c r="I90" s="32"/>
    </row>
    <row r="91" spans="2:12" hidden="1" outlineLevel="1"/>
    <row r="92" spans="2:12" ht="16.5" hidden="1" customHeight="1" outlineLevel="1">
      <c r="E92" s="78" t="s">
        <v>57</v>
      </c>
      <c r="F92" s="42">
        <f>$F$6*LN(F83/$F$7)*$F$3</f>
        <v>25.248467767079489</v>
      </c>
      <c r="G92" s="59" t="s">
        <v>43</v>
      </c>
      <c r="H92" s="31" t="str">
        <f>[3]!EQS(F92,"Units= ; EqnPrefix=Valem  ; EqnNo= 0; Multiplication= 1; ShowWorking= 0; EqnStyle= 2; Eqp$H$54_2")</f>
        <v/>
      </c>
      <c r="I92" s="40" t="s">
        <v>258</v>
      </c>
      <c r="J92" s="31"/>
    </row>
    <row r="93" spans="2:12" ht="12" hidden="1" customHeight="1" outlineLevel="1">
      <c r="E93" s="28"/>
      <c r="F93" s="42"/>
      <c r="G93" s="59"/>
      <c r="H93" s="31" t="str">
        <f>[3]!EQS(F92,"Units= ; EqnPrefix=Valem  ; EqnNo= 0; Multiplication= 1; ShowWorking= 1; EqnStyle= 2; Eqp$H$54_$H$55_3")</f>
        <v/>
      </c>
      <c r="I93" s="40" t="s">
        <v>111</v>
      </c>
      <c r="J93" s="31"/>
    </row>
    <row r="94" spans="2:12" hidden="1" outlineLevel="1">
      <c r="C94" s="41" t="s">
        <v>77</v>
      </c>
      <c r="D94" s="41"/>
      <c r="F94" s="42"/>
      <c r="G94" s="59"/>
      <c r="H94" s="31"/>
      <c r="I94" s="40"/>
      <c r="J94" s="31"/>
    </row>
    <row r="95" spans="2:12" ht="19.5" hidden="1" outlineLevel="1">
      <c r="E95" s="78" t="s">
        <v>75</v>
      </c>
      <c r="F95" s="42">
        <f>1/2*$F$5*F92^2</f>
        <v>390.45963880846682</v>
      </c>
      <c r="G95" s="61" t="s">
        <v>76</v>
      </c>
      <c r="H95" s="31" t="str">
        <f>[3]!EQS(F95,"Units= ; EqnPrefix=Valem  ; EqnNo= 0; Multiplication= 1; ShowWorking= 0; EqnStyle= 2; Eqp$G$21_0")</f>
        <v/>
      </c>
      <c r="I95" s="40" t="s">
        <v>251</v>
      </c>
      <c r="J95" s="31"/>
    </row>
    <row r="96" spans="2:12" hidden="1" outlineLevel="1">
      <c r="E96" s="37"/>
      <c r="F96" s="42"/>
      <c r="G96" s="61"/>
      <c r="H96" s="31" t="str">
        <f>[3]!EQS(F95,"Units= ; EqnPrefix=Valem  ; EqnNo= 0; Multiplication= 1; ShowWorking= 1; EqnStyle= 2; Eqp$G$21_$G$25_1")</f>
        <v/>
      </c>
      <c r="I96" s="40" t="s">
        <v>267</v>
      </c>
      <c r="J96" s="31"/>
    </row>
    <row r="97" spans="3:10" hidden="1" outlineLevel="1">
      <c r="C97" s="35" t="s">
        <v>79</v>
      </c>
      <c r="E97" s="37"/>
      <c r="F97" s="42"/>
      <c r="G97" s="61"/>
      <c r="I97" s="40"/>
      <c r="J97" s="31"/>
    </row>
    <row r="98" spans="3:10" ht="19.5" hidden="1" outlineLevel="1">
      <c r="E98" s="78" t="s">
        <v>80</v>
      </c>
      <c r="F98" s="42">
        <f>(1+2.28/LN(F83/$F$7))^2</f>
        <v>1.8504351691877789</v>
      </c>
      <c r="G98" s="61"/>
      <c r="H98" s="31" t="str">
        <f>[3]!EQS(F98,"Units= ; EqnPrefix=Valem  ; EqnNo= 0; Multiplication= 1; ShowWorking= 0; EqnStyle= 2; Eqp$G$24_0")</f>
        <v/>
      </c>
      <c r="I98" s="40" t="s">
        <v>260</v>
      </c>
      <c r="J98" s="31"/>
    </row>
    <row r="99" spans="3:10" hidden="1" outlineLevel="1">
      <c r="E99" s="37"/>
      <c r="F99" s="42"/>
      <c r="G99" s="61"/>
      <c r="H99" s="31" t="str">
        <f>[3]!EQS(F98,"Units= ; EqnPrefix=Valem  ; EqnNo= 0; Multiplication= 1; ShowWorking= 1; EqnStyle= 2; Eqp$G$24_$G$28_1")</f>
        <v/>
      </c>
      <c r="I99" s="40" t="s">
        <v>268</v>
      </c>
      <c r="J99" s="31"/>
    </row>
    <row r="100" spans="3:10" hidden="1" outlineLevel="1">
      <c r="C100" s="23" t="s">
        <v>50</v>
      </c>
      <c r="D100" s="23"/>
      <c r="E100" s="37"/>
      <c r="F100" s="42"/>
      <c r="G100" s="61"/>
      <c r="J100" s="31"/>
    </row>
    <row r="101" spans="3:10" ht="19.5" hidden="1" outlineLevel="1">
      <c r="E101" s="28" t="s">
        <v>52</v>
      </c>
      <c r="F101" s="23">
        <v>1.1499999999999999</v>
      </c>
      <c r="J101" s="31"/>
    </row>
    <row r="102" spans="3:10" ht="19.5" hidden="1" outlineLevel="1">
      <c r="C102" s="49" t="s">
        <v>113</v>
      </c>
      <c r="D102" s="39"/>
      <c r="E102" s="24"/>
      <c r="F102" s="43"/>
      <c r="H102" s="31"/>
      <c r="I102" s="31"/>
      <c r="J102" s="31"/>
    </row>
    <row r="103" spans="3:10" hidden="1" outlineLevel="1">
      <c r="C103" s="23"/>
      <c r="D103" s="41" t="s">
        <v>84</v>
      </c>
      <c r="E103" s="37"/>
      <c r="F103" s="44"/>
      <c r="H103" s="31"/>
      <c r="I103" s="41"/>
      <c r="J103" s="31"/>
    </row>
    <row r="104" spans="3:10" ht="19.5" hidden="1" outlineLevel="1">
      <c r="E104" s="78" t="s">
        <v>115</v>
      </c>
      <c r="F104" s="42">
        <v>2</v>
      </c>
      <c r="H104" s="31"/>
      <c r="I104" s="30"/>
      <c r="J104" s="31"/>
    </row>
    <row r="105" spans="3:10" hidden="1" outlineLevel="1">
      <c r="D105" s="48" t="s">
        <v>116</v>
      </c>
      <c r="E105" s="31"/>
      <c r="F105" s="31"/>
      <c r="H105" s="31"/>
      <c r="I105" s="40"/>
      <c r="J105" s="31"/>
    </row>
    <row r="106" spans="3:10" hidden="1" outlineLevel="1">
      <c r="D106" s="48"/>
      <c r="E106" s="79" t="s">
        <v>247</v>
      </c>
      <c r="F106" s="51">
        <f>MIN(70,2*F85/F84)</f>
        <v>70</v>
      </c>
      <c r="H106" s="31"/>
      <c r="I106" s="40"/>
      <c r="J106" s="31"/>
    </row>
    <row r="107" spans="3:10" hidden="1" outlineLevel="1">
      <c r="D107" s="48" t="s">
        <v>117</v>
      </c>
      <c r="E107" s="31"/>
      <c r="F107" s="31"/>
      <c r="H107" s="31"/>
      <c r="I107" s="40"/>
      <c r="J107" s="31"/>
    </row>
    <row r="108" spans="3:10" hidden="1" outlineLevel="1">
      <c r="D108" s="48"/>
      <c r="E108" s="79" t="s">
        <v>248</v>
      </c>
      <c r="F108" s="31">
        <v>1</v>
      </c>
      <c r="H108" s="31"/>
      <c r="I108" s="40"/>
      <c r="J108" s="31"/>
    </row>
    <row r="109" spans="3:10" hidden="1" outlineLevel="1">
      <c r="D109" s="49" t="s">
        <v>119</v>
      </c>
      <c r="F109" s="31"/>
      <c r="H109" s="31"/>
      <c r="I109" s="40"/>
      <c r="J109" s="31"/>
    </row>
    <row r="110" spans="3:10" ht="19.5" hidden="1" outlineLevel="1">
      <c r="E110" s="79" t="s">
        <v>118</v>
      </c>
      <c r="F110" s="23">
        <v>0.92</v>
      </c>
      <c r="H110" s="31"/>
      <c r="I110" s="40"/>
      <c r="J110" s="31"/>
    </row>
    <row r="111" spans="3:10" hidden="1" outlineLevel="1">
      <c r="C111" s="48" t="s">
        <v>120</v>
      </c>
      <c r="E111" s="31"/>
      <c r="F111" s="50"/>
      <c r="H111" s="31"/>
      <c r="I111" s="40"/>
      <c r="J111" s="31"/>
    </row>
    <row r="112" spans="3:10" ht="19.5" hidden="1" outlineLevel="1">
      <c r="E112" s="78" t="s">
        <v>114</v>
      </c>
      <c r="F112" s="52">
        <f>F104*F110</f>
        <v>1.84</v>
      </c>
      <c r="H112" s="31" t="str">
        <f>[3]!EQS(F112,"Units= ; EqnPrefix=Valem  ; EqnNo= 0; Multiplication= 1; ShowWorking= 0; EqnStyle= 2; Eqp$H$119_2")</f>
        <v/>
      </c>
      <c r="I112" s="40" t="s">
        <v>269</v>
      </c>
      <c r="J112" s="31"/>
    </row>
    <row r="113" spans="2:12" hidden="1" outlineLevel="1">
      <c r="E113" s="31"/>
      <c r="F113" s="50"/>
      <c r="H113" s="31" t="str">
        <f>[3]!EQS(F112,"Units= ; EqnPrefix=Valem  ; EqnNo= 0; Multiplication= 1; ShowWorking= 1; EqnStyle= 2; Eqp$H$119_$H$120_3")</f>
        <v/>
      </c>
      <c r="I113" s="40" t="s">
        <v>130</v>
      </c>
      <c r="J113" s="31"/>
    </row>
    <row r="114" spans="2:12" hidden="1" outlineLevel="1">
      <c r="C114" s="35" t="s">
        <v>104</v>
      </c>
      <c r="E114" s="31"/>
      <c r="F114" s="31"/>
      <c r="H114" s="31"/>
      <c r="I114" s="40"/>
      <c r="J114" s="31"/>
    </row>
    <row r="115" spans="2:12" ht="19.5" hidden="1" outlineLevel="1">
      <c r="E115" s="79" t="s">
        <v>105</v>
      </c>
      <c r="F115" s="76">
        <f>COS(RADIANS(90))^2</f>
        <v>3.7524718414124473E-33</v>
      </c>
      <c r="H115" s="31" t="str">
        <f>[3]!EQS(F115,"Units= ; EqnPrefix=Valem  ; EqnNo= 0; Multiplication= 1; ShowWorking= 0; EqnStyle= 2; Eqp$H$75_2")</f>
        <v/>
      </c>
      <c r="I115" s="40" t="s">
        <v>298</v>
      </c>
      <c r="J115" s="31"/>
    </row>
    <row r="116" spans="2:12" hidden="1" outlineLevel="1">
      <c r="C116" s="48" t="s">
        <v>122</v>
      </c>
    </row>
    <row r="117" spans="2:12" ht="19.5">
      <c r="E117" s="78" t="s">
        <v>136</v>
      </c>
      <c r="F117" s="46">
        <f>F95*F98*F101*F112*F84*F115</f>
        <v>1.2621349945739855E-30</v>
      </c>
      <c r="G117" s="61" t="s">
        <v>86</v>
      </c>
      <c r="H117" s="31" t="str">
        <f>[3]!EQS(F117,"Units= ; EqnPrefix=Valem  ; EqnNo= 0; Multiplication= 1; ShowWorking= 0; EqnStyle= 2; Eqp$G$39_0")</f>
        <v/>
      </c>
      <c r="I117" s="30" t="s">
        <v>270</v>
      </c>
    </row>
    <row r="118" spans="2:12">
      <c r="H118" s="23" t="str">
        <f>[3]!EQS(F117,"Units= ; EqnPrefix=Valem  ; EqnNo= 0; Multiplication= 1; ShowWorking= 1; EqnStyle= 2; Eqp$G$39_$G$40_1")</f>
        <v/>
      </c>
      <c r="I118" s="30" t="s">
        <v>313</v>
      </c>
    </row>
    <row r="121" spans="2:12">
      <c r="B121" s="73" t="s">
        <v>123</v>
      </c>
      <c r="C121" s="36"/>
      <c r="D121" s="36"/>
      <c r="E121" s="29"/>
      <c r="F121" s="29"/>
      <c r="G121" s="60"/>
      <c r="H121" s="29"/>
      <c r="I121" s="29"/>
      <c r="J121" s="29"/>
      <c r="K121" s="29"/>
      <c r="L121" s="29"/>
    </row>
    <row r="122" spans="2:12" outlineLevel="1">
      <c r="C122" s="57" t="s">
        <v>141</v>
      </c>
      <c r="E122" s="24"/>
    </row>
    <row r="123" spans="2:12" outlineLevel="1">
      <c r="E123" s="78" t="s">
        <v>246</v>
      </c>
      <c r="F123" s="33">
        <v>36</v>
      </c>
      <c r="G123" s="59" t="s">
        <v>51</v>
      </c>
      <c r="I123" s="38" t="s">
        <v>109</v>
      </c>
    </row>
    <row r="124" spans="2:12" outlineLevel="1">
      <c r="E124" s="78" t="s">
        <v>54</v>
      </c>
      <c r="F124" s="33">
        <v>0.25</v>
      </c>
      <c r="G124" s="59" t="s">
        <v>51</v>
      </c>
    </row>
    <row r="125" spans="2:12" outlineLevel="1">
      <c r="E125" s="78" t="s">
        <v>245</v>
      </c>
      <c r="F125" s="33">
        <v>0.25</v>
      </c>
      <c r="G125" s="62" t="s">
        <v>51</v>
      </c>
      <c r="I125" s="54" t="s">
        <v>124</v>
      </c>
    </row>
    <row r="126" spans="2:12" outlineLevel="1">
      <c r="E126" s="78" t="s">
        <v>126</v>
      </c>
      <c r="F126" s="33">
        <v>23</v>
      </c>
      <c r="G126" s="61" t="s">
        <v>51</v>
      </c>
      <c r="I126" s="38" t="s">
        <v>94</v>
      </c>
    </row>
    <row r="127" spans="2:12" outlineLevel="1">
      <c r="C127" s="38" t="s">
        <v>99</v>
      </c>
      <c r="D127" s="38"/>
      <c r="E127" s="28"/>
      <c r="F127" s="27"/>
      <c r="G127" s="59"/>
      <c r="I127" s="32"/>
    </row>
    <row r="128" spans="2:12" ht="19.5" outlineLevel="1">
      <c r="E128" s="78" t="s">
        <v>98</v>
      </c>
      <c r="F128" s="45">
        <f>F124*F126</f>
        <v>5.75</v>
      </c>
      <c r="G128" s="61" t="s">
        <v>81</v>
      </c>
      <c r="H128" s="31" t="str">
        <f>[3]!EQS(F128,"Units= ; EqnPrefix=Valem  ; EqnNo= 0; Multiplication= 1; ShowWorking= 1; EqnStyle=2; Eqp$G$17_0")</f>
        <v/>
      </c>
      <c r="I128" s="30" t="s">
        <v>127</v>
      </c>
    </row>
    <row r="129" spans="3:10" outlineLevel="1">
      <c r="C129" s="57" t="s">
        <v>165</v>
      </c>
      <c r="E129" s="37"/>
      <c r="F129" s="45"/>
      <c r="G129" s="61"/>
      <c r="H129" s="31"/>
      <c r="I129" s="30"/>
    </row>
    <row r="130" spans="3:10" ht="19.5" outlineLevel="1">
      <c r="C130" s="48"/>
      <c r="E130" s="78" t="s">
        <v>125</v>
      </c>
      <c r="F130" s="45">
        <f>F125*F124</f>
        <v>6.25E-2</v>
      </c>
      <c r="G130" s="61" t="s">
        <v>81</v>
      </c>
      <c r="H130" s="31" t="str">
        <f>[3]!EQS(F130,"Units= ; EqnPrefix=Valem  ; EqnNo= 0; Multiplication= 1; ShowWorking= 1; EqnStyle= 2; Eqp$H$137_2")</f>
        <v/>
      </c>
      <c r="I130" s="30" t="s">
        <v>128</v>
      </c>
    </row>
    <row r="131" spans="3:10" outlineLevel="1">
      <c r="C131" s="35" t="s">
        <v>65</v>
      </c>
      <c r="F131" s="27"/>
      <c r="G131" s="59"/>
      <c r="I131" s="32"/>
    </row>
    <row r="132" spans="3:10" outlineLevel="1">
      <c r="E132" s="28"/>
      <c r="F132" s="27"/>
      <c r="G132" s="59"/>
      <c r="I132" s="32"/>
    </row>
    <row r="133" spans="3:10" outlineLevel="1"/>
    <row r="134" spans="3:10" ht="19.5" outlineLevel="1">
      <c r="E134" s="78" t="s">
        <v>57</v>
      </c>
      <c r="F134" s="42">
        <f>$F$6*LN(F123/$F$7)*$F$3</f>
        <v>26.251212335920307</v>
      </c>
      <c r="G134" s="59" t="s">
        <v>43</v>
      </c>
      <c r="H134" s="31" t="str">
        <f>[3]!EQS(F134,"Units= ; EqnPrefix=Valem  ; EqnNo= 0; Multiplication= 1; ShowWorking= 0; EqnStyle= 2; Eqp$H$54_2")</f>
        <v/>
      </c>
      <c r="I134" s="40" t="s">
        <v>258</v>
      </c>
      <c r="J134" s="31"/>
    </row>
    <row r="135" spans="3:10" outlineLevel="1">
      <c r="E135" s="28"/>
      <c r="F135" s="42"/>
      <c r="G135" s="59"/>
      <c r="H135" s="31" t="str">
        <f>[3]!EQS(F134,"Units= ; EqnPrefix=Valem  ; EqnNo= 0; Multiplication= 1; ShowWorking= 1; EqnStyle= 2; Eqp$H$54_$H$55_3")</f>
        <v/>
      </c>
      <c r="I135" s="40" t="s">
        <v>64</v>
      </c>
      <c r="J135" s="31"/>
    </row>
    <row r="136" spans="3:10" outlineLevel="1">
      <c r="C136" s="41" t="s">
        <v>77</v>
      </c>
      <c r="D136" s="41"/>
      <c r="F136" s="42"/>
      <c r="G136" s="59"/>
      <c r="H136" s="31"/>
      <c r="I136" s="40"/>
      <c r="J136" s="31"/>
    </row>
    <row r="137" spans="3:10" ht="19.5" outlineLevel="1">
      <c r="E137" s="78" t="s">
        <v>75</v>
      </c>
      <c r="F137" s="42">
        <f>1/2*$F$5*F134^2</f>
        <v>422.08976632716445</v>
      </c>
      <c r="G137" s="61" t="s">
        <v>76</v>
      </c>
      <c r="H137" s="31" t="str">
        <f>[3]!EQS(F137,"Units= ; EqnPrefix=Valem  ; EqnNo= 0; Multiplication= 1; ShowWorking= 0; EqnStyle= 2; Eqp$G$21_0")</f>
        <v/>
      </c>
      <c r="I137" s="40" t="s">
        <v>251</v>
      </c>
      <c r="J137" s="31"/>
    </row>
    <row r="138" spans="3:10" outlineLevel="1">
      <c r="E138" s="37"/>
      <c r="F138" s="42"/>
      <c r="G138" s="61"/>
      <c r="H138" s="31" t="str">
        <f>[3]!EQS(F137,"Units= ; EqnPrefix=Valem  ; EqnNo= 0; Multiplication= 1; ShowWorking= 1; EqnStyle= 2; Eqp$G$21_$G$25_1")</f>
        <v/>
      </c>
      <c r="I138" s="40" t="s">
        <v>252</v>
      </c>
      <c r="J138" s="31"/>
    </row>
    <row r="139" spans="3:10" outlineLevel="1">
      <c r="C139" s="35" t="s">
        <v>79</v>
      </c>
      <c r="E139" s="37"/>
      <c r="F139" s="42"/>
      <c r="G139" s="61"/>
      <c r="I139" s="40"/>
      <c r="J139" s="31"/>
    </row>
    <row r="140" spans="3:10" ht="19.5" outlineLevel="1">
      <c r="E140" s="78" t="s">
        <v>80</v>
      </c>
      <c r="F140" s="42">
        <f>(1+2.28/LN(F123/$F$7))^2</f>
        <v>1.8131807308313552</v>
      </c>
      <c r="G140" s="61"/>
      <c r="H140" s="31" t="str">
        <f>[3]!EQS(F140,"Units= ; EqnPrefix=Valem  ; EqnNo= 0; Multiplication= 1; ShowWorking= 0; EqnStyle= 2; Eqp$G$24_0")</f>
        <v/>
      </c>
      <c r="I140" s="40" t="s">
        <v>260</v>
      </c>
      <c r="J140" s="31"/>
    </row>
    <row r="141" spans="3:10" outlineLevel="1">
      <c r="E141" s="37"/>
      <c r="F141" s="42"/>
      <c r="G141" s="61"/>
      <c r="H141" s="31" t="str">
        <f>[3]!EQS(F140,"Units= ; EqnPrefix=Valem  ; EqnNo= 0; Multiplication= 1; ShowWorking= 1; EqnStyle= 2; Eqp$G$24_$G$28_1")</f>
        <v/>
      </c>
      <c r="I141" s="40" t="s">
        <v>254</v>
      </c>
      <c r="J141" s="31"/>
    </row>
    <row r="142" spans="3:10" outlineLevel="1">
      <c r="C142" s="23" t="s">
        <v>50</v>
      </c>
      <c r="D142" s="23"/>
      <c r="E142" s="37"/>
      <c r="F142" s="42"/>
      <c r="G142" s="61"/>
      <c r="J142" s="31"/>
    </row>
    <row r="143" spans="3:10" ht="19.5" outlineLevel="1">
      <c r="E143" s="28" t="s">
        <v>52</v>
      </c>
      <c r="F143" s="23">
        <v>1.1499999999999999</v>
      </c>
      <c r="J143" s="31"/>
    </row>
    <row r="144" spans="3:10" ht="19.5" outlineLevel="1">
      <c r="C144" s="56" t="s">
        <v>129</v>
      </c>
      <c r="D144" s="39"/>
      <c r="E144" s="24"/>
      <c r="F144" s="43"/>
      <c r="H144" s="31"/>
      <c r="I144" s="31"/>
      <c r="J144" s="31"/>
    </row>
    <row r="145" spans="3:10" outlineLevel="1">
      <c r="C145" s="23"/>
      <c r="D145" s="41" t="s">
        <v>84</v>
      </c>
      <c r="E145" s="37"/>
      <c r="F145" s="44"/>
      <c r="H145" s="31"/>
      <c r="I145" s="41"/>
      <c r="J145" s="31"/>
    </row>
    <row r="146" spans="3:10" ht="19.5" outlineLevel="1">
      <c r="E146" s="78" t="s">
        <v>132</v>
      </c>
      <c r="F146" s="42">
        <v>2</v>
      </c>
      <c r="H146" s="31"/>
      <c r="I146" s="30"/>
      <c r="J146" s="31"/>
    </row>
    <row r="147" spans="3:10" outlineLevel="1">
      <c r="D147" s="48" t="s">
        <v>116</v>
      </c>
      <c r="E147" s="31"/>
      <c r="F147" s="31"/>
      <c r="H147" s="31"/>
      <c r="I147" s="40"/>
      <c r="J147" s="31"/>
    </row>
    <row r="148" spans="3:10" outlineLevel="1">
      <c r="D148" s="48"/>
      <c r="E148" s="79" t="s">
        <v>247</v>
      </c>
      <c r="F148" s="51">
        <f>MIN(70,2*F126/F124)</f>
        <v>70</v>
      </c>
      <c r="H148" s="31" t="str">
        <f>[3]!EQS(F148,"Units= ; EqnPrefix=Valem  ; EqnNo= 0; Multiplication= 1; ShowWorking= 1; EqnStyle=2; Eqp$H$148_0")</f>
        <v/>
      </c>
      <c r="I148" s="40" t="s">
        <v>133</v>
      </c>
      <c r="J148" s="31"/>
    </row>
    <row r="149" spans="3:10" outlineLevel="1">
      <c r="D149" s="48" t="s">
        <v>117</v>
      </c>
      <c r="E149" s="31"/>
      <c r="F149" s="31"/>
      <c r="H149" s="31"/>
      <c r="I149" s="40"/>
      <c r="J149" s="31"/>
    </row>
    <row r="150" spans="3:10" outlineLevel="1">
      <c r="D150" s="48"/>
      <c r="E150" s="79" t="s">
        <v>248</v>
      </c>
      <c r="F150" s="31">
        <v>1</v>
      </c>
      <c r="H150" s="31"/>
      <c r="I150" s="40"/>
      <c r="J150" s="31"/>
    </row>
    <row r="151" spans="3:10" outlineLevel="1">
      <c r="D151" s="49" t="s">
        <v>119</v>
      </c>
      <c r="F151" s="31"/>
      <c r="H151" s="31"/>
      <c r="I151" s="40"/>
      <c r="J151" s="31"/>
    </row>
    <row r="152" spans="3:10" ht="19.5" outlineLevel="1">
      <c r="E152" s="79" t="s">
        <v>118</v>
      </c>
      <c r="F152" s="23">
        <v>0.92</v>
      </c>
      <c r="H152" s="31"/>
      <c r="I152" s="40"/>
      <c r="J152" s="31"/>
    </row>
    <row r="153" spans="3:10" outlineLevel="1">
      <c r="D153" s="57" t="s">
        <v>142</v>
      </c>
      <c r="E153" s="55"/>
      <c r="H153" s="31"/>
      <c r="I153" s="40"/>
      <c r="J153" s="31"/>
    </row>
    <row r="154" spans="3:10" ht="19.5" outlineLevel="1">
      <c r="E154" s="79" t="s">
        <v>143</v>
      </c>
      <c r="F154" s="23">
        <v>0.88</v>
      </c>
      <c r="H154" s="31"/>
      <c r="I154" s="63" t="s">
        <v>144</v>
      </c>
      <c r="J154" s="31"/>
    </row>
    <row r="155" spans="3:10" outlineLevel="1">
      <c r="C155" s="57" t="s">
        <v>145</v>
      </c>
      <c r="E155" s="31"/>
      <c r="F155" s="50"/>
      <c r="H155" s="31"/>
      <c r="I155" s="40"/>
      <c r="J155" s="31"/>
    </row>
    <row r="156" spans="3:10" ht="19.5" outlineLevel="1">
      <c r="E156" s="78" t="s">
        <v>149</v>
      </c>
      <c r="F156" s="52">
        <f>F146*F152*F154</f>
        <v>1.6192</v>
      </c>
      <c r="H156" s="31" t="str">
        <f>[3]!EQS(F156,"Units= ; EqnPrefix=Valem  ; EqnNo= 0; Multiplication= 1; ShowWorking= 0; EqnStyle= 2; Eqp$H$119_2")</f>
        <v/>
      </c>
      <c r="I156" s="40" t="s">
        <v>272</v>
      </c>
      <c r="J156" s="31"/>
    </row>
    <row r="157" spans="3:10" outlineLevel="1">
      <c r="E157" s="31"/>
      <c r="F157" s="50"/>
      <c r="H157" s="31" t="str">
        <f>[3]!EQS(F156,"Units= ; EqnPrefix=Valem  ; EqnNo= 0; Multiplication= 1; ShowWorking= 1; EqnStyle= 2; Eqp$H$119_$H$120_3")</f>
        <v/>
      </c>
      <c r="I157" s="40" t="s">
        <v>147</v>
      </c>
      <c r="J157" s="31"/>
    </row>
    <row r="158" spans="3:10" outlineLevel="1">
      <c r="C158" s="57" t="s">
        <v>146</v>
      </c>
      <c r="E158" s="31"/>
      <c r="F158" s="50"/>
      <c r="H158" s="31"/>
      <c r="I158" s="40"/>
      <c r="J158" s="31"/>
    </row>
    <row r="159" spans="3:10" ht="19.5" outlineLevel="1">
      <c r="C159" s="57"/>
      <c r="E159" s="78" t="s">
        <v>150</v>
      </c>
      <c r="F159" s="52">
        <f>F146*F152</f>
        <v>1.84</v>
      </c>
      <c r="H159" s="31" t="str">
        <f>[3]!EQS(F159,"Units= ; EqnPrefix=Valem  ; EqnNo= 0; Multiplication= 1; ShowWorking= 0; EqnStyle= 2; Eqp$H$119_2")</f>
        <v/>
      </c>
      <c r="I159" s="40" t="s">
        <v>273</v>
      </c>
      <c r="J159" s="31"/>
    </row>
    <row r="160" spans="3:10" outlineLevel="1">
      <c r="E160" s="31"/>
      <c r="F160" s="50"/>
      <c r="H160" s="31" t="str">
        <f>[3]!EQS(F159,"Units= ; EqnPrefix=Valem  ; EqnNo= 0; Multiplication= 1; ShowWorking= 1; EqnStyle= 2; Eqp$H$119_$H$120_3")</f>
        <v/>
      </c>
      <c r="I160" s="40" t="s">
        <v>130</v>
      </c>
      <c r="J160" s="31"/>
    </row>
    <row r="161" spans="2:12" outlineLevel="1">
      <c r="C161" s="57" t="s">
        <v>134</v>
      </c>
      <c r="E161" s="31"/>
      <c r="F161" s="31"/>
      <c r="H161" s="31"/>
      <c r="I161" s="40"/>
      <c r="J161" s="31"/>
    </row>
    <row r="162" spans="2:12" ht="19.5" outlineLevel="1">
      <c r="E162" s="79" t="s">
        <v>155</v>
      </c>
      <c r="F162" s="77">
        <f>COS(RADIANS(90))^2</f>
        <v>3.7524718414124473E-33</v>
      </c>
      <c r="H162" s="31" t="str">
        <f>[3]!EQS(F162,"Units= ; EqnPrefix=Valem  ; EqnNo= 0; Multiplication= 1; ShowWorking= 0; EqnStyle= 2; Eqp$H$75_2")</f>
        <v/>
      </c>
      <c r="I162" s="40" t="s">
        <v>298</v>
      </c>
      <c r="J162" s="31"/>
    </row>
    <row r="163" spans="2:12" outlineLevel="1">
      <c r="C163" s="57" t="s">
        <v>151</v>
      </c>
      <c r="E163" s="55"/>
      <c r="F163" s="53"/>
      <c r="H163" s="31"/>
      <c r="I163" s="40"/>
      <c r="J163" s="31"/>
    </row>
    <row r="164" spans="2:12" ht="19.5" outlineLevel="1">
      <c r="E164" s="79" t="s">
        <v>156</v>
      </c>
      <c r="F164" s="77">
        <f>COS(RADIANS(0))^2</f>
        <v>1</v>
      </c>
      <c r="H164" s="31" t="str">
        <f>[3]!EQS(F164,"Units= ; EqnPrefix=Valem  ; EqnNo= 0; Multiplication= 1; ShowWorking= 0; EqnStyle= 2; Eqp$H$75_2")</f>
        <v/>
      </c>
      <c r="I164" s="40" t="s">
        <v>300</v>
      </c>
      <c r="J164" s="31"/>
    </row>
    <row r="165" spans="2:12">
      <c r="C165" s="57" t="s">
        <v>135</v>
      </c>
    </row>
    <row r="166" spans="2:12" ht="19.5">
      <c r="E166" s="78" t="s">
        <v>152</v>
      </c>
      <c r="F166" s="46">
        <f>F137*F140*F143*F156*F124*F162</f>
        <v>1.3369085596868152E-30</v>
      </c>
      <c r="G166" s="61" t="s">
        <v>86</v>
      </c>
      <c r="H166" s="31" t="str">
        <f>[3]!EQS(F166,"Units= ; EqnPrefix=Valem  ; EqnNo= 0; Multiplication= 1; ShowWorking= 0; EqnStyle= 2; Eqp$G$39_0")</f>
        <v/>
      </c>
      <c r="I166" s="30" t="s">
        <v>274</v>
      </c>
    </row>
    <row r="167" spans="2:12">
      <c r="H167" s="23" t="str">
        <f>[3]!EQS(F166,"Units= ; EqnPrefix=Valem  ; EqnNo= 0; Multiplication= 1; ShowWorking= 1; EqnStyle= 2; Eqp$G$39_$G$40_1")</f>
        <v/>
      </c>
      <c r="I167" s="30" t="s">
        <v>314</v>
      </c>
    </row>
    <row r="168" spans="2:12">
      <c r="C168" s="57" t="s">
        <v>158</v>
      </c>
    </row>
    <row r="169" spans="2:12" ht="19.5">
      <c r="E169" s="78" t="s">
        <v>153</v>
      </c>
      <c r="F169" s="46">
        <f>F137*F140*F143*F159*F125*F124*F164</f>
        <v>101.21423534783555</v>
      </c>
      <c r="G169" s="62" t="s">
        <v>154</v>
      </c>
      <c r="H169" s="31" t="str">
        <f>[3]!EQS(F169,"Units= ; EqnPrefix=Valem  ; EqnNo= 0; Multiplication= 1; ShowWorking= 0; EqnStyle= 2; Eqp$G$39_0")</f>
        <v/>
      </c>
      <c r="I169" s="30" t="s">
        <v>276</v>
      </c>
    </row>
    <row r="170" spans="2:12">
      <c r="H170" s="23" t="str">
        <f>[3]!EQS(F169,"Units= ; EqnPrefix=Valem  ; EqnNo= 0; Multiplication= 1; ShowWorking= 1; EqnStyle= 2; Eqp$G$39_$G$40_1")</f>
        <v/>
      </c>
      <c r="I170" s="30" t="s">
        <v>315</v>
      </c>
    </row>
    <row r="171" spans="2:12">
      <c r="B171" s="73" t="s">
        <v>159</v>
      </c>
      <c r="C171" s="36"/>
      <c r="D171" s="36"/>
      <c r="E171" s="29"/>
      <c r="F171" s="29"/>
      <c r="G171" s="60"/>
      <c r="H171" s="29"/>
      <c r="I171" s="29"/>
      <c r="J171" s="29"/>
      <c r="K171" s="29"/>
      <c r="L171" s="29"/>
    </row>
    <row r="172" spans="2:12" outlineLevel="1">
      <c r="C172" s="57" t="s">
        <v>160</v>
      </c>
      <c r="E172" s="24"/>
    </row>
    <row r="173" spans="2:12" outlineLevel="1">
      <c r="E173" s="78" t="s">
        <v>246</v>
      </c>
      <c r="F173" s="33">
        <v>41</v>
      </c>
      <c r="G173" s="59" t="s">
        <v>51</v>
      </c>
      <c r="I173" s="38" t="s">
        <v>109</v>
      </c>
    </row>
    <row r="174" spans="2:12" outlineLevel="1">
      <c r="E174" s="78" t="s">
        <v>54</v>
      </c>
      <c r="F174" s="33">
        <v>0.25</v>
      </c>
      <c r="G174" s="59" t="s">
        <v>51</v>
      </c>
    </row>
    <row r="175" spans="2:12" outlineLevel="1">
      <c r="E175" s="78" t="s">
        <v>245</v>
      </c>
      <c r="F175" s="33">
        <v>0.15</v>
      </c>
      <c r="G175" s="62" t="s">
        <v>51</v>
      </c>
      <c r="I175" s="54" t="s">
        <v>124</v>
      </c>
    </row>
    <row r="176" spans="2:12" outlineLevel="1">
      <c r="E176" s="78" t="s">
        <v>126</v>
      </c>
      <c r="F176" s="33">
        <v>5</v>
      </c>
      <c r="G176" s="61" t="s">
        <v>51</v>
      </c>
      <c r="I176" s="38" t="s">
        <v>94</v>
      </c>
    </row>
    <row r="177" spans="3:10" outlineLevel="1">
      <c r="C177" s="38" t="s">
        <v>99</v>
      </c>
      <c r="D177" s="38"/>
      <c r="E177" s="28"/>
      <c r="F177" s="27"/>
      <c r="G177" s="59"/>
      <c r="I177" s="32"/>
    </row>
    <row r="178" spans="3:10" ht="19.5" outlineLevel="1">
      <c r="E178" s="78" t="s">
        <v>98</v>
      </c>
      <c r="F178" s="45">
        <f>F175*F176</f>
        <v>0.75</v>
      </c>
      <c r="G178" s="61" t="s">
        <v>81</v>
      </c>
      <c r="H178" s="31" t="str">
        <f>[3]!EQS(F178,"Units= ; EqnPrefix=Valem  ; EqnNo= 0; Multiplication= 1; ShowWorking= 1; EqnStyle=2; Eqp$G$17_0")</f>
        <v/>
      </c>
      <c r="I178" s="30" t="s">
        <v>163</v>
      </c>
    </row>
    <row r="179" spans="3:10" outlineLevel="1">
      <c r="C179" s="57" t="s">
        <v>165</v>
      </c>
      <c r="E179" s="37"/>
      <c r="F179" s="45"/>
      <c r="G179" s="61"/>
      <c r="H179" s="31"/>
      <c r="I179" s="30"/>
    </row>
    <row r="180" spans="3:10" ht="19.5" outlineLevel="1">
      <c r="C180" s="48"/>
      <c r="E180" s="78" t="s">
        <v>125</v>
      </c>
      <c r="F180" s="45">
        <f>F176*F174</f>
        <v>1.25</v>
      </c>
      <c r="G180" s="61" t="s">
        <v>81</v>
      </c>
      <c r="H180" s="31" t="str">
        <f>[3]!EQS(F180,"Units= ; EqnPrefix=Valem  ; EqnNo= 0; Multiplication= 1; ShowWorking= 1; EqnStyle= 2; Eqp$H$137_2")</f>
        <v/>
      </c>
      <c r="I180" s="30" t="s">
        <v>164</v>
      </c>
    </row>
    <row r="181" spans="3:10" outlineLevel="1">
      <c r="C181" s="35" t="s">
        <v>65</v>
      </c>
      <c r="F181" s="27"/>
      <c r="G181" s="59"/>
      <c r="I181" s="32"/>
    </row>
    <row r="182" spans="3:10" outlineLevel="1">
      <c r="E182" s="28"/>
      <c r="F182" s="27"/>
      <c r="G182" s="59"/>
      <c r="I182" s="32"/>
    </row>
    <row r="183" spans="3:10" outlineLevel="1"/>
    <row r="184" spans="3:10" ht="19.5" outlineLevel="1">
      <c r="E184" s="78" t="s">
        <v>57</v>
      </c>
      <c r="F184" s="42">
        <f>$F$6*LN(F173/$F$7)*$F$3</f>
        <v>26.770124317630611</v>
      </c>
      <c r="G184" s="59" t="s">
        <v>43</v>
      </c>
      <c r="H184" s="31" t="str">
        <f>[3]!EQS(F184,"Units= ; EqnPrefix=Valem  ; EqnNo= 0; Multiplication= 1; ShowWorking= 0; EqnStyle= 2; Eqp$H$54_2")</f>
        <v/>
      </c>
      <c r="I184" s="40" t="s">
        <v>258</v>
      </c>
      <c r="J184" s="31"/>
    </row>
    <row r="185" spans="3:10" outlineLevel="1">
      <c r="E185" s="28"/>
      <c r="F185" s="42"/>
      <c r="G185" s="59"/>
      <c r="H185" s="31" t="str">
        <f>[3]!EQS(F184,"Units= ; EqnPrefix=Valem  ; EqnNo= 0; Multiplication= 1; ShowWorking= 1; EqnStyle= 2; Eqp$H$54_$H$55_3")</f>
        <v/>
      </c>
      <c r="I185" s="40" t="s">
        <v>161</v>
      </c>
      <c r="J185" s="31"/>
    </row>
    <row r="186" spans="3:10" outlineLevel="1">
      <c r="C186" s="41" t="s">
        <v>77</v>
      </c>
      <c r="D186" s="41"/>
      <c r="F186" s="42"/>
      <c r="G186" s="59"/>
      <c r="H186" s="31"/>
      <c r="I186" s="40"/>
      <c r="J186" s="31"/>
    </row>
    <row r="187" spans="3:10" ht="19.5" outlineLevel="1">
      <c r="E187" s="78" t="s">
        <v>75</v>
      </c>
      <c r="F187" s="42">
        <f>1/2*$F$5*F184^2</f>
        <v>438.94172803860613</v>
      </c>
      <c r="G187" s="61" t="s">
        <v>76</v>
      </c>
      <c r="H187" s="31" t="str">
        <f>[3]!EQS(F187,"Units= ; EqnPrefix=Valem  ; EqnNo= 0; Multiplication= 1; ShowWorking= 0; EqnStyle= 2; Eqp$G$21_0")</f>
        <v/>
      </c>
      <c r="I187" s="40" t="s">
        <v>251</v>
      </c>
      <c r="J187" s="31"/>
    </row>
    <row r="188" spans="3:10" outlineLevel="1">
      <c r="E188" s="37"/>
      <c r="F188" s="42"/>
      <c r="G188" s="61"/>
      <c r="H188" s="31" t="str">
        <f>[3]!EQS(F187,"Units= ; EqnPrefix=Valem  ; EqnNo= 0; Multiplication= 1; ShowWorking= 1; EqnStyle= 2; Eqp$G$21_$G$25_1")</f>
        <v/>
      </c>
      <c r="I188" s="40" t="s">
        <v>278</v>
      </c>
      <c r="J188" s="31"/>
    </row>
    <row r="189" spans="3:10" outlineLevel="1">
      <c r="C189" s="35" t="s">
        <v>79</v>
      </c>
      <c r="E189" s="37"/>
      <c r="F189" s="42"/>
      <c r="G189" s="61"/>
      <c r="I189" s="40"/>
      <c r="J189" s="31"/>
    </row>
    <row r="190" spans="3:10" ht="19.5" outlineLevel="1">
      <c r="E190" s="78" t="s">
        <v>80</v>
      </c>
      <c r="F190" s="42">
        <f>(1+2.28/LN(F173/$F$7))^2</f>
        <v>1.7951352851913878</v>
      </c>
      <c r="G190" s="61"/>
      <c r="H190" s="31" t="str">
        <f>[3]!EQS(F190,"Units= ; EqnPrefix=Valem  ; EqnNo= 0; Multiplication= 1; ShowWorking= 0; EqnStyle= 2; Eqp$G$24_0")</f>
        <v/>
      </c>
      <c r="I190" s="40" t="s">
        <v>260</v>
      </c>
      <c r="J190" s="31"/>
    </row>
    <row r="191" spans="3:10" outlineLevel="1">
      <c r="E191" s="37"/>
      <c r="F191" s="42"/>
      <c r="G191" s="61"/>
      <c r="H191" s="31" t="str">
        <f>[3]!EQS(F190,"Units= ; EqnPrefix=Valem  ; EqnNo= 0; Multiplication= 1; ShowWorking= 1; EqnStyle= 2; Eqp$G$24_$G$28_1")</f>
        <v/>
      </c>
      <c r="I191" s="40" t="s">
        <v>279</v>
      </c>
      <c r="J191" s="31"/>
    </row>
    <row r="192" spans="3:10" outlineLevel="1">
      <c r="C192" s="23" t="s">
        <v>50</v>
      </c>
      <c r="D192" s="23"/>
      <c r="E192" s="37"/>
      <c r="F192" s="42"/>
      <c r="G192" s="61"/>
      <c r="J192" s="31"/>
    </row>
    <row r="193" spans="3:10" ht="19.5" outlineLevel="1">
      <c r="E193" s="28" t="s">
        <v>52</v>
      </c>
      <c r="F193" s="23">
        <v>1.1499999999999999</v>
      </c>
      <c r="J193" s="31"/>
    </row>
    <row r="194" spans="3:10" ht="19.5" outlineLevel="1">
      <c r="C194" s="56" t="s">
        <v>166</v>
      </c>
      <c r="D194" s="39"/>
      <c r="E194" s="24"/>
      <c r="F194" s="43"/>
      <c r="H194" s="31"/>
      <c r="I194" s="31"/>
      <c r="J194" s="31"/>
    </row>
    <row r="195" spans="3:10" outlineLevel="1">
      <c r="C195" s="23"/>
      <c r="D195" s="41" t="s">
        <v>84</v>
      </c>
      <c r="E195" s="37"/>
      <c r="F195" s="44"/>
      <c r="H195" s="31"/>
      <c r="I195" s="41"/>
      <c r="J195" s="31"/>
    </row>
    <row r="196" spans="3:10" ht="19.5" outlineLevel="1">
      <c r="E196" s="78" t="s">
        <v>167</v>
      </c>
      <c r="F196" s="42">
        <v>2</v>
      </c>
      <c r="H196" s="31"/>
      <c r="I196" s="30"/>
      <c r="J196" s="31"/>
    </row>
    <row r="197" spans="3:10" outlineLevel="1">
      <c r="D197" s="48" t="s">
        <v>116</v>
      </c>
      <c r="E197" s="31"/>
      <c r="F197" s="31"/>
      <c r="H197" s="31"/>
      <c r="I197" s="40"/>
      <c r="J197" s="31"/>
    </row>
    <row r="198" spans="3:10" outlineLevel="1">
      <c r="D198" s="48"/>
      <c r="E198" s="79" t="s">
        <v>247</v>
      </c>
      <c r="F198" s="51">
        <f>MIN(70,2*F176/F174)</f>
        <v>40</v>
      </c>
      <c r="H198" s="31" t="str">
        <f>[3]!EQS(F198,"Units= ; EqnPrefix=Valem  ; EqnNo= 0; Multiplication= 1; ShowWorking= 1; EqnStyle=2; Eqp$H$148_0")</f>
        <v/>
      </c>
      <c r="I198" s="40" t="s">
        <v>162</v>
      </c>
      <c r="J198" s="31"/>
    </row>
    <row r="199" spans="3:10" outlineLevel="1">
      <c r="D199" s="48" t="s">
        <v>117</v>
      </c>
      <c r="E199" s="31"/>
      <c r="F199" s="31"/>
      <c r="H199" s="31"/>
      <c r="I199" s="40"/>
      <c r="J199" s="31"/>
    </row>
    <row r="200" spans="3:10" outlineLevel="1">
      <c r="D200" s="48"/>
      <c r="E200" s="79" t="s">
        <v>248</v>
      </c>
      <c r="F200" s="31">
        <v>1</v>
      </c>
      <c r="H200" s="31"/>
      <c r="I200" s="40"/>
      <c r="J200" s="31"/>
    </row>
    <row r="201" spans="3:10" outlineLevel="1">
      <c r="D201" s="49" t="s">
        <v>119</v>
      </c>
      <c r="F201" s="31"/>
      <c r="H201" s="31"/>
      <c r="I201" s="40"/>
      <c r="J201" s="31"/>
    </row>
    <row r="202" spans="3:10" ht="19.5" outlineLevel="1">
      <c r="E202" s="79" t="s">
        <v>118</v>
      </c>
      <c r="F202" s="23">
        <v>0.85</v>
      </c>
      <c r="H202" s="31"/>
      <c r="I202" s="40"/>
      <c r="J202" s="31"/>
    </row>
    <row r="203" spans="3:10" outlineLevel="1">
      <c r="D203" s="57" t="s">
        <v>142</v>
      </c>
      <c r="E203" s="55"/>
      <c r="H203" s="31"/>
      <c r="I203" s="40"/>
      <c r="J203" s="31"/>
    </row>
    <row r="204" spans="3:10" ht="19.5" outlineLevel="1">
      <c r="E204" s="79" t="s">
        <v>143</v>
      </c>
      <c r="F204" s="23">
        <v>0.9</v>
      </c>
      <c r="H204" s="31"/>
      <c r="I204" s="63" t="s">
        <v>168</v>
      </c>
      <c r="J204" s="31"/>
    </row>
    <row r="205" spans="3:10" outlineLevel="1">
      <c r="C205" s="57" t="s">
        <v>145</v>
      </c>
      <c r="E205" s="31"/>
      <c r="F205" s="50"/>
      <c r="H205" s="31"/>
      <c r="I205" s="40"/>
      <c r="J205" s="31"/>
    </row>
    <row r="206" spans="3:10" ht="19.5" outlineLevel="1">
      <c r="E206" s="78" t="s">
        <v>170</v>
      </c>
      <c r="F206" s="52">
        <f>F196*F202*F204</f>
        <v>1.53</v>
      </c>
      <c r="H206" s="31" t="str">
        <f>[3]!EQS(F206,"Units= ; EqnPrefix=Valem  ; EqnNo= 0; Multiplication= 1; ShowWorking= 0; EqnStyle= 2; Eqp$H$119_2")</f>
        <v/>
      </c>
      <c r="I206" s="40" t="s">
        <v>280</v>
      </c>
      <c r="J206" s="31"/>
    </row>
    <row r="207" spans="3:10" outlineLevel="1">
      <c r="E207" s="31"/>
      <c r="F207" s="50"/>
      <c r="H207" s="31" t="str">
        <f>[3]!EQS(F206,"Units= ; EqnPrefix=Valem  ; EqnNo= 0; Multiplication= 1; ShowWorking= 1; EqnStyle= 2; Eqp$H$119_$H$120_3")</f>
        <v/>
      </c>
      <c r="I207" s="40" t="s">
        <v>169</v>
      </c>
      <c r="J207" s="31"/>
    </row>
    <row r="208" spans="3:10" outlineLevel="1">
      <c r="C208" s="57" t="s">
        <v>146</v>
      </c>
      <c r="E208" s="31"/>
      <c r="F208" s="50"/>
      <c r="H208" s="31"/>
      <c r="I208" s="40"/>
      <c r="J208" s="31"/>
    </row>
    <row r="209" spans="2:10" ht="19.5" outlineLevel="1">
      <c r="C209" s="57"/>
      <c r="E209" s="78" t="s">
        <v>171</v>
      </c>
      <c r="F209" s="52">
        <f>F196*F202*F204</f>
        <v>1.53</v>
      </c>
      <c r="H209" s="31" t="str">
        <f>[3]!EQS(F209,"Units= ; EqnPrefix=Valem  ; EqnNo= 0; Multiplication= 1; ShowWorking= 0; EqnStyle= 2; Eqp$H$119_2")</f>
        <v/>
      </c>
      <c r="I209" s="40" t="s">
        <v>280</v>
      </c>
      <c r="J209" s="31"/>
    </row>
    <row r="210" spans="2:10" outlineLevel="1">
      <c r="E210" s="31"/>
      <c r="F210" s="50"/>
      <c r="H210" s="31" t="str">
        <f>[3]!EQS(F209,"Units= ; EqnPrefix=Valem  ; EqnNo= 0; Multiplication= 1; ShowWorking= 1; EqnStyle= 2; Eqp$H$119_$H$120_3")</f>
        <v/>
      </c>
      <c r="I210" s="40" t="s">
        <v>169</v>
      </c>
      <c r="J210" s="31"/>
    </row>
    <row r="211" spans="2:10" outlineLevel="1">
      <c r="C211" s="57" t="s">
        <v>134</v>
      </c>
      <c r="E211" s="31"/>
      <c r="F211" s="31"/>
      <c r="H211" s="31"/>
      <c r="I211" s="40"/>
      <c r="J211" s="31"/>
    </row>
    <row r="212" spans="2:10" ht="19.5" outlineLevel="1">
      <c r="E212" s="79" t="s">
        <v>155</v>
      </c>
      <c r="F212" s="77">
        <f>COS(RADIANS(90))^2</f>
        <v>3.7524718414124473E-33</v>
      </c>
      <c r="H212" s="31" t="str">
        <f>[3]!EQS(F212,"Units= ; EqnPrefix=Valem  ; EqnNo= 0; Multiplication= 1; ShowWorking= 0; EqnStyle= 2; Eqp$H$75_2")</f>
        <v/>
      </c>
      <c r="I212" s="40" t="s">
        <v>298</v>
      </c>
      <c r="J212" s="31"/>
    </row>
    <row r="213" spans="2:10" outlineLevel="1">
      <c r="C213" s="57" t="s">
        <v>151</v>
      </c>
      <c r="E213" s="55"/>
      <c r="F213" s="53"/>
      <c r="H213" s="31"/>
      <c r="I213" s="40"/>
      <c r="J213" s="31"/>
    </row>
    <row r="214" spans="2:10" ht="19.5" outlineLevel="1">
      <c r="E214" s="79" t="s">
        <v>156</v>
      </c>
      <c r="F214" s="77">
        <f>COS(RADIANS(0))^2</f>
        <v>1</v>
      </c>
      <c r="H214" s="31" t="str">
        <f>[3]!EQS(F214,"Units= ; EqnPrefix=Valem  ; EqnNo= 0; Multiplication= 1; ShowWorking= 0; EqnStyle= 2; Eqp$H$75_2")</f>
        <v/>
      </c>
      <c r="I214" s="40" t="s">
        <v>300</v>
      </c>
      <c r="J214" s="31"/>
    </row>
    <row r="215" spans="2:10">
      <c r="C215" s="57" t="s">
        <v>173</v>
      </c>
    </row>
    <row r="216" spans="2:10" ht="19.5">
      <c r="E216" s="78" t="s">
        <v>152</v>
      </c>
      <c r="F216" s="46">
        <f>F187*F190*F193*F206*F175*F212</f>
        <v>7.8037262240508031E-31</v>
      </c>
      <c r="G216" s="61" t="s">
        <v>86</v>
      </c>
      <c r="H216" s="31" t="str">
        <f>[3]!EQS(F216,"Units= ; EqnPrefix=Valem  ; EqnNo= 0; Multiplication= 1; ShowWorking= 0; EqnStyle= 2; Eqp$G$39_0")</f>
        <v/>
      </c>
      <c r="I216" s="30" t="s">
        <v>281</v>
      </c>
    </row>
    <row r="217" spans="2:10">
      <c r="H217" s="23" t="str">
        <f>[3]!EQS(F216,"Units= ; EqnPrefix=Valem  ; EqnNo= 0; Multiplication= 1; ShowWorking= 1; EqnStyle= 2; Eqp$G$39_$G$40_1")</f>
        <v/>
      </c>
      <c r="I217" s="30" t="s">
        <v>316</v>
      </c>
    </row>
    <row r="218" spans="2:10">
      <c r="C218" s="57" t="s">
        <v>174</v>
      </c>
    </row>
    <row r="219" spans="2:10" ht="19.5">
      <c r="E219" s="78" t="s">
        <v>153</v>
      </c>
      <c r="F219" s="46">
        <f>F187*F190*F193*F209*F174*F214</f>
        <v>346.60381005077471</v>
      </c>
      <c r="G219" s="62" t="s">
        <v>86</v>
      </c>
      <c r="H219" s="31" t="str">
        <f>[3]!EQS(F219,"Units= ; EqnPrefix=Valem  ; EqnNo= 0; Multiplication= 1; ShowWorking= 0; EqnStyle= 2; Eqp$G$39_0")</f>
        <v/>
      </c>
      <c r="I219" s="30" t="s">
        <v>283</v>
      </c>
    </row>
    <row r="220" spans="2:10">
      <c r="H220" s="23" t="str">
        <f>[3]!EQS(F219,"Units= ; EqnPrefix=Valem  ; EqnNo= 0; Multiplication= 1; ShowWorking= 1; EqnStyle= 2; Eqp$G$39_$G$40_1")</f>
        <v/>
      </c>
      <c r="I220" s="30" t="s">
        <v>317</v>
      </c>
    </row>
    <row r="222" spans="2:10">
      <c r="B222" s="73" t="s">
        <v>183</v>
      </c>
      <c r="C222" s="36"/>
      <c r="D222" s="36"/>
      <c r="E222" s="29"/>
    </row>
    <row r="223" spans="2:10" outlineLevel="1">
      <c r="C223" s="57" t="s">
        <v>176</v>
      </c>
      <c r="E223" s="24"/>
    </row>
    <row r="224" spans="2:10" outlineLevel="1">
      <c r="C224" s="57" t="s">
        <v>177</v>
      </c>
    </row>
    <row r="225" spans="3:10" outlineLevel="1"/>
    <row r="226" spans="3:10" outlineLevel="1">
      <c r="C226" s="64" t="s">
        <v>181</v>
      </c>
    </row>
    <row r="227" spans="3:10" outlineLevel="1"/>
    <row r="228" spans="3:10" outlineLevel="1">
      <c r="C228" s="65" t="s">
        <v>182</v>
      </c>
      <c r="E228" s="24"/>
    </row>
    <row r="229" spans="3:10" outlineLevel="1">
      <c r="E229" s="78" t="s">
        <v>242</v>
      </c>
      <c r="F229" s="33">
        <v>36</v>
      </c>
      <c r="G229" s="59" t="s">
        <v>51</v>
      </c>
      <c r="I229" s="65" t="s">
        <v>184</v>
      </c>
    </row>
    <row r="230" spans="3:10" outlineLevel="1">
      <c r="E230" s="78" t="s">
        <v>243</v>
      </c>
      <c r="F230" s="33">
        <v>2.01E-2</v>
      </c>
      <c r="G230" s="59" t="s">
        <v>51</v>
      </c>
      <c r="I230" s="65" t="s">
        <v>185</v>
      </c>
    </row>
    <row r="231" spans="3:10" outlineLevel="1">
      <c r="E231" s="78" t="s">
        <v>249</v>
      </c>
      <c r="F231" s="33">
        <v>40.590000000000003</v>
      </c>
      <c r="G231" s="67" t="s">
        <v>51</v>
      </c>
      <c r="I231" s="65" t="s">
        <v>198</v>
      </c>
    </row>
    <row r="232" spans="3:10" outlineLevel="1">
      <c r="C232" s="38" t="s">
        <v>82</v>
      </c>
      <c r="D232" s="38"/>
      <c r="E232" s="28"/>
      <c r="F232" s="27"/>
      <c r="G232" s="59"/>
      <c r="I232" s="32"/>
    </row>
    <row r="233" spans="3:10" ht="19.5" outlineLevel="1">
      <c r="E233" s="78" t="s">
        <v>97</v>
      </c>
      <c r="F233" s="45">
        <f>F230*F231</f>
        <v>0.81585900000000011</v>
      </c>
      <c r="G233" s="61" t="s">
        <v>81</v>
      </c>
      <c r="H233" s="31" t="str">
        <f>[3]!EQS(F233,"Units= ; EqnPrefix=Valem  ; EqnNo= 0; Multiplication= 1; ShowWorking= 1; EqnStyle=2; Eqp$G$17_0")</f>
        <v/>
      </c>
      <c r="I233" s="30" t="s">
        <v>186</v>
      </c>
    </row>
    <row r="234" spans="3:10" outlineLevel="1">
      <c r="C234" s="35" t="s">
        <v>65</v>
      </c>
      <c r="F234" s="27"/>
      <c r="G234" s="59"/>
      <c r="I234" s="32"/>
    </row>
    <row r="235" spans="3:10" ht="19.5" outlineLevel="1">
      <c r="E235" s="78" t="s">
        <v>57</v>
      </c>
      <c r="F235" s="42">
        <f>$F$6*LN(F229/$F$7)*$F$3</f>
        <v>26.251212335920307</v>
      </c>
      <c r="G235" s="59" t="s">
        <v>43</v>
      </c>
      <c r="H235" s="31" t="str">
        <f>[3]!EQS(F235,"Units= ; EqnPrefix=Valem  ; EqnNo= 0; Multiplication= 1; ShowWorking= 0; EqnStyle= 2; Eqp$H$21_2")</f>
        <v/>
      </c>
      <c r="I235" s="40" t="s">
        <v>250</v>
      </c>
      <c r="J235" s="31"/>
    </row>
    <row r="236" spans="3:10" outlineLevel="1">
      <c r="E236" s="28"/>
      <c r="F236" s="42"/>
      <c r="G236" s="59"/>
      <c r="H236" s="31" t="str">
        <f>[3]!EQS(F235,"Units= ; EqnPrefix=Valem  ; EqnNo= 0; Multiplication= 1; ShowWorking= 1; EqnStyle= 2; Eqp$H$21_$H$22_3")</f>
        <v/>
      </c>
      <c r="I236" s="40" t="s">
        <v>64</v>
      </c>
      <c r="J236" s="31"/>
    </row>
    <row r="237" spans="3:10" outlineLevel="1">
      <c r="C237" s="41" t="s">
        <v>77</v>
      </c>
      <c r="D237" s="41"/>
      <c r="F237" s="42"/>
      <c r="G237" s="59"/>
      <c r="H237" s="31"/>
      <c r="I237" s="40"/>
      <c r="J237" s="31"/>
    </row>
    <row r="238" spans="3:10" ht="19.5" outlineLevel="1">
      <c r="E238" s="78" t="s">
        <v>75</v>
      </c>
      <c r="F238" s="42">
        <f>1/2*$F$5*F235^2</f>
        <v>422.08976632716445</v>
      </c>
      <c r="G238" s="61" t="s">
        <v>76</v>
      </c>
      <c r="H238" s="31" t="str">
        <f>[3]!EQS(F238,"Units= ; EqnPrefix=Valem  ; EqnNo= 0; Multiplication= 1; ShowWorking= 0; EqnStyle= 2; Eqp$G$21_0")</f>
        <v/>
      </c>
      <c r="I238" s="40" t="s">
        <v>251</v>
      </c>
      <c r="J238" s="31"/>
    </row>
    <row r="239" spans="3:10" outlineLevel="1">
      <c r="E239" s="37"/>
      <c r="F239" s="42"/>
      <c r="G239" s="61"/>
      <c r="H239" s="31" t="str">
        <f>[3]!EQS(F238,"Units= ; EqnPrefix=Valem  ; EqnNo= 0; Multiplication= 1; ShowWorking= 1; EqnStyle= 2; Eqp$G$21_$G$25_1")</f>
        <v/>
      </c>
      <c r="I239" s="40" t="s">
        <v>252</v>
      </c>
      <c r="J239" s="31"/>
    </row>
    <row r="240" spans="3:10" outlineLevel="1">
      <c r="C240" s="35" t="s">
        <v>79</v>
      </c>
      <c r="E240" s="37"/>
      <c r="F240" s="42"/>
      <c r="G240" s="61"/>
      <c r="I240" s="40"/>
      <c r="J240" s="31"/>
    </row>
    <row r="241" spans="3:10" ht="19.5" outlineLevel="1">
      <c r="E241" s="78" t="s">
        <v>80</v>
      </c>
      <c r="F241" s="42">
        <f>(1+2.28/LN(F229/$F$7))^2</f>
        <v>1.8131807308313552</v>
      </c>
      <c r="G241" s="61"/>
      <c r="H241" s="31" t="str">
        <f>[3]!EQS(F241,"Units= ; EqnPrefix=Valem  ; EqnNo= 0; Multiplication= 1; ShowWorking= 0; EqnStyle= 2; Eqp$G$24_0")</f>
        <v/>
      </c>
      <c r="I241" s="40" t="s">
        <v>253</v>
      </c>
      <c r="J241" s="31"/>
    </row>
    <row r="242" spans="3:10" outlineLevel="1">
      <c r="E242" s="37"/>
      <c r="F242" s="42"/>
      <c r="G242" s="61"/>
      <c r="H242" s="31" t="str">
        <f>[3]!EQS(F241,"Units= ; EqnPrefix=Valem  ; EqnNo= 0; Multiplication= 1; ShowWorking= 1; EqnStyle= 2; Eqp$G$24_$G$28_1")</f>
        <v/>
      </c>
      <c r="I242" s="40" t="s">
        <v>254</v>
      </c>
      <c r="J242" s="31"/>
    </row>
    <row r="243" spans="3:10" outlineLevel="1">
      <c r="C243" s="23" t="s">
        <v>50</v>
      </c>
      <c r="D243" s="23"/>
      <c r="E243" s="37"/>
      <c r="F243" s="42"/>
      <c r="G243" s="61"/>
      <c r="J243" s="31"/>
    </row>
    <row r="244" spans="3:10" ht="19.5" outlineLevel="1">
      <c r="E244" s="28" t="s">
        <v>52</v>
      </c>
      <c r="F244" s="23">
        <v>1.1499999999999999</v>
      </c>
      <c r="J244" s="31"/>
    </row>
    <row r="245" spans="3:10" ht="19.5" outlineLevel="1">
      <c r="C245" s="69" t="s">
        <v>187</v>
      </c>
      <c r="D245" s="39"/>
      <c r="E245" s="24"/>
      <c r="F245" s="43"/>
      <c r="H245" s="31"/>
      <c r="I245" s="31"/>
      <c r="J245" s="31"/>
    </row>
    <row r="246" spans="3:10" outlineLevel="1">
      <c r="E246" s="78" t="s">
        <v>244</v>
      </c>
      <c r="F246" s="31">
        <f>15*10^-6</f>
        <v>1.4999999999999999E-5</v>
      </c>
      <c r="G246" s="61" t="s">
        <v>66</v>
      </c>
      <c r="H246" s="31"/>
      <c r="I246" s="41" t="s">
        <v>67</v>
      </c>
      <c r="J246" s="31"/>
    </row>
    <row r="247" spans="3:10" outlineLevel="1">
      <c r="E247" s="78" t="s">
        <v>245</v>
      </c>
      <c r="F247" s="31">
        <f>F230</f>
        <v>2.01E-2</v>
      </c>
      <c r="G247" s="61" t="s">
        <v>51</v>
      </c>
      <c r="H247" s="31"/>
      <c r="I247" s="41" t="s">
        <v>68</v>
      </c>
      <c r="J247" s="31"/>
    </row>
    <row r="248" spans="3:10" outlineLevel="1">
      <c r="C248" s="23"/>
      <c r="D248" s="41" t="s">
        <v>73</v>
      </c>
      <c r="E248" s="37"/>
      <c r="F248" s="31"/>
      <c r="G248" s="61"/>
      <c r="H248" s="31"/>
      <c r="I248" s="41"/>
      <c r="J248" s="31"/>
    </row>
    <row r="249" spans="3:10" outlineLevel="1">
      <c r="C249" s="23"/>
      <c r="E249" s="37" t="s">
        <v>69</v>
      </c>
      <c r="F249" s="44">
        <f>F247*F235/F246</f>
        <v>35176.624530133209</v>
      </c>
      <c r="H249" s="31" t="str">
        <f>[3]!EQS(F249,"Units= ; EqnPrefix=Valem  ; EqnNo= 0; Multiplication= 1; ShowWorking= 1; EqnStyle= 2; Eqp$G$27_0")</f>
        <v/>
      </c>
      <c r="I249" s="30" t="s">
        <v>207</v>
      </c>
      <c r="J249" s="31"/>
    </row>
    <row r="250" spans="3:10" outlineLevel="1">
      <c r="C250" s="23"/>
      <c r="D250" s="64" t="s">
        <v>188</v>
      </c>
      <c r="E250" s="37"/>
      <c r="F250" s="44"/>
      <c r="H250" s="31"/>
      <c r="I250" s="41"/>
      <c r="J250" s="31"/>
    </row>
    <row r="251" spans="3:10" ht="19.5" outlineLevel="1">
      <c r="C251" s="23"/>
      <c r="D251" s="41"/>
      <c r="E251" s="78" t="s">
        <v>189</v>
      </c>
      <c r="F251" s="42">
        <v>1.2</v>
      </c>
      <c r="H251" s="31"/>
      <c r="I251" s="41"/>
      <c r="J251" s="31"/>
    </row>
    <row r="252" spans="3:10" outlineLevel="1">
      <c r="C252" s="64" t="s">
        <v>190</v>
      </c>
      <c r="E252" s="31"/>
      <c r="F252" s="31"/>
      <c r="H252" s="31"/>
      <c r="I252" s="40"/>
      <c r="J252" s="31"/>
    </row>
    <row r="253" spans="3:10" ht="19.5" outlineLevel="1">
      <c r="E253" s="79" t="s">
        <v>196</v>
      </c>
      <c r="F253" s="53">
        <f>COS(RADIANS(45))^2</f>
        <v>0.50000000000000011</v>
      </c>
      <c r="H253" s="31" t="str">
        <f>[3]!EQS(F253,"Units= ; EqnPrefix=Valem  ; EqnNo= 0; Multiplication= 1; ShowWorking= 0; EqnStyle= 2; Eqp$H$75_2")</f>
        <v/>
      </c>
      <c r="I253" s="40" t="s">
        <v>264</v>
      </c>
      <c r="J253" s="31"/>
    </row>
    <row r="254" spans="3:10" outlineLevel="1">
      <c r="C254" s="64" t="s">
        <v>191</v>
      </c>
      <c r="E254" s="55"/>
      <c r="F254" s="53"/>
      <c r="H254" s="31"/>
      <c r="I254" s="40"/>
      <c r="J254" s="31"/>
    </row>
    <row r="255" spans="3:10" ht="19.5" outlineLevel="1">
      <c r="E255" s="79" t="s">
        <v>197</v>
      </c>
      <c r="F255" s="53">
        <f>COS(RADIANS(45))^2</f>
        <v>0.50000000000000011</v>
      </c>
      <c r="H255" s="31" t="str">
        <f>[3]!EQS(F255,"Units= ; EqnPrefix=Valem  ; EqnNo= 0; Multiplication= 1; ShowWorking= 0; EqnStyle= 2; Eqp$H$75_2")</f>
        <v/>
      </c>
      <c r="I255" s="40" t="s">
        <v>264</v>
      </c>
      <c r="J255" s="31"/>
    </row>
    <row r="256" spans="3:10">
      <c r="C256" s="64" t="s">
        <v>192</v>
      </c>
    </row>
    <row r="257" spans="2:9" ht="19.5">
      <c r="E257" s="79" t="s">
        <v>199</v>
      </c>
      <c r="F257" s="46">
        <f>F238*F241*F244*F251*F230*F253</f>
        <v>10.614292854738233</v>
      </c>
      <c r="G257" s="61" t="s">
        <v>86</v>
      </c>
      <c r="H257" s="31" t="str">
        <f>[3]!EQS(F257,"Units= ; EqnPrefix=Valem  ; EqnNo= 0; Multiplication= 1; ShowWorking= 0; EqnStyle= 2; Eqp$G$39_0")</f>
        <v/>
      </c>
      <c r="I257" s="30" t="s">
        <v>285</v>
      </c>
    </row>
    <row r="258" spans="2:9">
      <c r="H258" s="23" t="str">
        <f>[3]!EQS(F257,"Units= ; EqnPrefix=Valem  ; EqnNo= 0; Multiplication= 1; ShowWorking= 1; EqnStyle= 2; Eqp$G$39_$G$40_1")</f>
        <v/>
      </c>
      <c r="I258" s="30" t="s">
        <v>318</v>
      </c>
    </row>
    <row r="259" spans="2:9" ht="19.5">
      <c r="E259" s="79" t="s">
        <v>201</v>
      </c>
      <c r="F259" s="70">
        <f>COS(RADIANS(45))*F257</f>
        <v>7.505438455085323</v>
      </c>
      <c r="G259" s="61" t="s">
        <v>86</v>
      </c>
      <c r="H259" s="31" t="str">
        <f>[3]!EQS(F259,"Units= ; EqnPrefix=Valem  ; EqnNo= 0; Multiplication= 1; ShowWorking= 0; EqnStyle= 2; Eqp$H$259_2")</f>
        <v/>
      </c>
      <c r="I259" s="30" t="s">
        <v>286</v>
      </c>
    </row>
    <row r="260" spans="2:9" ht="19.5">
      <c r="E260" s="79" t="s">
        <v>202</v>
      </c>
      <c r="F260" s="68" t="s">
        <v>203</v>
      </c>
      <c r="I260" s="30"/>
    </row>
    <row r="261" spans="2:9">
      <c r="C261" s="64" t="s">
        <v>193</v>
      </c>
    </row>
    <row r="262" spans="2:9" ht="19.5">
      <c r="E262" s="78" t="s">
        <v>200</v>
      </c>
      <c r="F262" s="46">
        <f>F238*F241*F244*F251*F230*F255</f>
        <v>10.614292854738233</v>
      </c>
      <c r="G262" s="61" t="s">
        <v>86</v>
      </c>
      <c r="H262" s="31" t="str">
        <f>[3]!EQS(F262,"Units= ; EqnPrefix=Valem  ; EqnNo= 0; Multiplication= 1; ShowWorking= 0; EqnStyle= 2; Eqp$G$39_0")</f>
        <v/>
      </c>
      <c r="I262" s="30" t="s">
        <v>287</v>
      </c>
    </row>
    <row r="263" spans="2:9">
      <c r="H263" s="23" t="str">
        <f>[3]!EQS(F262,"Units= ; EqnPrefix=Valem  ; EqnNo= 0; Multiplication= 1; ShowWorking= 1; EqnStyle= 2; Eqp$G$39_$G$40_1")</f>
        <v/>
      </c>
      <c r="I263" s="30" t="s">
        <v>318</v>
      </c>
    </row>
    <row r="264" spans="2:9" ht="19.5">
      <c r="E264" s="79" t="s">
        <v>204</v>
      </c>
      <c r="F264" s="70">
        <f>COS(RADIANS(45))*F262</f>
        <v>7.505438455085323</v>
      </c>
      <c r="G264" s="61" t="s">
        <v>86</v>
      </c>
      <c r="H264" s="31" t="str">
        <f>[3]!EQS(F264,"Units= ; EqnPrefix=Valem  ; EqnNo= 0; Multiplication= 1; ShowWorking= 0; EqnStyle= 2; Eqp$H$264_2")</f>
        <v/>
      </c>
      <c r="I264" s="30" t="s">
        <v>288</v>
      </c>
    </row>
    <row r="265" spans="2:9" ht="19.5">
      <c r="E265" s="79" t="s">
        <v>205</v>
      </c>
      <c r="F265" s="68" t="s">
        <v>206</v>
      </c>
      <c r="I265" s="30"/>
    </row>
    <row r="269" spans="2:9">
      <c r="B269" s="71" t="s">
        <v>311</v>
      </c>
      <c r="C269" s="64"/>
    </row>
    <row r="270" spans="2:9">
      <c r="C270" s="64" t="s">
        <v>218</v>
      </c>
    </row>
    <row r="271" spans="2:9" ht="19.5">
      <c r="E271" s="78" t="s">
        <v>209</v>
      </c>
      <c r="F271" s="70">
        <f>2047.07103484027/360</f>
        <v>5.6863084301118612</v>
      </c>
      <c r="G271" s="67" t="s">
        <v>86</v>
      </c>
    </row>
    <row r="273" spans="2:9">
      <c r="C273" s="64" t="s">
        <v>210</v>
      </c>
    </row>
    <row r="274" spans="2:9" ht="19.5">
      <c r="E274" s="78" t="s">
        <v>211</v>
      </c>
      <c r="F274" s="70">
        <f>COS(RADIANS(4))</f>
        <v>0.9975640502598242</v>
      </c>
      <c r="H274" s="31" t="str">
        <f>[3]!EQS(F274,"Units= ; EqnPrefix=Valem  ; EqnNo= 0; Multiplication= 1; ShowWorking= 0; EqnStyle= 2; Eqp$H$274_2")</f>
        <v/>
      </c>
      <c r="I274" s="30" t="s">
        <v>319</v>
      </c>
    </row>
    <row r="275" spans="2:9">
      <c r="C275" s="64" t="s">
        <v>219</v>
      </c>
    </row>
    <row r="276" spans="2:9" ht="19.5">
      <c r="E276" s="78" t="s">
        <v>213</v>
      </c>
      <c r="F276" s="46">
        <f>F271*F274</f>
        <v>5.6724568685689709</v>
      </c>
      <c r="G276" s="67" t="s">
        <v>86</v>
      </c>
      <c r="H276" s="31" t="str">
        <f>[3]!EQS(F276,"Units= ; EqnPrefix=Valem  ; EqnNo= 0; Multiplication= 1; ShowWorking= 0; EqnStyle= 2; Eqp$H$276_2")</f>
        <v/>
      </c>
      <c r="I276" s="30" t="s">
        <v>289</v>
      </c>
    </row>
    <row r="277" spans="2:9">
      <c r="D277" s="64" t="s">
        <v>225</v>
      </c>
      <c r="F277" s="70"/>
      <c r="G277" s="67"/>
      <c r="H277" s="31"/>
      <c r="I277" s="30"/>
    </row>
    <row r="278" spans="2:9" ht="19.5">
      <c r="E278" s="78" t="s">
        <v>221</v>
      </c>
      <c r="F278" s="70">
        <f>COS(RADIANS(4))*F276</f>
        <v>5.6586390487338223</v>
      </c>
      <c r="G278" s="67" t="s">
        <v>86</v>
      </c>
      <c r="H278" s="31" t="str">
        <f>[3]!EQS(F278,"Units= ; EqnPrefix=Valem  ; EqnNo= 0; Multiplication= 1; ShowWorking= 0; EqnStyle= 2; Eqp$H$277_2")</f>
        <v/>
      </c>
      <c r="I278" s="30" t="s">
        <v>290</v>
      </c>
    </row>
    <row r="279" spans="2:9" ht="19.5">
      <c r="E279" s="78" t="s">
        <v>222</v>
      </c>
      <c r="F279" s="70">
        <f>SIN(RADIANS(4))*F276</f>
        <v>0.39569058861701467</v>
      </c>
      <c r="G279" s="67" t="s">
        <v>86</v>
      </c>
      <c r="H279" s="31" t="str">
        <f>[3]!EQS(F279,"Units= ; EqnPrefix=Valem  ; EqnNo= 0; Multiplication= 1; ShowWorking= 0; EqnStyle=2; Eqp$H$278_2")</f>
        <v/>
      </c>
      <c r="I279" s="30" t="s">
        <v>291</v>
      </c>
    </row>
    <row r="280" spans="2:9">
      <c r="C280" s="64" t="s">
        <v>214</v>
      </c>
    </row>
    <row r="281" spans="2:9" ht="19.5">
      <c r="E281" s="78" t="s">
        <v>304</v>
      </c>
      <c r="F281" s="70">
        <f>COS(RADIANS(4))</f>
        <v>0.9975640502598242</v>
      </c>
      <c r="H281" s="31" t="str">
        <f>[3]!EQS(F281,"Units= ; EqnPrefix=Valem  ; EqnNo= 0; Multiplication= 1; ShowWorking= 0; EqnStyle= 2; Eqp$H$278_2")</f>
        <v/>
      </c>
      <c r="I281" s="30" t="s">
        <v>319</v>
      </c>
    </row>
    <row r="282" spans="2:9">
      <c r="C282" s="64" t="s">
        <v>220</v>
      </c>
    </row>
    <row r="283" spans="2:9" ht="19.5">
      <c r="E283" s="78" t="s">
        <v>216</v>
      </c>
      <c r="F283" s="46">
        <f>F271*F281</f>
        <v>5.6724568685689709</v>
      </c>
      <c r="G283" s="67" t="s">
        <v>86</v>
      </c>
      <c r="H283" s="31" t="str">
        <f>[3]!EQS(F283,"Units= ; EqnPrefix=Valem  ; EqnNo= 0; Multiplication= 1; ShowWorking= 0; EqnStyle= 2; Eqp$H$276_2")</f>
        <v/>
      </c>
      <c r="I283" s="30" t="s">
        <v>305</v>
      </c>
    </row>
    <row r="284" spans="2:9">
      <c r="D284" s="64" t="s">
        <v>225</v>
      </c>
      <c r="E284" s="66"/>
      <c r="F284" s="70"/>
      <c r="G284" s="67"/>
      <c r="H284" s="31"/>
      <c r="I284" s="30"/>
    </row>
    <row r="285" spans="2:9" ht="19.5">
      <c r="E285" s="78" t="s">
        <v>221</v>
      </c>
      <c r="F285" s="70">
        <f>COS(RADIANS(4))*F283</f>
        <v>5.6586390487338223</v>
      </c>
      <c r="G285" s="67" t="s">
        <v>86</v>
      </c>
      <c r="H285" s="31" t="str">
        <f>[3]!EQS(F285,"Units= ; EqnPrefix=Valem  ; EqnNo= 0; Multiplication= 1; ShowWorking= 0; EqnStyle= 2; Eqp$H$277_2")</f>
        <v/>
      </c>
      <c r="I285" s="30" t="s">
        <v>292</v>
      </c>
    </row>
    <row r="286" spans="2:9" ht="19.5">
      <c r="E286" s="78" t="s">
        <v>222</v>
      </c>
      <c r="F286" s="70">
        <f>SIN(RADIANS(4))*F283</f>
        <v>0.39569058861701467</v>
      </c>
      <c r="G286" s="67" t="s">
        <v>86</v>
      </c>
      <c r="H286" s="31" t="str">
        <f>[3]!EQS(F286,"Units= ; EqnPrefix=Valem  ; EqnNo= 0; Multiplication= 1; ShowWorking= 0; EqnStyle=2; Eqp$H$278_2")</f>
        <v/>
      </c>
      <c r="I286" s="30" t="s">
        <v>293</v>
      </c>
    </row>
    <row r="287" spans="2:9">
      <c r="E287" s="66"/>
      <c r="F287" s="70"/>
      <c r="G287" s="67"/>
      <c r="H287" s="31"/>
      <c r="I287" s="30"/>
    </row>
    <row r="288" spans="2:9">
      <c r="B288" s="71" t="s">
        <v>226</v>
      </c>
      <c r="E288" s="66"/>
      <c r="F288" s="70"/>
      <c r="G288" s="67"/>
      <c r="H288" s="31"/>
      <c r="I288" s="30"/>
    </row>
    <row r="289" spans="2:9">
      <c r="D289" s="64" t="s">
        <v>208</v>
      </c>
      <c r="E289" s="66"/>
      <c r="F289" s="70"/>
      <c r="G289" s="67"/>
      <c r="H289" s="31"/>
      <c r="I289" s="30"/>
    </row>
    <row r="290" spans="2:9" ht="19.5">
      <c r="E290" s="80" t="s">
        <v>227</v>
      </c>
      <c r="F290" s="46">
        <v>71</v>
      </c>
      <c r="G290" s="67" t="s">
        <v>154</v>
      </c>
      <c r="H290" s="31"/>
      <c r="I290" s="30"/>
    </row>
    <row r="291" spans="2:9">
      <c r="D291" s="64" t="s">
        <v>225</v>
      </c>
      <c r="E291" s="66"/>
      <c r="F291" s="70"/>
      <c r="G291" s="67"/>
      <c r="H291" s="31"/>
      <c r="I291" s="30"/>
    </row>
    <row r="292" spans="2:9" ht="19.5">
      <c r="E292" s="78" t="s">
        <v>221</v>
      </c>
      <c r="F292" s="70">
        <f>COS(RADIANS(0))*F290</f>
        <v>71</v>
      </c>
      <c r="G292" s="67" t="s">
        <v>154</v>
      </c>
      <c r="H292" s="31" t="str">
        <f>[3]!EQS(F292,"Units= ; EqnPrefix=Valem  ; EqnNo= 0; Multiplication= 1; ShowWorking= 0; EqnStyle= 2; Eqp$H$277_2")</f>
        <v/>
      </c>
      <c r="I292" s="30" t="s">
        <v>320</v>
      </c>
    </row>
    <row r="293" spans="2:9" ht="19.5">
      <c r="E293" s="78" t="s">
        <v>222</v>
      </c>
      <c r="F293" s="70">
        <f>SIN(RADIANS(0))*F290</f>
        <v>0</v>
      </c>
      <c r="G293" s="67" t="s">
        <v>154</v>
      </c>
      <c r="H293" s="31" t="str">
        <f>[3]!EQS(F293,"Units= ; EqnPrefix=Valem  ; EqnNo= 0; Multiplication= 1; ShowWorking= 0; EqnStyle=2; Eqp$H$278_2")</f>
        <v/>
      </c>
      <c r="I293" s="30" t="s">
        <v>321</v>
      </c>
    </row>
    <row r="294" spans="2:9">
      <c r="E294" s="66"/>
      <c r="F294" s="70"/>
      <c r="G294" s="67"/>
      <c r="H294" s="31"/>
      <c r="I294" s="30"/>
    </row>
    <row r="295" spans="2:9">
      <c r="E295" s="66"/>
      <c r="F295" s="70"/>
      <c r="G295" s="67"/>
      <c r="H295" s="31"/>
      <c r="I295" s="30"/>
    </row>
    <row r="296" spans="2:9">
      <c r="B296" s="71" t="s">
        <v>310</v>
      </c>
    </row>
    <row r="297" spans="2:9">
      <c r="C297" s="64" t="s">
        <v>217</v>
      </c>
    </row>
    <row r="298" spans="2:9" ht="19.5">
      <c r="E298" s="78" t="s">
        <v>209</v>
      </c>
      <c r="F298" s="70">
        <f>4231/360</f>
        <v>11.752777777777778</v>
      </c>
      <c r="G298" s="67" t="s">
        <v>86</v>
      </c>
    </row>
    <row r="300" spans="2:9">
      <c r="C300" s="64" t="s">
        <v>210</v>
      </c>
    </row>
    <row r="301" spans="2:9" ht="19.5">
      <c r="E301" s="78" t="s">
        <v>211</v>
      </c>
      <c r="F301" s="81">
        <f>COS(RADIANS(4))</f>
        <v>0.9975640502598242</v>
      </c>
      <c r="H301" s="31" t="str">
        <f>[3]!EQS(F301,"Units= ; EqnPrefix=Valem  ; EqnNo= 0; Multiplication= 1; ShowWorking= 0; EqnStyle= 2; Eqp$H$274_2")</f>
        <v/>
      </c>
      <c r="I301" s="30" t="s">
        <v>319</v>
      </c>
    </row>
    <row r="302" spans="2:9">
      <c r="C302" s="64" t="s">
        <v>212</v>
      </c>
    </row>
    <row r="303" spans="2:9" ht="19.5">
      <c r="E303" s="78" t="s">
        <v>223</v>
      </c>
      <c r="F303" s="46">
        <f>F298*F301</f>
        <v>11.724148601803657</v>
      </c>
      <c r="G303" s="67" t="s">
        <v>86</v>
      </c>
      <c r="H303" s="31" t="str">
        <f>[3]!EQS(F303,"Units= ; EqnPrefix=Valem  ; EqnNo= 0; Multiplication= 1; ShowWorking= 0; EqnStyle= 2; Eqp$H$276_2")</f>
        <v/>
      </c>
      <c r="I303" s="30" t="s">
        <v>289</v>
      </c>
    </row>
    <row r="304" spans="2:9">
      <c r="D304" s="64" t="s">
        <v>225</v>
      </c>
      <c r="E304" s="66"/>
      <c r="F304" s="70"/>
      <c r="G304" s="67"/>
      <c r="H304" s="31"/>
      <c r="I304" s="30"/>
    </row>
    <row r="305" spans="2:9" ht="19.5">
      <c r="E305" s="78" t="s">
        <v>221</v>
      </c>
      <c r="F305" s="70">
        <f>COS(RADIANS(4))*F303</f>
        <v>11.695589165063311</v>
      </c>
      <c r="G305" s="67" t="s">
        <v>86</v>
      </c>
      <c r="H305" s="31" t="str">
        <f>[3]!EQS(F305,"Units= ; EqnPrefix=Valem  ; EqnNo= 0; Multiplication= 1; ShowWorking= 0; EqnStyle= 2; Eqp$H$277_2")</f>
        <v/>
      </c>
      <c r="I305" s="30" t="s">
        <v>294</v>
      </c>
    </row>
    <row r="306" spans="2:9" ht="19.5">
      <c r="E306" s="78" t="s">
        <v>222</v>
      </c>
      <c r="F306" s="70">
        <f>SIN(RADIANS(4))*F303</f>
        <v>0.81783526411394014</v>
      </c>
      <c r="G306" s="67" t="s">
        <v>86</v>
      </c>
      <c r="H306" s="31" t="str">
        <f>[3]!EQS(F306,"Units= ; EqnPrefix=Valem  ; EqnNo= 0; Multiplication= 1; ShowWorking= 0; EqnStyle=2; Eqp$H$278_2")</f>
        <v/>
      </c>
      <c r="I306" s="30" t="s">
        <v>295</v>
      </c>
    </row>
    <row r="307" spans="2:9">
      <c r="C307" s="64" t="s">
        <v>214</v>
      </c>
    </row>
    <row r="308" spans="2:9" ht="19.5">
      <c r="E308" s="78" t="s">
        <v>211</v>
      </c>
      <c r="F308" s="81">
        <f>COS(RADIANS(4))</f>
        <v>0.9975640502598242</v>
      </c>
      <c r="H308" s="31" t="str">
        <f>[3]!EQS(F308,"Units= ; EqnPrefix=Valem  ; EqnNo= 0; Multiplication= 1; ShowWorking= 0; EqnStyle= 2; Eqp$H$278_2")</f>
        <v/>
      </c>
      <c r="I308" s="30" t="s">
        <v>319</v>
      </c>
    </row>
    <row r="309" spans="2:9">
      <c r="C309" s="64" t="s">
        <v>215</v>
      </c>
    </row>
    <row r="310" spans="2:9" ht="19.5">
      <c r="E310" s="78" t="s">
        <v>224</v>
      </c>
      <c r="F310" s="46">
        <f>F298*F308</f>
        <v>11.724148601803657</v>
      </c>
      <c r="G310" s="67" t="s">
        <v>86</v>
      </c>
      <c r="H310" s="31" t="str">
        <f>[3]!EQS(F310,"Units= ; EqnPrefix=Valem  ; EqnNo= 0; Multiplication= 1; ShowWorking= 0; EqnStyle= 2; Eqp$H$276_2")</f>
        <v/>
      </c>
      <c r="I310" s="30" t="s">
        <v>289</v>
      </c>
    </row>
    <row r="311" spans="2:9">
      <c r="D311" s="64" t="s">
        <v>225</v>
      </c>
      <c r="E311" s="66"/>
      <c r="F311" s="70"/>
      <c r="G311" s="67"/>
      <c r="H311" s="31"/>
      <c r="I311" s="30"/>
    </row>
    <row r="312" spans="2:9" ht="19.5">
      <c r="E312" s="78" t="s">
        <v>221</v>
      </c>
      <c r="F312" s="70">
        <f>COS(RADIANS(4))*F310</f>
        <v>11.695589165063311</v>
      </c>
      <c r="G312" s="67" t="s">
        <v>86</v>
      </c>
      <c r="H312" s="31" t="str">
        <f>[3]!EQS(F312,"Units= ; EqnPrefix=Valem  ; EqnNo= 0; Multiplication= 1; ShowWorking= 0; EqnStyle= 2; Eqp$H$277_2")</f>
        <v/>
      </c>
      <c r="I312" s="30" t="s">
        <v>296</v>
      </c>
    </row>
    <row r="313" spans="2:9" ht="19.5">
      <c r="E313" s="78" t="s">
        <v>222</v>
      </c>
      <c r="F313" s="70">
        <f>SIN(RADIANS(4))*F310</f>
        <v>0.81783526411394014</v>
      </c>
      <c r="G313" s="67" t="s">
        <v>86</v>
      </c>
      <c r="H313" s="31" t="str">
        <f>[3]!EQS(F313,"Units= ; EqnPrefix=Valem  ; EqnNo= 0; Multiplication= 1; ShowWorking= 0; EqnStyle=2; Eqp$H$278_2")</f>
        <v/>
      </c>
      <c r="I313" s="30" t="s">
        <v>297</v>
      </c>
    </row>
    <row r="314" spans="2:9">
      <c r="E314" s="66"/>
      <c r="F314" s="70"/>
      <c r="G314" s="67"/>
      <c r="H314" s="31"/>
      <c r="I314" s="30"/>
    </row>
    <row r="315" spans="2:9">
      <c r="B315" s="71" t="s">
        <v>228</v>
      </c>
      <c r="E315" s="66"/>
      <c r="F315" s="70"/>
      <c r="G315" s="67"/>
      <c r="H315" s="31"/>
      <c r="I315" s="30"/>
    </row>
    <row r="316" spans="2:9">
      <c r="D316" s="64" t="s">
        <v>208</v>
      </c>
      <c r="E316" s="66"/>
      <c r="F316" s="70"/>
      <c r="G316" s="67"/>
      <c r="H316" s="31"/>
      <c r="I316" s="30"/>
    </row>
    <row r="317" spans="2:9" ht="19.5">
      <c r="E317" s="80" t="s">
        <v>229</v>
      </c>
      <c r="F317" s="46">
        <v>457.09998725859163</v>
      </c>
      <c r="G317" s="67" t="s">
        <v>154</v>
      </c>
      <c r="H317" s="31"/>
      <c r="I317" s="30"/>
    </row>
    <row r="318" spans="2:9">
      <c r="D318" s="64" t="s">
        <v>225</v>
      </c>
      <c r="E318" s="66"/>
      <c r="F318" s="70"/>
      <c r="G318" s="67"/>
      <c r="H318" s="31"/>
      <c r="I318" s="30"/>
    </row>
    <row r="319" spans="2:9" ht="19.5">
      <c r="E319" s="78" t="s">
        <v>221</v>
      </c>
      <c r="F319" s="70">
        <f>COS(RADIANS(0))*F317</f>
        <v>457.09998725859163</v>
      </c>
      <c r="G319" s="67" t="s">
        <v>154</v>
      </c>
      <c r="H319" s="31" t="str">
        <f>[3]!EQS(F319,"Units= ; EqnPrefix=Valem  ; EqnNo= 0; Multiplication= 1; ShowWorking= 0; EqnStyle= 2; Eqp$H$277_2")</f>
        <v/>
      </c>
      <c r="I319" s="30" t="s">
        <v>322</v>
      </c>
    </row>
    <row r="320" spans="2:9" ht="19.5">
      <c r="E320" s="78" t="s">
        <v>222</v>
      </c>
      <c r="F320" s="70">
        <f>SIN(RADIANS(0))*F317</f>
        <v>0</v>
      </c>
      <c r="G320" s="67" t="s">
        <v>154</v>
      </c>
      <c r="H320" s="31" t="str">
        <f>[3]!EQS(F320,"Units= ; EqnPrefix=Valem  ; EqnNo= 0; Multiplication= 1; ShowWorking= 0; EqnStyle=2; Eqp$H$278_2")</f>
        <v/>
      </c>
      <c r="I320" s="30" t="s">
        <v>323</v>
      </c>
    </row>
    <row r="321" spans="2:9">
      <c r="E321" s="66"/>
      <c r="F321" s="70"/>
      <c r="G321" s="67"/>
      <c r="H321" s="31"/>
      <c r="I321" s="30"/>
    </row>
    <row r="322" spans="2:9">
      <c r="B322" s="71" t="s">
        <v>180</v>
      </c>
    </row>
    <row r="323" spans="2:9">
      <c r="C323" s="64" t="s">
        <v>217</v>
      </c>
    </row>
    <row r="324" spans="2:9" ht="19.5">
      <c r="E324" s="78" t="s">
        <v>209</v>
      </c>
      <c r="F324" s="70">
        <f>888.8322/360</f>
        <v>2.4689783333333333</v>
      </c>
      <c r="G324" s="67" t="s">
        <v>86</v>
      </c>
    </row>
    <row r="326" spans="2:9">
      <c r="C326" s="64" t="s">
        <v>210</v>
      </c>
    </row>
    <row r="327" spans="2:9" ht="19.5">
      <c r="E327" s="78" t="s">
        <v>211</v>
      </c>
      <c r="F327" s="70">
        <f>COS(RADIANS(41))</f>
        <v>0.75470958022277201</v>
      </c>
      <c r="H327" s="31" t="str">
        <f>[3]!EQS(F327,"Units= ; EqnPrefix=Valem  ; EqnNo= 0; Multiplication= 1; ShowWorking= 0; EqnStyle= 2; Eqp$H$274_2")</f>
        <v/>
      </c>
      <c r="I327" s="30" t="s">
        <v>302</v>
      </c>
    </row>
    <row r="328" spans="2:9">
      <c r="C328" s="64" t="s">
        <v>212</v>
      </c>
    </row>
    <row r="329" spans="2:9" ht="19.5">
      <c r="E329" s="78" t="s">
        <v>223</v>
      </c>
      <c r="F329" s="46">
        <f>F324*F327</f>
        <v>1.8633616015291192</v>
      </c>
      <c r="G329" s="67" t="s">
        <v>86</v>
      </c>
      <c r="H329" s="31" t="str">
        <f>[3]!EQS(F329,"Units= ; EqnPrefix=Valem  ; EqnNo= 0; Multiplication= 1; ShowWorking= 0; EqnStyle= 2; Eqp$H$276_2")</f>
        <v/>
      </c>
      <c r="I329" s="30" t="s">
        <v>289</v>
      </c>
    </row>
    <row r="330" spans="2:9">
      <c r="D330" s="64" t="s">
        <v>225</v>
      </c>
      <c r="E330" s="66"/>
      <c r="F330" s="70"/>
      <c r="G330" s="67"/>
      <c r="H330" s="31"/>
      <c r="I330" s="30"/>
    </row>
    <row r="331" spans="2:9" ht="19.5">
      <c r="E331" s="78" t="s">
        <v>221</v>
      </c>
      <c r="F331" s="70">
        <f>COS(RADIANS(4))*F329</f>
        <v>1.8588225463200208</v>
      </c>
      <c r="G331" s="67" t="s">
        <v>86</v>
      </c>
      <c r="H331" s="31" t="str">
        <f>[3]!EQS(F331,"Units= ; EqnPrefix=Valem  ; EqnNo= 0; Multiplication= 1; ShowWorking= 0; EqnStyle= 2; Eqp$H$277_2")</f>
        <v/>
      </c>
      <c r="I331" s="30" t="s">
        <v>294</v>
      </c>
    </row>
    <row r="332" spans="2:9" ht="19.5">
      <c r="E332" s="78" t="s">
        <v>222</v>
      </c>
      <c r="F332" s="70">
        <f>SIN(RADIANS(4))*F329</f>
        <v>0.12998153463287729</v>
      </c>
      <c r="G332" s="67" t="s">
        <v>86</v>
      </c>
      <c r="H332" s="31" t="str">
        <f>[3]!EQS(F332,"Units= ; EqnPrefix=Valem  ; EqnNo= 0; Multiplication= 1; ShowWorking= 0; EqnStyle=2; Eqp$H$278_2")</f>
        <v/>
      </c>
      <c r="I332" s="30" t="s">
        <v>295</v>
      </c>
    </row>
    <row r="333" spans="2:9">
      <c r="C333" s="64" t="s">
        <v>214</v>
      </c>
    </row>
    <row r="334" spans="2:9" ht="19.5">
      <c r="E334" s="78" t="s">
        <v>211</v>
      </c>
      <c r="F334" s="70">
        <f>COS(RADIANS(49))</f>
        <v>0.65605902899050728</v>
      </c>
      <c r="H334" s="31" t="str">
        <f>[3]!EQS(F334,"Units= ; EqnPrefix=Valem  ; EqnNo= 0; Multiplication= 1; ShowWorking= 0; EqnStyle= 2; Eqp$H$278_2")</f>
        <v/>
      </c>
      <c r="I334" s="30" t="s">
        <v>303</v>
      </c>
    </row>
    <row r="335" spans="2:9">
      <c r="C335" s="64" t="s">
        <v>215</v>
      </c>
    </row>
    <row r="336" spans="2:9" ht="19.5">
      <c r="E336" s="78" t="s">
        <v>224</v>
      </c>
      <c r="F336" s="46">
        <f>F324*F334</f>
        <v>1.6197955279652676</v>
      </c>
      <c r="G336" s="67" t="s">
        <v>86</v>
      </c>
      <c r="H336" s="31" t="str">
        <f>[3]!EQS(F336,"Units= ; EqnPrefix=Valem  ; EqnNo= 0; Multiplication= 1; ShowWorking= 0; EqnStyle= 2; Eqp$H$276_2")</f>
        <v/>
      </c>
      <c r="I336" s="30" t="s">
        <v>289</v>
      </c>
    </row>
    <row r="337" spans="4:9">
      <c r="D337" s="64" t="s">
        <v>225</v>
      </c>
      <c r="E337" s="66"/>
      <c r="F337" s="70"/>
      <c r="G337" s="67"/>
      <c r="H337" s="31"/>
      <c r="I337" s="30"/>
    </row>
    <row r="338" spans="4:9" ht="19.5">
      <c r="E338" s="78" t="s">
        <v>221</v>
      </c>
      <c r="F338" s="70">
        <f>COS(RADIANS(4))*F336</f>
        <v>1.6158497874697826</v>
      </c>
      <c r="G338" s="67" t="s">
        <v>86</v>
      </c>
      <c r="H338" s="31" t="str">
        <f>[3]!EQS(F338,"Units= ; EqnPrefix=Valem  ; EqnNo= 0; Multiplication= 1; ShowWorking= 0; EqnStyle= 2; Eqp$H$277_2")</f>
        <v/>
      </c>
      <c r="I338" s="30" t="s">
        <v>296</v>
      </c>
    </row>
    <row r="339" spans="4:9" ht="19.5">
      <c r="E339" s="78" t="s">
        <v>222</v>
      </c>
      <c r="F339" s="70">
        <f>SIN(RADIANS(4))*F336</f>
        <v>0.11299122421736077</v>
      </c>
      <c r="G339" s="67" t="s">
        <v>86</v>
      </c>
      <c r="H339" s="31" t="str">
        <f>[3]!EQS(F339,"Units= ; EqnPrefix=Valem  ; EqnNo= 0; Multiplication= 1; ShowWorking= 0; EqnStyle=2; Eqp$H$278_2")</f>
        <v/>
      </c>
      <c r="I339" s="30" t="s">
        <v>297</v>
      </c>
    </row>
    <row r="340" spans="4:9">
      <c r="E340" s="66"/>
      <c r="F340" s="70"/>
      <c r="G340" s="67"/>
      <c r="H340" s="31"/>
      <c r="I340" s="30"/>
    </row>
  </sheetData>
  <mergeCells count="1">
    <mergeCell ref="A2:R2"/>
  </mergeCells>
  <pageMargins left="0.7" right="0.48958333333333331" top="0.75" bottom="0.75" header="0.3" footer="0.3"/>
  <pageSetup paperSize="9" orientation="portrait" horizontalDpi="300" verticalDpi="3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/>
  </sheetPr>
  <dimension ref="A2:AB421"/>
  <sheetViews>
    <sheetView workbookViewId="0"/>
  </sheetViews>
  <sheetFormatPr defaultRowHeight="18" outlineLevelRow="1"/>
  <cols>
    <col min="1" max="1" width="1.375" style="71" customWidth="1"/>
    <col min="2" max="2" width="1.5" style="71" customWidth="1"/>
    <col min="3" max="4" width="1.5" style="35" customWidth="1"/>
    <col min="5" max="5" width="6.125" style="23" customWidth="1"/>
    <col min="6" max="6" width="8.5" style="23" customWidth="1"/>
    <col min="7" max="7" width="6.125" style="58" customWidth="1"/>
    <col min="8" max="8" width="0.875" style="23" customWidth="1"/>
    <col min="9" max="9" width="3.625" style="23" customWidth="1"/>
    <col min="10" max="11" width="6.125" style="23" customWidth="1"/>
    <col min="12" max="20" width="6.25" style="23" customWidth="1"/>
    <col min="21" max="21" width="1.375" style="23" customWidth="1"/>
    <col min="22" max="22" width="6.25" style="23" customWidth="1"/>
    <col min="23" max="16384" width="9" style="23"/>
  </cols>
  <sheetData>
    <row r="2" spans="1:18" ht="31.5" customHeight="1">
      <c r="A2" s="264" t="s">
        <v>600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</row>
    <row r="3" spans="1:18" ht="19.5" outlineLevel="1">
      <c r="E3" s="24" t="s">
        <v>42</v>
      </c>
      <c r="F3" s="23">
        <v>21</v>
      </c>
      <c r="G3" s="58" t="s">
        <v>43</v>
      </c>
      <c r="I3" s="23" t="s">
        <v>44</v>
      </c>
    </row>
    <row r="4" spans="1:18" ht="19.5" outlineLevel="1">
      <c r="E4" s="24" t="s">
        <v>45</v>
      </c>
      <c r="F4" s="23">
        <f>F3</f>
        <v>21</v>
      </c>
      <c r="G4" s="58" t="s">
        <v>43</v>
      </c>
      <c r="I4" s="23" t="s">
        <v>46</v>
      </c>
    </row>
    <row r="5" spans="1:18" outlineLevel="1">
      <c r="E5" s="25" t="s">
        <v>47</v>
      </c>
      <c r="F5" s="23">
        <v>1.2250000000000001</v>
      </c>
      <c r="G5" s="58" t="s">
        <v>48</v>
      </c>
      <c r="I5" s="23" t="s">
        <v>49</v>
      </c>
    </row>
    <row r="6" spans="1:18" ht="19.5" outlineLevel="1">
      <c r="E6" s="25" t="s">
        <v>58</v>
      </c>
      <c r="F6" s="23">
        <v>0.19</v>
      </c>
      <c r="I6" s="32" t="s">
        <v>59</v>
      </c>
    </row>
    <row r="7" spans="1:18" ht="19.5" outlineLevel="1">
      <c r="E7" s="25" t="s">
        <v>60</v>
      </c>
      <c r="F7" s="23">
        <v>0.05</v>
      </c>
      <c r="G7" s="59" t="s">
        <v>51</v>
      </c>
      <c r="I7" s="32" t="s">
        <v>61</v>
      </c>
    </row>
    <row r="8" spans="1:18" ht="19.5" outlineLevel="1">
      <c r="E8" s="25" t="s">
        <v>62</v>
      </c>
      <c r="F8" s="23">
        <v>10</v>
      </c>
      <c r="G8" s="59" t="s">
        <v>51</v>
      </c>
      <c r="I8" s="34" t="s">
        <v>63</v>
      </c>
    </row>
    <row r="9" spans="1:18" ht="19.5" outlineLevel="1">
      <c r="E9" s="114" t="s">
        <v>502</v>
      </c>
      <c r="F9" s="23">
        <v>1.1499999999999999</v>
      </c>
      <c r="I9" s="109" t="s">
        <v>503</v>
      </c>
    </row>
    <row r="10" spans="1:18" outlineLevel="1">
      <c r="E10" s="24"/>
    </row>
    <row r="11" spans="1:18">
      <c r="E11" s="24"/>
    </row>
    <row r="12" spans="1:18">
      <c r="B12" s="72" t="s">
        <v>53</v>
      </c>
      <c r="C12" s="36"/>
      <c r="D12" s="36"/>
      <c r="E12" s="29"/>
      <c r="F12" s="29"/>
      <c r="G12" s="60"/>
      <c r="H12" s="29"/>
      <c r="I12" s="29"/>
      <c r="J12" s="29"/>
      <c r="K12" s="29"/>
      <c r="L12" s="29"/>
    </row>
    <row r="13" spans="1:18" outlineLevel="1">
      <c r="B13" s="72"/>
      <c r="C13" s="35" t="s">
        <v>100</v>
      </c>
      <c r="D13" s="36"/>
      <c r="E13" s="29"/>
      <c r="F13" s="29"/>
      <c r="G13" s="60"/>
      <c r="H13" s="29"/>
      <c r="I13" s="29"/>
      <c r="J13" s="29"/>
      <c r="K13" s="29"/>
      <c r="L13" s="29"/>
    </row>
    <row r="14" spans="1:18" outlineLevel="1">
      <c r="C14" s="38" t="s">
        <v>101</v>
      </c>
      <c r="E14" s="24"/>
      <c r="K14" s="38"/>
    </row>
    <row r="15" spans="1:18" outlineLevel="1">
      <c r="E15" s="114" t="s">
        <v>54</v>
      </c>
      <c r="F15" s="33">
        <v>36</v>
      </c>
      <c r="G15" s="59" t="s">
        <v>51</v>
      </c>
      <c r="I15" s="32" t="s">
        <v>55</v>
      </c>
    </row>
    <row r="16" spans="1:18" outlineLevel="1">
      <c r="E16" s="114" t="s">
        <v>514</v>
      </c>
      <c r="F16" s="33">
        <v>0.32400000000000001</v>
      </c>
      <c r="G16" s="59" t="s">
        <v>51</v>
      </c>
      <c r="I16" s="32" t="s">
        <v>56</v>
      </c>
    </row>
    <row r="17" spans="3:12" outlineLevel="1">
      <c r="C17" s="38" t="s">
        <v>82</v>
      </c>
      <c r="D17" s="38"/>
      <c r="E17" s="28"/>
      <c r="F17" s="27"/>
      <c r="G17" s="59"/>
      <c r="I17" s="32"/>
    </row>
    <row r="18" spans="3:12" ht="19.5" outlineLevel="1">
      <c r="E18" s="114" t="s">
        <v>97</v>
      </c>
      <c r="F18" s="45">
        <f>F16*F15</f>
        <v>11.664</v>
      </c>
      <c r="G18" s="61" t="s">
        <v>81</v>
      </c>
      <c r="H18" s="31" t="str">
        <f>[3]!EQS(F18,"Units= ; EqnPrefix=Valem  ; EqnNo= 0; Multiplication= 1; ShowWorking= 1; EqnStyle=2; Eqp$G$17_0")</f>
        <v/>
      </c>
      <c r="I18" s="30" t="s">
        <v>83</v>
      </c>
      <c r="L18" s="26"/>
    </row>
    <row r="19" spans="3:12" outlineLevel="1">
      <c r="C19" s="35" t="s">
        <v>65</v>
      </c>
      <c r="F19" s="27"/>
      <c r="G19" s="59"/>
      <c r="I19" s="32"/>
    </row>
    <row r="20" spans="3:12" ht="16.5" customHeight="1" outlineLevel="1">
      <c r="E20" s="114" t="s">
        <v>57</v>
      </c>
      <c r="F20" s="42">
        <f>$F$6*LN(F15/$F$7)*$F$3</f>
        <v>26.251212335920307</v>
      </c>
      <c r="G20" s="59" t="s">
        <v>43</v>
      </c>
      <c r="H20" s="31" t="str">
        <f>[3]!EQS(F20,"Units= ; EqnPrefix=Valem  ; EqnNo= 0; Multiplication= 1; ShowWorking= 0; EqnStyle= 2; Eqp$H$21_2")</f>
        <v/>
      </c>
      <c r="I20" s="40" t="s">
        <v>526</v>
      </c>
      <c r="J20" s="31"/>
    </row>
    <row r="21" spans="3:12" ht="12" customHeight="1" outlineLevel="1">
      <c r="E21" s="28"/>
      <c r="F21" s="42"/>
      <c r="G21" s="59"/>
      <c r="H21" s="31" t="str">
        <f>[3]!EQS(F20,"Units= ; EqnPrefix=Valem  ; EqnNo= 0; Multiplication= 1; ShowWorking= 1; EqnStyle= 2; Eqp$H$21_$H$22_3")</f>
        <v/>
      </c>
      <c r="I21" s="40" t="s">
        <v>64</v>
      </c>
      <c r="J21" s="31"/>
    </row>
    <row r="22" spans="3:12" outlineLevel="1">
      <c r="C22" s="41" t="s">
        <v>77</v>
      </c>
      <c r="D22" s="41"/>
      <c r="F22" s="42"/>
      <c r="G22" s="59"/>
      <c r="H22" s="31"/>
      <c r="I22" s="40"/>
      <c r="J22" s="31"/>
    </row>
    <row r="23" spans="3:12" ht="19.5" outlineLevel="1">
      <c r="E23" s="114" t="s">
        <v>75</v>
      </c>
      <c r="F23" s="42">
        <f>1/2*$F$5*F20^2</f>
        <v>422.08976632716445</v>
      </c>
      <c r="G23" s="61" t="s">
        <v>76</v>
      </c>
      <c r="H23" s="31" t="str">
        <f>[3]!EQS(F23,"Units= ; EqnPrefix=Valem  ; EqnNo= 0; Multiplication= 1; ShowWorking= 0; EqnStyle= 2; Eqp$G$21_0")</f>
        <v/>
      </c>
      <c r="I23" s="40" t="s">
        <v>527</v>
      </c>
      <c r="J23" s="31"/>
    </row>
    <row r="24" spans="3:12" outlineLevel="1">
      <c r="E24" s="37"/>
      <c r="F24" s="42"/>
      <c r="G24" s="61"/>
      <c r="H24" s="31" t="str">
        <f>[3]!EQS(F23,"Units= ; EqnPrefix=Valem  ; EqnNo= 0; Multiplication= 1; ShowWorking= 1; EqnStyle= 2; Eqp$G$21_$G$25_1")</f>
        <v/>
      </c>
      <c r="I24" s="40" t="s">
        <v>528</v>
      </c>
      <c r="J24" s="31"/>
    </row>
    <row r="25" spans="3:12" outlineLevel="1">
      <c r="C25" s="35" t="s">
        <v>79</v>
      </c>
      <c r="E25" s="37"/>
      <c r="F25" s="42"/>
      <c r="G25" s="61"/>
      <c r="I25" s="40"/>
      <c r="J25" s="31"/>
    </row>
    <row r="26" spans="3:12" ht="19.5" outlineLevel="1">
      <c r="E26" s="114" t="s">
        <v>80</v>
      </c>
      <c r="F26" s="42">
        <f>(1+2.28/LN(F15/$F$7))^2</f>
        <v>1.8131807308313552</v>
      </c>
      <c r="G26" s="61"/>
      <c r="H26" s="31" t="str">
        <f>[3]!EQS(F26,"Units= ; EqnPrefix=Valem  ; EqnNo= 0; Multiplication= 1; ShowWorking= 0; EqnStyle= 2; Eqp$G$24_0")</f>
        <v/>
      </c>
      <c r="I26" s="40" t="s">
        <v>529</v>
      </c>
      <c r="J26" s="31"/>
    </row>
    <row r="27" spans="3:12" outlineLevel="1">
      <c r="E27" s="37"/>
      <c r="F27" s="42"/>
      <c r="G27" s="61"/>
      <c r="H27" s="31" t="str">
        <f>[3]!EQS(F26,"Units= ; EqnPrefix=Valem  ; EqnNo= 0; Multiplication= 1; ShowWorking= 1; EqnStyle= 2; Eqp$G$24_$G$28_1")</f>
        <v/>
      </c>
      <c r="I27" s="40" t="s">
        <v>530</v>
      </c>
      <c r="J27" s="31"/>
    </row>
    <row r="28" spans="3:12" outlineLevel="1">
      <c r="C28" s="23" t="s">
        <v>50</v>
      </c>
      <c r="D28" s="23"/>
      <c r="E28" s="37"/>
      <c r="F28" s="42"/>
      <c r="G28" s="61"/>
      <c r="J28" s="31"/>
    </row>
    <row r="29" spans="3:12" ht="19.5" outlineLevel="1">
      <c r="E29" s="28" t="s">
        <v>52</v>
      </c>
      <c r="F29" s="23">
        <v>1.1499999999999999</v>
      </c>
      <c r="J29" s="31"/>
    </row>
    <row r="30" spans="3:12" ht="19.5" outlineLevel="1">
      <c r="C30" s="39" t="s">
        <v>70</v>
      </c>
      <c r="D30" s="39"/>
      <c r="E30" s="24"/>
      <c r="F30" s="43"/>
      <c r="H30" s="31"/>
      <c r="I30" s="31"/>
      <c r="J30" s="31"/>
    </row>
    <row r="31" spans="3:12" outlineLevel="1">
      <c r="E31" s="114" t="s">
        <v>515</v>
      </c>
      <c r="F31" s="31">
        <f>15*10^-6</f>
        <v>1.4999999999999999E-5</v>
      </c>
      <c r="G31" s="61" t="s">
        <v>66</v>
      </c>
      <c r="H31" s="31"/>
      <c r="I31" s="41" t="s">
        <v>67</v>
      </c>
      <c r="J31" s="31"/>
    </row>
    <row r="32" spans="3:12" outlineLevel="1">
      <c r="E32" s="114" t="s">
        <v>516</v>
      </c>
      <c r="F32" s="31">
        <f>F16</f>
        <v>0.32400000000000001</v>
      </c>
      <c r="G32" s="61" t="s">
        <v>51</v>
      </c>
      <c r="H32" s="31"/>
      <c r="I32" s="41" t="s">
        <v>68</v>
      </c>
      <c r="J32" s="31"/>
    </row>
    <row r="33" spans="2:12" outlineLevel="1">
      <c r="C33" s="23"/>
      <c r="D33" s="41" t="s">
        <v>73</v>
      </c>
      <c r="E33" s="37"/>
      <c r="F33" s="31"/>
      <c r="G33" s="61"/>
      <c r="H33" s="31"/>
      <c r="I33" s="41"/>
      <c r="J33" s="31"/>
    </row>
    <row r="34" spans="2:12" outlineLevel="1">
      <c r="C34" s="23"/>
      <c r="E34" s="37" t="s">
        <v>69</v>
      </c>
      <c r="F34" s="44">
        <f>F32*F20/F31</f>
        <v>567026.18645587866</v>
      </c>
      <c r="H34" s="31" t="str">
        <f>[3]!EQS(F34,"Units= ; EqnPrefix=Valem  ; EqnNo= 0; Multiplication= 1; ShowWorking= 1; EqnStyle= 2; Eqp$G$27_0")</f>
        <v/>
      </c>
      <c r="I34" s="30" t="s">
        <v>78</v>
      </c>
      <c r="J34" s="31"/>
    </row>
    <row r="35" spans="2:12" outlineLevel="1">
      <c r="C35" s="23"/>
      <c r="E35" s="37" t="s">
        <v>71</v>
      </c>
      <c r="F35" s="44">
        <f>6.175*10^-4</f>
        <v>6.1749999999999999E-4</v>
      </c>
      <c r="H35" s="31"/>
      <c r="I35" s="41" t="s">
        <v>72</v>
      </c>
      <c r="J35" s="31"/>
    </row>
    <row r="36" spans="2:12" outlineLevel="1">
      <c r="C36" s="23"/>
      <c r="D36" s="41" t="s">
        <v>84</v>
      </c>
      <c r="E36" s="37"/>
      <c r="F36" s="44"/>
      <c r="H36" s="31"/>
      <c r="I36" s="41"/>
      <c r="J36" s="31"/>
    </row>
    <row r="37" spans="2:12" ht="19.5" outlineLevel="1">
      <c r="C37" s="23"/>
      <c r="E37" s="114" t="s">
        <v>74</v>
      </c>
      <c r="F37" s="44">
        <f>1.2+(0.18*LOG(10*F35))/(1+0.4*LOG(F34/10^6))</f>
        <v>0.75883386915863227</v>
      </c>
      <c r="H37" s="31" t="str">
        <f>[3]!EQS(F37,"Units= ; EqnPrefix=Valem  ; EqnNo= 0; Multiplication= 1; ShowWorking= 0; EqnStyle=2; Eqp$G$36_2")</f>
        <v/>
      </c>
      <c r="I37" s="30" t="s">
        <v>531</v>
      </c>
      <c r="J37" s="31"/>
    </row>
    <row r="38" spans="2:12" outlineLevel="1">
      <c r="C38" s="23"/>
      <c r="E38" s="31"/>
      <c r="F38" s="31"/>
      <c r="H38" s="31" t="str">
        <f>[3]!EQS(F37,"Units= ; EqnPrefix=Valem  ; EqnNo= 0; Multiplication= 1; ShowWorking= 1; EqnStyle=2; Eqp$G$36_$G$37_3")</f>
        <v/>
      </c>
      <c r="I38" s="40" t="s">
        <v>532</v>
      </c>
      <c r="J38" s="31"/>
    </row>
    <row r="39" spans="2:12">
      <c r="C39" s="35" t="s">
        <v>89</v>
      </c>
    </row>
    <row r="40" spans="2:12" ht="19.5">
      <c r="E40" s="114" t="s">
        <v>85</v>
      </c>
      <c r="F40" s="46">
        <f>F23*F26*F29*F37*F16</f>
        <v>216.38914697938665</v>
      </c>
      <c r="G40" s="61" t="s">
        <v>86</v>
      </c>
      <c r="H40" s="31" t="str">
        <f>[3]!EQS(F40,"Units= ; EqnPrefix=Valem  ; EqnNo= 0; Multiplication= 1; ShowWorking= 0; EqnStyle= 2; Eqp$G$39_0")</f>
        <v/>
      </c>
      <c r="I40" s="30" t="s">
        <v>533</v>
      </c>
    </row>
    <row r="41" spans="2:12">
      <c r="H41" s="23" t="str">
        <f>[3]!EQS(F40,"Units= ; EqnPrefix=Valem  ; EqnNo= 0; Multiplication= 1; ShowWorking= 1; EqnStyle= 2; Eqp$G$39_$G$40_1")</f>
        <v/>
      </c>
      <c r="I41" s="30" t="s">
        <v>88</v>
      </c>
    </row>
    <row r="42" spans="2:12">
      <c r="C42" s="35" t="s">
        <v>87</v>
      </c>
    </row>
    <row r="43" spans="2:12" ht="19.5">
      <c r="E43" s="114" t="s">
        <v>221</v>
      </c>
      <c r="F43" s="70">
        <f>COS(RADIANS(4))*F40</f>
        <v>215.86203389302534</v>
      </c>
      <c r="G43" s="84" t="s">
        <v>86</v>
      </c>
    </row>
    <row r="44" spans="2:12" ht="19.5">
      <c r="E44" s="114" t="s">
        <v>222</v>
      </c>
      <c r="F44" s="70">
        <f>SIN(RADIANS(4))*F40</f>
        <v>15.094543849781257</v>
      </c>
      <c r="G44" s="84" t="s">
        <v>86</v>
      </c>
    </row>
    <row r="46" spans="2:12">
      <c r="B46" s="72" t="s">
        <v>90</v>
      </c>
      <c r="C46" s="36"/>
      <c r="D46" s="36"/>
      <c r="E46" s="29"/>
      <c r="F46" s="29"/>
      <c r="G46" s="60"/>
      <c r="H46" s="29"/>
      <c r="I46" s="29"/>
      <c r="J46" s="29"/>
      <c r="K46" s="29"/>
      <c r="L46" s="29"/>
    </row>
    <row r="47" spans="2:12" outlineLevel="1">
      <c r="C47" s="35" t="s">
        <v>93</v>
      </c>
      <c r="E47" s="24"/>
    </row>
    <row r="48" spans="2:12" outlineLevel="1">
      <c r="E48" s="114" t="s">
        <v>517</v>
      </c>
      <c r="F48" s="33">
        <v>14</v>
      </c>
      <c r="G48" s="59" t="s">
        <v>51</v>
      </c>
      <c r="I48" s="38" t="s">
        <v>91</v>
      </c>
    </row>
    <row r="49" spans="3:10" outlineLevel="1">
      <c r="E49" s="114" t="s">
        <v>514</v>
      </c>
      <c r="F49" s="33">
        <v>0.27300000000000002</v>
      </c>
      <c r="G49" s="59" t="s">
        <v>51</v>
      </c>
      <c r="I49" s="38" t="s">
        <v>92</v>
      </c>
    </row>
    <row r="50" spans="3:10" outlineLevel="1">
      <c r="E50" s="114" t="s">
        <v>518</v>
      </c>
      <c r="F50" s="33">
        <v>15.5</v>
      </c>
      <c r="G50" s="61" t="s">
        <v>51</v>
      </c>
      <c r="I50" s="38" t="s">
        <v>94</v>
      </c>
    </row>
    <row r="51" spans="3:10" outlineLevel="1">
      <c r="C51" s="38" t="s">
        <v>99</v>
      </c>
      <c r="D51" s="38"/>
      <c r="E51" s="28"/>
      <c r="F51" s="27"/>
      <c r="G51" s="59"/>
      <c r="I51" s="32"/>
    </row>
    <row r="52" spans="3:10" ht="19.5" outlineLevel="1">
      <c r="E52" s="114" t="s">
        <v>140</v>
      </c>
      <c r="F52" s="45">
        <f>F49*F50</f>
        <v>4.2315000000000005</v>
      </c>
      <c r="G52" s="61" t="s">
        <v>81</v>
      </c>
      <c r="H52" s="31" t="str">
        <f>[3]!EQS(F52,"Units= ; EqnPrefix=Valem  ; EqnNo= 0; Multiplication= 1; ShowWorking= 1; EqnStyle=2; Eqp$G$17_0")</f>
        <v/>
      </c>
      <c r="I52" s="30" t="s">
        <v>95</v>
      </c>
    </row>
    <row r="53" spans="3:10" outlineLevel="1">
      <c r="C53" s="35" t="s">
        <v>65</v>
      </c>
      <c r="F53" s="27"/>
      <c r="G53" s="59"/>
      <c r="I53" s="32"/>
    </row>
    <row r="54" spans="3:10" outlineLevel="1">
      <c r="E54" s="28"/>
      <c r="F54" s="27"/>
      <c r="G54" s="59"/>
      <c r="I54" s="32"/>
    </row>
    <row r="55" spans="3:10" outlineLevel="1"/>
    <row r="56" spans="3:10" ht="16.5" customHeight="1" outlineLevel="1">
      <c r="E56" s="114" t="s">
        <v>57</v>
      </c>
      <c r="F56" s="42">
        <f>$F$6*LN(F48/$F$7)*$F$3</f>
        <v>22.482810516645301</v>
      </c>
      <c r="G56" s="59" t="s">
        <v>43</v>
      </c>
      <c r="H56" s="31" t="str">
        <f>[3]!EQS(F56,"Units= ; EqnPrefix=Valem  ; EqnNo= 0; Multiplication= 1; ShowWorking= 0; EqnStyle= 2; Eqp$H$54_2")</f>
        <v/>
      </c>
      <c r="I56" s="40" t="s">
        <v>534</v>
      </c>
      <c r="J56" s="31"/>
    </row>
    <row r="57" spans="3:10" ht="12" customHeight="1" outlineLevel="1">
      <c r="E57" s="28"/>
      <c r="F57" s="42"/>
      <c r="G57" s="59"/>
      <c r="H57" s="31" t="str">
        <f>[3]!EQS(F56,"Units= ; EqnPrefix=Valem  ; EqnNo= 0; Multiplication= 1; ShowWorking= 1; EqnStyle= 2; Eqp$H$54_$H$55_3")</f>
        <v/>
      </c>
      <c r="I57" s="40" t="s">
        <v>102</v>
      </c>
      <c r="J57" s="31"/>
    </row>
    <row r="58" spans="3:10" outlineLevel="1">
      <c r="C58" s="41" t="s">
        <v>77</v>
      </c>
      <c r="D58" s="41"/>
      <c r="F58" s="42"/>
      <c r="G58" s="59"/>
      <c r="H58" s="31"/>
      <c r="I58" s="40"/>
      <c r="J58" s="31"/>
    </row>
    <row r="59" spans="3:10" ht="19.5" outlineLevel="1">
      <c r="E59" s="114" t="s">
        <v>75</v>
      </c>
      <c r="F59" s="42">
        <f>1/2*$F$5*F56^2</f>
        <v>309.60452084551815</v>
      </c>
      <c r="G59" s="61" t="s">
        <v>76</v>
      </c>
      <c r="H59" s="31" t="str">
        <f>[3]!EQS(F59,"Units= ; EqnPrefix=Valem  ; EqnNo= 0; Multiplication= 1; ShowWorking= 0; EqnStyle= 2; Eqp$G$21_0")</f>
        <v/>
      </c>
      <c r="I59" s="40" t="s">
        <v>527</v>
      </c>
      <c r="J59" s="31"/>
    </row>
    <row r="60" spans="3:10" outlineLevel="1">
      <c r="E60" s="37"/>
      <c r="F60" s="42"/>
      <c r="G60" s="61"/>
      <c r="H60" s="31" t="str">
        <f>[3]!EQS(F59,"Units= ; EqnPrefix=Valem  ; EqnNo= 0; Multiplication= 1; ShowWorking= 1; EqnStyle= 2; Eqp$G$21_$G$25_1")</f>
        <v/>
      </c>
      <c r="I60" s="40" t="s">
        <v>535</v>
      </c>
      <c r="J60" s="31"/>
    </row>
    <row r="61" spans="3:10" outlineLevel="1">
      <c r="C61" s="35" t="s">
        <v>79</v>
      </c>
      <c r="E61" s="37"/>
      <c r="F61" s="42"/>
      <c r="G61" s="61"/>
      <c r="I61" s="40"/>
      <c r="J61" s="31"/>
    </row>
    <row r="62" spans="3:10" ht="19.5" outlineLevel="1">
      <c r="E62" s="114" t="s">
        <v>80</v>
      </c>
      <c r="F62" s="42">
        <f>(1+2.28/LN(F48/$F$7))^2</f>
        <v>1.9729829854343099</v>
      </c>
      <c r="G62" s="61"/>
      <c r="H62" s="31" t="str">
        <f>[3]!EQS(F62,"Units= ; EqnPrefix=Valem  ; EqnNo= 0; Multiplication= 1; ShowWorking= 0; EqnStyle= 2; Eqp$G$24_0")</f>
        <v/>
      </c>
      <c r="I62" s="40" t="s">
        <v>536</v>
      </c>
      <c r="J62" s="31"/>
    </row>
    <row r="63" spans="3:10" outlineLevel="1">
      <c r="E63" s="37"/>
      <c r="F63" s="42"/>
      <c r="G63" s="61"/>
      <c r="H63" s="31" t="str">
        <f>[3]!EQS(F62,"Units= ; EqnPrefix=Valem  ; EqnNo= 0; Multiplication= 1; ShowWorking= 1; EqnStyle= 2; Eqp$G$24_$G$28_1")</f>
        <v/>
      </c>
      <c r="I63" s="40" t="s">
        <v>537</v>
      </c>
      <c r="J63" s="31"/>
    </row>
    <row r="64" spans="3:10" outlineLevel="1">
      <c r="C64" s="23" t="s">
        <v>50</v>
      </c>
      <c r="D64" s="23"/>
      <c r="E64" s="37"/>
      <c r="F64" s="42"/>
      <c r="G64" s="61"/>
      <c r="J64" s="31"/>
    </row>
    <row r="65" spans="3:10" ht="19.5" outlineLevel="1">
      <c r="E65" s="28" t="s">
        <v>52</v>
      </c>
      <c r="F65" s="23">
        <v>1.1499999999999999</v>
      </c>
      <c r="J65" s="31"/>
    </row>
    <row r="66" spans="3:10" ht="19.5" outlineLevel="1">
      <c r="C66" s="56" t="s">
        <v>139</v>
      </c>
      <c r="D66" s="39"/>
      <c r="E66" s="24"/>
      <c r="F66" s="43"/>
      <c r="H66" s="31"/>
      <c r="I66" s="31"/>
      <c r="J66" s="31"/>
    </row>
    <row r="67" spans="3:10" outlineLevel="1">
      <c r="E67" s="114" t="s">
        <v>515</v>
      </c>
      <c r="F67" s="31">
        <f>15*10^-6</f>
        <v>1.4999999999999999E-5</v>
      </c>
      <c r="G67" s="61" t="s">
        <v>66</v>
      </c>
      <c r="H67" s="31"/>
      <c r="I67" s="41" t="s">
        <v>67</v>
      </c>
      <c r="J67" s="31"/>
    </row>
    <row r="68" spans="3:10" outlineLevel="1">
      <c r="E68" s="114" t="s">
        <v>516</v>
      </c>
      <c r="F68" s="31">
        <f>F49</f>
        <v>0.27300000000000002</v>
      </c>
      <c r="G68" s="61" t="s">
        <v>51</v>
      </c>
      <c r="H68" s="31"/>
      <c r="I68" s="41" t="s">
        <v>68</v>
      </c>
      <c r="J68" s="31"/>
    </row>
    <row r="69" spans="3:10" outlineLevel="1">
      <c r="C69" s="23"/>
      <c r="D69" s="41" t="s">
        <v>73</v>
      </c>
      <c r="E69" s="37"/>
      <c r="F69" s="31"/>
      <c r="G69" s="61"/>
      <c r="H69" s="31"/>
      <c r="I69" s="41"/>
      <c r="J69" s="31"/>
    </row>
    <row r="70" spans="3:10" ht="19.5" outlineLevel="1">
      <c r="C70" s="23"/>
      <c r="E70" s="37" t="s">
        <v>69</v>
      </c>
      <c r="F70" s="44">
        <f>F68*F56/F67</f>
        <v>409187.15140294458</v>
      </c>
      <c r="H70" s="31" t="str">
        <f>[3]!EQS(F70,"Units= ; EqnPrefix=Valem  ; EqnNo= 0; Multiplication= 1; ShowWorking= 0; EqnStyle= 2; Eqp$G$27_0")</f>
        <v/>
      </c>
      <c r="I70" s="30" t="s">
        <v>538</v>
      </c>
      <c r="J70" s="31"/>
    </row>
    <row r="71" spans="3:10" outlineLevel="1">
      <c r="C71" s="23"/>
      <c r="E71" s="37"/>
      <c r="F71" s="44"/>
      <c r="H71" s="31" t="str">
        <f>[3]!EQS(F70,"Units= ; EqnPrefix=Valem  ; EqnNo= 0; Multiplication= 1; ShowWorking= 1; EqnStyle= 2; Eqp$G$27_$H$69_1")</f>
        <v/>
      </c>
      <c r="I71" s="30" t="s">
        <v>96</v>
      </c>
      <c r="J71" s="31"/>
    </row>
    <row r="72" spans="3:10" outlineLevel="1">
      <c r="C72" s="23"/>
      <c r="E72" s="37" t="s">
        <v>71</v>
      </c>
      <c r="F72" s="47">
        <f>0.2/F49*1000</f>
        <v>732.6007326007325</v>
      </c>
      <c r="H72" s="31"/>
      <c r="I72" s="41" t="s">
        <v>72</v>
      </c>
      <c r="J72" s="31"/>
    </row>
    <row r="73" spans="3:10" outlineLevel="1">
      <c r="C73" s="23"/>
      <c r="D73" s="41" t="s">
        <v>84</v>
      </c>
      <c r="E73" s="37"/>
      <c r="F73" s="44"/>
      <c r="H73" s="31"/>
      <c r="I73" s="41"/>
      <c r="J73" s="31"/>
    </row>
    <row r="74" spans="3:10" ht="19.5" outlineLevel="1">
      <c r="E74" s="114" t="s">
        <v>138</v>
      </c>
      <c r="F74" s="42">
        <f>1.2+(0.18*LOG(10*F72))/(1+0.4*LOG(F70/10^6))</f>
        <v>2.0235106772562297</v>
      </c>
      <c r="H74" s="31" t="str">
        <f>[3]!EQS(F74,"Units= ; EqnPrefix=Valem  ; EqnNo= 0; Multiplication= 1; ShowWorking= 0; EqnStyle=2; Eqp$G$36_2")</f>
        <v/>
      </c>
      <c r="I74" s="30" t="s">
        <v>531</v>
      </c>
      <c r="J74" s="31"/>
    </row>
    <row r="75" spans="3:10" outlineLevel="1">
      <c r="E75" s="31"/>
      <c r="F75" s="31"/>
      <c r="H75" s="31" t="str">
        <f>[3]!EQS(F74,"Units= ; EqnPrefix=Valem  ; EqnNo= 0; Multiplication= 1; ShowWorking= 1; EqnStyle=2; Eqp$G$36_$G$37_3")</f>
        <v/>
      </c>
      <c r="I75" s="40" t="s">
        <v>539</v>
      </c>
      <c r="J75" s="31"/>
    </row>
    <row r="76" spans="3:10" outlineLevel="1">
      <c r="C76" s="35" t="s">
        <v>104</v>
      </c>
      <c r="E76" s="31"/>
      <c r="F76" s="31"/>
      <c r="H76" s="31"/>
      <c r="I76" s="40"/>
      <c r="J76" s="31"/>
    </row>
    <row r="77" spans="3:10" ht="19.5" outlineLevel="1">
      <c r="E77" s="115" t="s">
        <v>105</v>
      </c>
      <c r="F77" s="127">
        <f>COS(RADIANS(90))^2</f>
        <v>3.7524718414124473E-33</v>
      </c>
      <c r="H77" s="31" t="str">
        <f>[3]!EQS(F77,"Units= ; EqnPrefix=Valem  ; EqnNo= 0; Multiplication= 1; ShowWorking= 0; EqnStyle= 2; Eqp$H$75_2")</f>
        <v/>
      </c>
      <c r="I77" s="40" t="s">
        <v>599</v>
      </c>
      <c r="J77" s="31"/>
    </row>
    <row r="78" spans="3:10">
      <c r="C78" s="35" t="s">
        <v>103</v>
      </c>
    </row>
    <row r="79" spans="3:10" ht="19.5">
      <c r="E79" s="114" t="s">
        <v>137</v>
      </c>
      <c r="F79" s="46">
        <f>F59*F62*F65*F74*F49*F77</f>
        <v>1.4561766518140426E-30</v>
      </c>
      <c r="G79" s="61" t="s">
        <v>86</v>
      </c>
      <c r="H79" s="31" t="str">
        <f>[3]!EQS(F79,"Units= ; EqnPrefix=Valem  ; EqnNo= 0; Multiplication= 1; ShowWorking= 0; EqnStyle= 2; Eqp$G$39_0")</f>
        <v/>
      </c>
      <c r="I79" s="30" t="s">
        <v>541</v>
      </c>
    </row>
    <row r="80" spans="3:10">
      <c r="H80" s="23" t="str">
        <f>[3]!EQS(F79,"Units= ; EqnPrefix=Valem  ; EqnNo= 0; Multiplication= 1; ShowWorking= 1; EqnStyle= 2; Eqp$G$39_$G$40_1")</f>
        <v/>
      </c>
      <c r="I80" s="30" t="s">
        <v>601</v>
      </c>
    </row>
    <row r="83" spans="2:12">
      <c r="B83" s="73" t="s">
        <v>107</v>
      </c>
      <c r="C83" s="36"/>
      <c r="D83" s="36"/>
      <c r="E83" s="29"/>
      <c r="F83" s="29"/>
      <c r="G83" s="60"/>
      <c r="H83" s="29"/>
      <c r="I83" s="29"/>
      <c r="J83" s="29"/>
      <c r="K83" s="29"/>
      <c r="L83" s="29"/>
    </row>
    <row r="84" spans="2:12" outlineLevel="1">
      <c r="C84" s="35" t="s">
        <v>108</v>
      </c>
      <c r="E84" s="24"/>
    </row>
    <row r="85" spans="2:12" outlineLevel="1">
      <c r="E85" s="114" t="s">
        <v>517</v>
      </c>
      <c r="F85" s="33">
        <v>28</v>
      </c>
      <c r="G85" s="59" t="s">
        <v>51</v>
      </c>
      <c r="I85" s="38" t="s">
        <v>109</v>
      </c>
    </row>
    <row r="86" spans="2:12" outlineLevel="1">
      <c r="E86" s="114" t="s">
        <v>519</v>
      </c>
      <c r="F86" s="33">
        <v>0.22</v>
      </c>
      <c r="G86" s="59" t="s">
        <v>51</v>
      </c>
      <c r="I86" s="38" t="s">
        <v>110</v>
      </c>
    </row>
    <row r="87" spans="2:12" outlineLevel="1">
      <c r="E87" s="114" t="s">
        <v>518</v>
      </c>
      <c r="F87" s="33">
        <v>23</v>
      </c>
      <c r="G87" s="61" t="s">
        <v>51</v>
      </c>
      <c r="I87" s="38" t="s">
        <v>94</v>
      </c>
    </row>
    <row r="88" spans="2:12" outlineLevel="1">
      <c r="C88" s="38" t="s">
        <v>99</v>
      </c>
      <c r="D88" s="38"/>
      <c r="E88" s="28"/>
      <c r="F88" s="27"/>
      <c r="G88" s="59"/>
      <c r="I88" s="32"/>
    </row>
    <row r="89" spans="2:12" ht="19.5" outlineLevel="1">
      <c r="E89" s="114" t="s">
        <v>98</v>
      </c>
      <c r="F89" s="45">
        <f>F86*F87</f>
        <v>5.0599999999999996</v>
      </c>
      <c r="G89" s="61" t="s">
        <v>81</v>
      </c>
      <c r="H89" s="31" t="str">
        <f>[3]!EQS(F89,"Units= ; EqnPrefix=Valem  ; EqnNo= 0; Multiplication= 1; ShowWorking= 1; EqnStyle=2; Eqp$G$17_0")</f>
        <v/>
      </c>
      <c r="I89" s="30" t="s">
        <v>121</v>
      </c>
    </row>
    <row r="90" spans="2:12" outlineLevel="1">
      <c r="C90" s="48" t="s">
        <v>112</v>
      </c>
      <c r="E90" s="37"/>
      <c r="F90" s="45"/>
      <c r="G90" s="61"/>
      <c r="H90" s="31"/>
      <c r="I90" s="30"/>
    </row>
    <row r="91" spans="2:12" outlineLevel="1">
      <c r="C91" s="35" t="s">
        <v>65</v>
      </c>
      <c r="F91" s="27"/>
      <c r="G91" s="59"/>
      <c r="I91" s="32"/>
    </row>
    <row r="92" spans="2:12" outlineLevel="1">
      <c r="E92" s="28"/>
      <c r="F92" s="27"/>
      <c r="G92" s="59"/>
      <c r="I92" s="32"/>
    </row>
    <row r="93" spans="2:12" outlineLevel="1"/>
    <row r="94" spans="2:12" ht="16.5" customHeight="1" outlineLevel="1">
      <c r="E94" s="114" t="s">
        <v>57</v>
      </c>
      <c r="F94" s="42">
        <f>$F$6*LN(F85/$F$7)*$F$3</f>
        <v>25.248467767079489</v>
      </c>
      <c r="G94" s="59" t="s">
        <v>43</v>
      </c>
      <c r="H94" s="31" t="str">
        <f>[3]!EQS(F94,"Units= ; EqnPrefix=Valem  ; EqnNo= 0; Multiplication= 1; ShowWorking= 0; EqnStyle= 2; Eqp$H$54_2")</f>
        <v/>
      </c>
      <c r="I94" s="40" t="s">
        <v>534</v>
      </c>
      <c r="J94" s="31"/>
    </row>
    <row r="95" spans="2:12" ht="12" customHeight="1" outlineLevel="1">
      <c r="E95" s="28"/>
      <c r="F95" s="42"/>
      <c r="G95" s="59"/>
      <c r="H95" s="31" t="str">
        <f>[3]!EQS(F94,"Units= ; EqnPrefix=Valem  ; EqnNo= 0; Multiplication= 1; ShowWorking= 1; EqnStyle= 2; Eqp$H$54_$H$55_3")</f>
        <v/>
      </c>
      <c r="I95" s="40" t="s">
        <v>111</v>
      </c>
      <c r="J95" s="31"/>
    </row>
    <row r="96" spans="2:12" outlineLevel="1">
      <c r="C96" s="41" t="s">
        <v>77</v>
      </c>
      <c r="D96" s="41"/>
      <c r="F96" s="42"/>
      <c r="G96" s="59"/>
      <c r="H96" s="31"/>
      <c r="I96" s="40"/>
      <c r="J96" s="31"/>
    </row>
    <row r="97" spans="3:10" ht="19.5" outlineLevel="1">
      <c r="E97" s="114" t="s">
        <v>75</v>
      </c>
      <c r="F97" s="42">
        <f>1/2*$F$5*F94^2</f>
        <v>390.45963880846682</v>
      </c>
      <c r="G97" s="61" t="s">
        <v>76</v>
      </c>
      <c r="H97" s="31" t="str">
        <f>[3]!EQS(F97,"Units= ; EqnPrefix=Valem  ; EqnNo= 0; Multiplication= 1; ShowWorking= 0; EqnStyle= 2; Eqp$G$21_0")</f>
        <v/>
      </c>
      <c r="I97" s="40" t="s">
        <v>527</v>
      </c>
      <c r="J97" s="31"/>
    </row>
    <row r="98" spans="3:10" outlineLevel="1">
      <c r="E98" s="37"/>
      <c r="F98" s="42"/>
      <c r="G98" s="61"/>
      <c r="H98" s="31" t="str">
        <f>[3]!EQS(F97,"Units= ; EqnPrefix=Valem  ; EqnNo= 0; Multiplication= 1; ShowWorking= 1; EqnStyle= 2; Eqp$G$21_$G$25_1")</f>
        <v/>
      </c>
      <c r="I98" s="40" t="s">
        <v>542</v>
      </c>
      <c r="J98" s="31"/>
    </row>
    <row r="99" spans="3:10" outlineLevel="1">
      <c r="C99" s="35" t="s">
        <v>79</v>
      </c>
      <c r="E99" s="37"/>
      <c r="F99" s="42"/>
      <c r="G99" s="61"/>
      <c r="I99" s="40"/>
      <c r="J99" s="31"/>
    </row>
    <row r="100" spans="3:10" ht="19.5" outlineLevel="1">
      <c r="E100" s="114" t="s">
        <v>80</v>
      </c>
      <c r="F100" s="42">
        <f>(1+2.28/LN(F85/$F$7))^2</f>
        <v>1.8504351691877789</v>
      </c>
      <c r="G100" s="61"/>
      <c r="H100" s="31" t="str">
        <f>[3]!EQS(F100,"Units= ; EqnPrefix=Valem  ; EqnNo= 0; Multiplication= 1; ShowWorking= 0; EqnStyle= 2; Eqp$G$24_0")</f>
        <v/>
      </c>
      <c r="I100" s="40" t="s">
        <v>536</v>
      </c>
      <c r="J100" s="31"/>
    </row>
    <row r="101" spans="3:10" outlineLevel="1">
      <c r="E101" s="37"/>
      <c r="F101" s="42"/>
      <c r="G101" s="61"/>
      <c r="H101" s="31" t="str">
        <f>[3]!EQS(F100,"Units= ; EqnPrefix=Valem  ; EqnNo= 0; Multiplication= 1; ShowWorking= 1; EqnStyle= 2; Eqp$G$24_$G$28_1")</f>
        <v/>
      </c>
      <c r="I101" s="40" t="s">
        <v>543</v>
      </c>
      <c r="J101" s="31"/>
    </row>
    <row r="102" spans="3:10" outlineLevel="1">
      <c r="C102" s="23" t="s">
        <v>50</v>
      </c>
      <c r="D102" s="23"/>
      <c r="E102" s="37"/>
      <c r="F102" s="42"/>
      <c r="G102" s="61"/>
      <c r="J102" s="31"/>
    </row>
    <row r="103" spans="3:10" ht="19.5" outlineLevel="1">
      <c r="E103" s="28" t="s">
        <v>52</v>
      </c>
      <c r="F103" s="23">
        <v>1.1499999999999999</v>
      </c>
      <c r="J103" s="31"/>
    </row>
    <row r="104" spans="3:10" ht="19.5" outlineLevel="1">
      <c r="C104" s="49" t="s">
        <v>113</v>
      </c>
      <c r="D104" s="39"/>
      <c r="E104" s="24"/>
      <c r="F104" s="43"/>
      <c r="H104" s="31"/>
      <c r="I104" s="31"/>
      <c r="J104" s="31"/>
    </row>
    <row r="105" spans="3:10" outlineLevel="1">
      <c r="C105" s="23"/>
      <c r="D105" s="41" t="s">
        <v>84</v>
      </c>
      <c r="E105" s="37"/>
      <c r="F105" s="44"/>
      <c r="H105" s="31"/>
      <c r="I105" s="41"/>
      <c r="J105" s="31"/>
    </row>
    <row r="106" spans="3:10" ht="19.5" outlineLevel="1">
      <c r="E106" s="114" t="s">
        <v>115</v>
      </c>
      <c r="F106" s="42">
        <v>2</v>
      </c>
      <c r="H106" s="31"/>
      <c r="I106" s="30"/>
      <c r="J106" s="31"/>
    </row>
    <row r="107" spans="3:10" outlineLevel="1">
      <c r="D107" s="48" t="s">
        <v>116</v>
      </c>
      <c r="E107" s="31"/>
      <c r="F107" s="31"/>
      <c r="H107" s="31"/>
      <c r="I107" s="40"/>
      <c r="J107" s="31"/>
    </row>
    <row r="108" spans="3:10" outlineLevel="1">
      <c r="D108" s="48"/>
      <c r="E108" s="115" t="s">
        <v>520</v>
      </c>
      <c r="F108" s="51">
        <f>MIN(70,2*F87/F86)</f>
        <v>70</v>
      </c>
      <c r="H108" s="31"/>
      <c r="I108" s="40"/>
      <c r="J108" s="31"/>
    </row>
    <row r="109" spans="3:10" outlineLevel="1">
      <c r="D109" s="48" t="s">
        <v>117</v>
      </c>
      <c r="E109" s="31"/>
      <c r="F109" s="31"/>
      <c r="H109" s="31"/>
      <c r="I109" s="40"/>
      <c r="J109" s="31"/>
    </row>
    <row r="110" spans="3:10" outlineLevel="1">
      <c r="D110" s="48"/>
      <c r="E110" s="115" t="s">
        <v>521</v>
      </c>
      <c r="F110" s="31">
        <v>1</v>
      </c>
      <c r="H110" s="31"/>
      <c r="I110" s="40"/>
      <c r="J110" s="31"/>
    </row>
    <row r="111" spans="3:10" outlineLevel="1">
      <c r="D111" s="49" t="s">
        <v>119</v>
      </c>
      <c r="F111" s="31"/>
      <c r="H111" s="31"/>
      <c r="I111" s="40"/>
      <c r="J111" s="31"/>
    </row>
    <row r="112" spans="3:10" ht="19.5" outlineLevel="1">
      <c r="E112" s="115" t="s">
        <v>118</v>
      </c>
      <c r="F112" s="23">
        <v>0.92</v>
      </c>
      <c r="H112" s="31"/>
      <c r="I112" s="40"/>
      <c r="J112" s="31"/>
    </row>
    <row r="113" spans="2:12" outlineLevel="1">
      <c r="C113" s="48" t="s">
        <v>120</v>
      </c>
      <c r="E113" s="31"/>
      <c r="F113" s="50"/>
      <c r="H113" s="31"/>
      <c r="I113" s="40"/>
      <c r="J113" s="31"/>
    </row>
    <row r="114" spans="2:12" ht="19.5" outlineLevel="1">
      <c r="E114" s="114" t="s">
        <v>114</v>
      </c>
      <c r="F114" s="52">
        <f>F106*F112</f>
        <v>1.84</v>
      </c>
      <c r="H114" s="31" t="str">
        <f>[3]!EQS(F114,"Units= ; EqnPrefix=Valem  ; EqnNo= 0; Multiplication= 1; ShowWorking= 0; EqnStyle= 2; Eqp$H$119_2")</f>
        <v/>
      </c>
      <c r="I114" s="40" t="s">
        <v>544</v>
      </c>
      <c r="J114" s="31"/>
    </row>
    <row r="115" spans="2:12" outlineLevel="1">
      <c r="E115" s="31"/>
      <c r="F115" s="50"/>
      <c r="H115" s="31" t="str">
        <f>[3]!EQS(F114,"Units= ; EqnPrefix=Valem  ; EqnNo= 0; Multiplication= 1; ShowWorking= 1; EqnStyle= 2; Eqp$H$119_$H$120_3")</f>
        <v/>
      </c>
      <c r="I115" s="40" t="s">
        <v>130</v>
      </c>
      <c r="J115" s="31"/>
    </row>
    <row r="116" spans="2:12" outlineLevel="1">
      <c r="C116" s="35" t="s">
        <v>104</v>
      </c>
      <c r="E116" s="31"/>
      <c r="F116" s="31"/>
      <c r="H116" s="31"/>
      <c r="I116" s="40"/>
      <c r="J116" s="31"/>
    </row>
    <row r="117" spans="2:12" ht="19.5" outlineLevel="1">
      <c r="E117" s="115" t="s">
        <v>105</v>
      </c>
      <c r="F117" s="127">
        <f>COS(RADIANS(90))^2</f>
        <v>3.7524718414124473E-33</v>
      </c>
      <c r="H117" s="31" t="str">
        <f>[3]!EQS(F117,"Units= ; EqnPrefix=Valem  ; EqnNo= 0; Multiplication= 1; ShowWorking= 0; EqnStyle= 2; Eqp$H$75_2")</f>
        <v/>
      </c>
      <c r="I117" s="40" t="s">
        <v>599</v>
      </c>
      <c r="J117" s="31"/>
    </row>
    <row r="118" spans="2:12" outlineLevel="1">
      <c r="C118" s="48" t="s">
        <v>122</v>
      </c>
    </row>
    <row r="119" spans="2:12" ht="19.5">
      <c r="E119" s="114" t="s">
        <v>136</v>
      </c>
      <c r="F119" s="46">
        <f>F97*F100*F103*F114*F86*F117</f>
        <v>1.2621349945739855E-30</v>
      </c>
      <c r="G119" s="61" t="s">
        <v>86</v>
      </c>
      <c r="H119" s="31" t="str">
        <f>[3]!EQS(F119,"Units= ; EqnPrefix=Valem  ; EqnNo= 0; Multiplication= 1; ShowWorking= 0; EqnStyle= 2; Eqp$G$39_0")</f>
        <v/>
      </c>
      <c r="I119" s="30" t="s">
        <v>545</v>
      </c>
    </row>
    <row r="120" spans="2:12">
      <c r="H120" s="23" t="str">
        <f>[3]!EQS(F119,"Units= ; EqnPrefix=Valem  ; EqnNo= 0; Multiplication= 1; ShowWorking= 1; EqnStyle= 2; Eqp$G$39_$G$40_1")</f>
        <v/>
      </c>
      <c r="I120" s="30" t="s">
        <v>602</v>
      </c>
    </row>
    <row r="123" spans="2:12">
      <c r="B123" s="73" t="s">
        <v>123</v>
      </c>
      <c r="C123" s="36"/>
      <c r="D123" s="36"/>
      <c r="E123" s="29"/>
      <c r="F123" s="29"/>
      <c r="G123" s="60"/>
      <c r="H123" s="29"/>
      <c r="I123" s="29"/>
      <c r="J123" s="29"/>
      <c r="K123" s="29"/>
      <c r="L123" s="29"/>
    </row>
    <row r="124" spans="2:12" outlineLevel="1">
      <c r="C124" s="57" t="s">
        <v>141</v>
      </c>
      <c r="E124" s="24"/>
    </row>
    <row r="125" spans="2:12" outlineLevel="1">
      <c r="E125" s="114" t="s">
        <v>517</v>
      </c>
      <c r="F125" s="33">
        <v>36</v>
      </c>
      <c r="G125" s="59" t="s">
        <v>51</v>
      </c>
      <c r="I125" s="38" t="s">
        <v>109</v>
      </c>
    </row>
    <row r="126" spans="2:12" outlineLevel="1">
      <c r="E126" s="114" t="s">
        <v>519</v>
      </c>
      <c r="F126" s="33">
        <v>0.25</v>
      </c>
      <c r="G126" s="59" t="s">
        <v>51</v>
      </c>
    </row>
    <row r="127" spans="2:12" outlineLevel="1">
      <c r="E127" s="114" t="s">
        <v>516</v>
      </c>
      <c r="F127" s="33">
        <v>0.25</v>
      </c>
      <c r="G127" s="62" t="s">
        <v>51</v>
      </c>
      <c r="I127" s="54" t="s">
        <v>124</v>
      </c>
    </row>
    <row r="128" spans="2:12" outlineLevel="1">
      <c r="E128" s="114" t="s">
        <v>518</v>
      </c>
      <c r="F128" s="33">
        <v>23</v>
      </c>
      <c r="G128" s="61" t="s">
        <v>51</v>
      </c>
      <c r="I128" s="38" t="s">
        <v>94</v>
      </c>
    </row>
    <row r="129" spans="3:10" outlineLevel="1">
      <c r="C129" s="38" t="s">
        <v>99</v>
      </c>
      <c r="D129" s="38"/>
      <c r="E129" s="28"/>
      <c r="F129" s="27"/>
      <c r="G129" s="59"/>
      <c r="I129" s="32"/>
    </row>
    <row r="130" spans="3:10" ht="19.5" outlineLevel="1">
      <c r="E130" s="114" t="s">
        <v>98</v>
      </c>
      <c r="F130" s="45">
        <f>F126*F128</f>
        <v>5.75</v>
      </c>
      <c r="G130" s="61" t="s">
        <v>81</v>
      </c>
      <c r="H130" s="31" t="str">
        <f>[3]!EQS(F130,"Units= ; EqnPrefix=Valem  ; EqnNo= 0; Multiplication= 1; ShowWorking= 1; EqnStyle=2; Eqp$G$17_0")</f>
        <v/>
      </c>
      <c r="I130" s="30" t="s">
        <v>127</v>
      </c>
    </row>
    <row r="131" spans="3:10" outlineLevel="1">
      <c r="C131" s="57" t="s">
        <v>165</v>
      </c>
      <c r="E131" s="37"/>
      <c r="F131" s="45"/>
      <c r="G131" s="61"/>
      <c r="H131" s="31"/>
      <c r="I131" s="30"/>
    </row>
    <row r="132" spans="3:10" ht="19.5" outlineLevel="1">
      <c r="C132" s="48"/>
      <c r="E132" s="114" t="s">
        <v>125</v>
      </c>
      <c r="F132" s="45">
        <f>F127*F126</f>
        <v>6.25E-2</v>
      </c>
      <c r="G132" s="61" t="s">
        <v>81</v>
      </c>
      <c r="H132" s="31" t="str">
        <f>[3]!EQS(F132,"Units= ; EqnPrefix=Valem  ; EqnNo= 0; Multiplication= 1; ShowWorking= 1; EqnStyle= 2; Eqp$H$137_2")</f>
        <v/>
      </c>
      <c r="I132" s="30" t="s">
        <v>128</v>
      </c>
    </row>
    <row r="133" spans="3:10" outlineLevel="1">
      <c r="C133" s="35" t="s">
        <v>65</v>
      </c>
      <c r="F133" s="27"/>
      <c r="G133" s="59"/>
      <c r="I133" s="32"/>
    </row>
    <row r="134" spans="3:10" outlineLevel="1">
      <c r="E134" s="28"/>
      <c r="F134" s="27"/>
      <c r="G134" s="59"/>
      <c r="I134" s="32"/>
    </row>
    <row r="135" spans="3:10" outlineLevel="1"/>
    <row r="136" spans="3:10" ht="19.5" outlineLevel="1">
      <c r="E136" s="114" t="s">
        <v>57</v>
      </c>
      <c r="F136" s="42">
        <f>$F$6*LN(F125/$F$7)*$F$3</f>
        <v>26.251212335920307</v>
      </c>
      <c r="G136" s="59" t="s">
        <v>43</v>
      </c>
      <c r="H136" s="31" t="str">
        <f>[3]!EQS(F136,"Units= ; EqnPrefix=Valem  ; EqnNo= 0; Multiplication= 1; ShowWorking= 0; EqnStyle= 2; Eqp$H$54_2")</f>
        <v/>
      </c>
      <c r="I136" s="40" t="s">
        <v>534</v>
      </c>
      <c r="J136" s="31"/>
    </row>
    <row r="137" spans="3:10" outlineLevel="1">
      <c r="E137" s="28"/>
      <c r="F137" s="42"/>
      <c r="G137" s="59"/>
      <c r="H137" s="31" t="str">
        <f>[3]!EQS(F136,"Units= ; EqnPrefix=Valem  ; EqnNo= 0; Multiplication= 1; ShowWorking= 1; EqnStyle= 2; Eqp$H$54_$H$55_3")</f>
        <v/>
      </c>
      <c r="I137" s="40" t="s">
        <v>64</v>
      </c>
      <c r="J137" s="31"/>
    </row>
    <row r="138" spans="3:10" outlineLevel="1">
      <c r="C138" s="41" t="s">
        <v>77</v>
      </c>
      <c r="D138" s="41"/>
      <c r="F138" s="42"/>
      <c r="G138" s="59"/>
      <c r="H138" s="31"/>
      <c r="I138" s="40"/>
      <c r="J138" s="31"/>
    </row>
    <row r="139" spans="3:10" ht="19.5" outlineLevel="1">
      <c r="E139" s="114" t="s">
        <v>75</v>
      </c>
      <c r="F139" s="42">
        <f>1/2*$F$5*F136^2</f>
        <v>422.08976632716445</v>
      </c>
      <c r="G139" s="61" t="s">
        <v>76</v>
      </c>
      <c r="H139" s="31" t="str">
        <f>[3]!EQS(F139,"Units= ; EqnPrefix=Valem  ; EqnNo= 0; Multiplication= 1; ShowWorking= 0; EqnStyle= 2; Eqp$G$21_0")</f>
        <v/>
      </c>
      <c r="I139" s="40" t="s">
        <v>527</v>
      </c>
      <c r="J139" s="31"/>
    </row>
    <row r="140" spans="3:10" outlineLevel="1">
      <c r="E140" s="37"/>
      <c r="F140" s="42"/>
      <c r="G140" s="61"/>
      <c r="H140" s="31" t="str">
        <f>[3]!EQS(F139,"Units= ; EqnPrefix=Valem  ; EqnNo= 0; Multiplication= 1; ShowWorking= 1; EqnStyle= 2; Eqp$G$21_$G$25_1")</f>
        <v/>
      </c>
      <c r="I140" s="40" t="s">
        <v>528</v>
      </c>
      <c r="J140" s="31"/>
    </row>
    <row r="141" spans="3:10" outlineLevel="1">
      <c r="C141" s="35" t="s">
        <v>79</v>
      </c>
      <c r="E141" s="37"/>
      <c r="F141" s="42"/>
      <c r="G141" s="61"/>
      <c r="I141" s="40"/>
      <c r="J141" s="31"/>
    </row>
    <row r="142" spans="3:10" ht="19.5" outlineLevel="1">
      <c r="E142" s="114" t="s">
        <v>80</v>
      </c>
      <c r="F142" s="42">
        <f>(1+2.28/LN(F125/$F$7))^2</f>
        <v>1.8131807308313552</v>
      </c>
      <c r="G142" s="61"/>
      <c r="H142" s="31" t="str">
        <f>[3]!EQS(F142,"Units= ; EqnPrefix=Valem  ; EqnNo= 0; Multiplication= 1; ShowWorking= 0; EqnStyle= 2; Eqp$G$24_0")</f>
        <v/>
      </c>
      <c r="I142" s="40" t="s">
        <v>536</v>
      </c>
      <c r="J142" s="31"/>
    </row>
    <row r="143" spans="3:10" outlineLevel="1">
      <c r="E143" s="37"/>
      <c r="F143" s="42"/>
      <c r="G143" s="61"/>
      <c r="H143" s="31" t="str">
        <f>[3]!EQS(F142,"Units= ; EqnPrefix=Valem  ; EqnNo= 0; Multiplication= 1; ShowWorking= 1; EqnStyle= 2; Eqp$G$24_$G$28_1")</f>
        <v/>
      </c>
      <c r="I143" s="40" t="s">
        <v>530</v>
      </c>
      <c r="J143" s="31"/>
    </row>
    <row r="144" spans="3:10" outlineLevel="1">
      <c r="C144" s="23" t="s">
        <v>50</v>
      </c>
      <c r="D144" s="23"/>
      <c r="E144" s="37"/>
      <c r="F144" s="42"/>
      <c r="G144" s="61"/>
      <c r="J144" s="31"/>
    </row>
    <row r="145" spans="3:10" ht="19.5" outlineLevel="1">
      <c r="E145" s="28" t="s">
        <v>52</v>
      </c>
      <c r="F145" s="23">
        <v>1.1499999999999999</v>
      </c>
      <c r="J145" s="31"/>
    </row>
    <row r="146" spans="3:10" ht="19.5" outlineLevel="1">
      <c r="C146" s="56" t="s">
        <v>129</v>
      </c>
      <c r="D146" s="39"/>
      <c r="E146" s="24"/>
      <c r="F146" s="43"/>
      <c r="H146" s="31"/>
      <c r="I146" s="31"/>
      <c r="J146" s="31"/>
    </row>
    <row r="147" spans="3:10" outlineLevel="1">
      <c r="C147" s="23"/>
      <c r="D147" s="41" t="s">
        <v>84</v>
      </c>
      <c r="E147" s="37"/>
      <c r="F147" s="44"/>
      <c r="H147" s="31"/>
      <c r="I147" s="41"/>
      <c r="J147" s="31"/>
    </row>
    <row r="148" spans="3:10" ht="19.5" outlineLevel="1">
      <c r="E148" s="114" t="s">
        <v>132</v>
      </c>
      <c r="F148" s="42">
        <v>2</v>
      </c>
      <c r="H148" s="31"/>
      <c r="I148" s="30"/>
      <c r="J148" s="31"/>
    </row>
    <row r="149" spans="3:10" outlineLevel="1">
      <c r="D149" s="48" t="s">
        <v>116</v>
      </c>
      <c r="E149" s="31"/>
      <c r="F149" s="31"/>
      <c r="H149" s="31"/>
      <c r="I149" s="40"/>
      <c r="J149" s="31"/>
    </row>
    <row r="150" spans="3:10" outlineLevel="1">
      <c r="D150" s="48"/>
      <c r="E150" s="115" t="s">
        <v>520</v>
      </c>
      <c r="F150" s="51">
        <f>MIN(70,2*F128/F126)</f>
        <v>70</v>
      </c>
      <c r="H150" s="31" t="str">
        <f>[3]!EQS(F150,"Units= ; EqnPrefix=Valem  ; EqnNo= 0; Multiplication= 1; ShowWorking= 1; EqnStyle=2; Eqp$H$148_0")</f>
        <v/>
      </c>
      <c r="I150" s="40" t="s">
        <v>133</v>
      </c>
      <c r="J150" s="31"/>
    </row>
    <row r="151" spans="3:10" outlineLevel="1">
      <c r="D151" s="48" t="s">
        <v>117</v>
      </c>
      <c r="E151" s="31"/>
      <c r="F151" s="31"/>
      <c r="H151" s="31"/>
      <c r="I151" s="40"/>
      <c r="J151" s="31"/>
    </row>
    <row r="152" spans="3:10" outlineLevel="1">
      <c r="D152" s="48"/>
      <c r="E152" s="115" t="s">
        <v>521</v>
      </c>
      <c r="F152" s="31">
        <v>1</v>
      </c>
      <c r="H152" s="31"/>
      <c r="I152" s="40"/>
      <c r="J152" s="31"/>
    </row>
    <row r="153" spans="3:10" outlineLevel="1">
      <c r="D153" s="49" t="s">
        <v>119</v>
      </c>
      <c r="F153" s="31"/>
      <c r="H153" s="31"/>
      <c r="I153" s="40"/>
      <c r="J153" s="31"/>
    </row>
    <row r="154" spans="3:10" ht="19.5" outlineLevel="1">
      <c r="E154" s="115" t="s">
        <v>118</v>
      </c>
      <c r="F154" s="23">
        <v>0.92</v>
      </c>
      <c r="H154" s="31"/>
      <c r="I154" s="40"/>
      <c r="J154" s="31"/>
    </row>
    <row r="155" spans="3:10" outlineLevel="1">
      <c r="D155" s="57" t="s">
        <v>142</v>
      </c>
      <c r="E155" s="55"/>
      <c r="H155" s="31"/>
      <c r="I155" s="40"/>
      <c r="J155" s="31"/>
    </row>
    <row r="156" spans="3:10" ht="19.5" outlineLevel="1">
      <c r="E156" s="115" t="s">
        <v>143</v>
      </c>
      <c r="F156" s="23">
        <v>0.88</v>
      </c>
      <c r="H156" s="31"/>
      <c r="I156" s="63" t="s">
        <v>144</v>
      </c>
      <c r="J156" s="31"/>
    </row>
    <row r="157" spans="3:10" outlineLevel="1">
      <c r="C157" s="57" t="s">
        <v>145</v>
      </c>
      <c r="E157" s="31"/>
      <c r="F157" s="50"/>
      <c r="H157" s="31"/>
      <c r="I157" s="40"/>
      <c r="J157" s="31"/>
    </row>
    <row r="158" spans="3:10" ht="19.5" outlineLevel="1">
      <c r="E158" s="114" t="s">
        <v>149</v>
      </c>
      <c r="F158" s="52">
        <f>F148*F154*F156</f>
        <v>1.6192</v>
      </c>
      <c r="H158" s="31" t="str">
        <f>[3]!EQS(F158,"Units= ; EqnPrefix=Valem  ; EqnNo= 0; Multiplication= 1; ShowWorking= 0; EqnStyle= 2; Eqp$H$119_2")</f>
        <v/>
      </c>
      <c r="I158" s="40" t="s">
        <v>546</v>
      </c>
      <c r="J158" s="31"/>
    </row>
    <row r="159" spans="3:10" outlineLevel="1">
      <c r="E159" s="31"/>
      <c r="F159" s="50"/>
      <c r="H159" s="31" t="str">
        <f>[3]!EQS(F158,"Units= ; EqnPrefix=Valem  ; EqnNo= 0; Multiplication= 1; ShowWorking= 1; EqnStyle= 2; Eqp$H$119_$H$120_3")</f>
        <v/>
      </c>
      <c r="I159" s="40" t="s">
        <v>147</v>
      </c>
      <c r="J159" s="31"/>
    </row>
    <row r="160" spans="3:10" outlineLevel="1">
      <c r="C160" s="57" t="s">
        <v>146</v>
      </c>
      <c r="E160" s="31"/>
      <c r="F160" s="50"/>
      <c r="H160" s="31"/>
      <c r="I160" s="40"/>
      <c r="J160" s="31"/>
    </row>
    <row r="161" spans="2:12" ht="19.5" outlineLevel="1">
      <c r="C161" s="57"/>
      <c r="E161" s="114" t="s">
        <v>150</v>
      </c>
      <c r="F161" s="52">
        <f>F148*F154</f>
        <v>1.84</v>
      </c>
      <c r="H161" s="31" t="str">
        <f>[3]!EQS(F161,"Units= ; EqnPrefix=Valem  ; EqnNo= 0; Multiplication= 1; ShowWorking= 0; EqnStyle= 2; Eqp$H$119_2")</f>
        <v/>
      </c>
      <c r="I161" s="40" t="s">
        <v>547</v>
      </c>
      <c r="J161" s="31"/>
    </row>
    <row r="162" spans="2:12" outlineLevel="1">
      <c r="E162" s="31"/>
      <c r="F162" s="50"/>
      <c r="H162" s="31" t="str">
        <f>[3]!EQS(F161,"Units= ; EqnPrefix=Valem  ; EqnNo= 0; Multiplication= 1; ShowWorking= 1; EqnStyle= 2; Eqp$H$119_$H$120_3")</f>
        <v/>
      </c>
      <c r="I162" s="40" t="s">
        <v>130</v>
      </c>
      <c r="J162" s="31"/>
    </row>
    <row r="163" spans="2:12" outlineLevel="1">
      <c r="C163" s="57" t="s">
        <v>134</v>
      </c>
      <c r="E163" s="31"/>
      <c r="F163" s="31"/>
      <c r="H163" s="31"/>
      <c r="I163" s="40"/>
      <c r="J163" s="31"/>
    </row>
    <row r="164" spans="2:12" ht="19.5" outlineLevel="1">
      <c r="E164" s="115" t="s">
        <v>155</v>
      </c>
      <c r="F164" s="125">
        <f>COS(RADIANS(90))^2</f>
        <v>3.7524718414124473E-33</v>
      </c>
      <c r="H164" s="31" t="str">
        <f>[3]!EQS(F164,"Units= ; EqnPrefix=Valem  ; EqnNo= 0; Multiplication= 1; ShowWorking= 0; EqnStyle= 2; Eqp$H$75_2")</f>
        <v/>
      </c>
      <c r="I164" s="40" t="s">
        <v>599</v>
      </c>
      <c r="J164" s="31"/>
    </row>
    <row r="165" spans="2:12" outlineLevel="1">
      <c r="C165" s="57" t="s">
        <v>151</v>
      </c>
      <c r="E165" s="55"/>
      <c r="F165" s="53"/>
      <c r="H165" s="31"/>
      <c r="I165" s="40"/>
      <c r="J165" s="31"/>
    </row>
    <row r="166" spans="2:12" ht="19.5" outlineLevel="1">
      <c r="E166" s="115" t="s">
        <v>156</v>
      </c>
      <c r="F166" s="125">
        <f>COS(RADIANS(0))^2</f>
        <v>1</v>
      </c>
      <c r="H166" s="31" t="str">
        <f>[3]!EQS(F166,"Units= ; EqnPrefix=Valem  ; EqnNo= 0; Multiplication= 1; ShowWorking= 0; EqnStyle= 2; Eqp$H$75_2")</f>
        <v/>
      </c>
      <c r="I166" s="40" t="s">
        <v>591</v>
      </c>
      <c r="J166" s="31"/>
    </row>
    <row r="167" spans="2:12">
      <c r="C167" s="57" t="s">
        <v>135</v>
      </c>
    </row>
    <row r="168" spans="2:12" ht="19.5">
      <c r="E168" s="114" t="s">
        <v>152</v>
      </c>
      <c r="F168" s="46">
        <f>F139*F142*F145*F158*F126*F164</f>
        <v>1.3369085596868152E-30</v>
      </c>
      <c r="G168" s="61" t="s">
        <v>86</v>
      </c>
      <c r="H168" s="31" t="str">
        <f>[3]!EQS(F168,"Units= ; EqnPrefix=Valem  ; EqnNo= 0; Multiplication= 1; ShowWorking= 0; EqnStyle= 2; Eqp$G$39_0")</f>
        <v/>
      </c>
      <c r="I168" s="30" t="s">
        <v>549</v>
      </c>
    </row>
    <row r="169" spans="2:12">
      <c r="H169" s="23" t="str">
        <f>[3]!EQS(F168,"Units= ; EqnPrefix=Valem  ; EqnNo= 0; Multiplication= 1; ShowWorking= 1; EqnStyle= 2; Eqp$G$39_$G$40_1")</f>
        <v/>
      </c>
      <c r="I169" s="30" t="s">
        <v>603</v>
      </c>
    </row>
    <row r="170" spans="2:12">
      <c r="C170" s="57" t="s">
        <v>158</v>
      </c>
    </row>
    <row r="171" spans="2:12" ht="19.5">
      <c r="E171" s="114" t="s">
        <v>153</v>
      </c>
      <c r="F171" s="46">
        <f>F139*F142*F145*F161*F127*F126*F166</f>
        <v>101.21423534783555</v>
      </c>
      <c r="G171" s="62" t="s">
        <v>154</v>
      </c>
      <c r="H171" s="31" t="str">
        <f>[3]!EQS(F171,"Units= ; EqnPrefix=Valem  ; EqnNo= 0; Multiplication= 1; ShowWorking= 0; EqnStyle= 2; Eqp$G$39_0")</f>
        <v/>
      </c>
      <c r="I171" s="30" t="s">
        <v>550</v>
      </c>
    </row>
    <row r="172" spans="2:12">
      <c r="H172" s="23" t="str">
        <f>[3]!EQS(F171,"Units= ; EqnPrefix=Valem  ; EqnNo= 0; Multiplication= 1; ShowWorking= 1; EqnStyle= 2; Eqp$G$39_$G$40_1")</f>
        <v/>
      </c>
      <c r="I172" s="30" t="s">
        <v>604</v>
      </c>
    </row>
    <row r="173" spans="2:12">
      <c r="B173" s="73" t="s">
        <v>159</v>
      </c>
      <c r="C173" s="36"/>
      <c r="D173" s="36"/>
      <c r="E173" s="29"/>
      <c r="F173" s="29"/>
      <c r="G173" s="60"/>
      <c r="H173" s="29"/>
      <c r="I173" s="29"/>
      <c r="J173" s="29"/>
      <c r="K173" s="29"/>
      <c r="L173" s="29"/>
    </row>
    <row r="174" spans="2:12" outlineLevel="1">
      <c r="C174" s="57" t="s">
        <v>160</v>
      </c>
      <c r="E174" s="24"/>
    </row>
    <row r="175" spans="2:12" outlineLevel="1">
      <c r="E175" s="114" t="s">
        <v>517</v>
      </c>
      <c r="F175" s="33">
        <v>41</v>
      </c>
      <c r="G175" s="59" t="s">
        <v>51</v>
      </c>
      <c r="I175" s="38" t="s">
        <v>109</v>
      </c>
    </row>
    <row r="176" spans="2:12" outlineLevel="1">
      <c r="E176" s="114" t="s">
        <v>519</v>
      </c>
      <c r="F176" s="33">
        <v>0.25</v>
      </c>
      <c r="G176" s="59" t="s">
        <v>51</v>
      </c>
    </row>
    <row r="177" spans="3:10" outlineLevel="1">
      <c r="E177" s="114" t="s">
        <v>516</v>
      </c>
      <c r="F177" s="33">
        <v>0.15</v>
      </c>
      <c r="G177" s="62" t="s">
        <v>51</v>
      </c>
      <c r="I177" s="54" t="s">
        <v>124</v>
      </c>
    </row>
    <row r="178" spans="3:10" outlineLevel="1">
      <c r="E178" s="114" t="s">
        <v>518</v>
      </c>
      <c r="F178" s="33">
        <v>5</v>
      </c>
      <c r="G178" s="61" t="s">
        <v>51</v>
      </c>
      <c r="I178" s="38" t="s">
        <v>94</v>
      </c>
    </row>
    <row r="179" spans="3:10" outlineLevel="1">
      <c r="C179" s="38" t="s">
        <v>99</v>
      </c>
      <c r="D179" s="38"/>
      <c r="E179" s="28"/>
      <c r="F179" s="27"/>
      <c r="G179" s="59"/>
      <c r="I179" s="32"/>
    </row>
    <row r="180" spans="3:10" ht="19.5" outlineLevel="1">
      <c r="E180" s="114" t="s">
        <v>98</v>
      </c>
      <c r="F180" s="45">
        <f>F177*F178</f>
        <v>0.75</v>
      </c>
      <c r="G180" s="61" t="s">
        <v>81</v>
      </c>
      <c r="H180" s="31" t="str">
        <f>[3]!EQS(F180,"Units= ; EqnPrefix=Valem  ; EqnNo= 0; Multiplication= 1; ShowWorking= 1; EqnStyle=2; Eqp$G$17_0")</f>
        <v/>
      </c>
      <c r="I180" s="30" t="s">
        <v>163</v>
      </c>
    </row>
    <row r="181" spans="3:10" outlineLevel="1">
      <c r="C181" s="57" t="s">
        <v>165</v>
      </c>
      <c r="E181" s="37"/>
      <c r="F181" s="45"/>
      <c r="G181" s="61"/>
      <c r="H181" s="31"/>
      <c r="I181" s="30"/>
    </row>
    <row r="182" spans="3:10" ht="19.5" outlineLevel="1">
      <c r="C182" s="48"/>
      <c r="E182" s="114" t="s">
        <v>125</v>
      </c>
      <c r="F182" s="45">
        <f>F178*F176</f>
        <v>1.25</v>
      </c>
      <c r="G182" s="61" t="s">
        <v>81</v>
      </c>
      <c r="H182" s="31" t="str">
        <f>[3]!EQS(F182,"Units= ; EqnPrefix=Valem  ; EqnNo= 0; Multiplication= 1; ShowWorking= 1; EqnStyle= 2; Eqp$H$137_2")</f>
        <v/>
      </c>
      <c r="I182" s="30" t="s">
        <v>164</v>
      </c>
    </row>
    <row r="183" spans="3:10" outlineLevel="1">
      <c r="C183" s="35" t="s">
        <v>65</v>
      </c>
      <c r="F183" s="27"/>
      <c r="G183" s="59"/>
      <c r="I183" s="32"/>
    </row>
    <row r="184" spans="3:10" outlineLevel="1">
      <c r="E184" s="28"/>
      <c r="F184" s="27"/>
      <c r="G184" s="59"/>
      <c r="I184" s="32"/>
    </row>
    <row r="185" spans="3:10" outlineLevel="1"/>
    <row r="186" spans="3:10" ht="19.5" outlineLevel="1">
      <c r="E186" s="114" t="s">
        <v>57</v>
      </c>
      <c r="F186" s="42">
        <f>$F$6*LN(F175/$F$7)*$F$3</f>
        <v>26.770124317630611</v>
      </c>
      <c r="G186" s="59" t="s">
        <v>43</v>
      </c>
      <c r="H186" s="31" t="str">
        <f>[3]!EQS(F186,"Units= ; EqnPrefix=Valem  ; EqnNo= 0; Multiplication= 1; ShowWorking= 0; EqnStyle= 2; Eqp$H$54_2")</f>
        <v/>
      </c>
      <c r="I186" s="40" t="s">
        <v>534</v>
      </c>
      <c r="J186" s="31"/>
    </row>
    <row r="187" spans="3:10" outlineLevel="1">
      <c r="E187" s="28"/>
      <c r="F187" s="42"/>
      <c r="G187" s="59"/>
      <c r="H187" s="31" t="str">
        <f>[3]!EQS(F186,"Units= ; EqnPrefix=Valem  ; EqnNo= 0; Multiplication= 1; ShowWorking= 1; EqnStyle= 2; Eqp$H$54_$H$55_3")</f>
        <v/>
      </c>
      <c r="I187" s="40" t="s">
        <v>161</v>
      </c>
      <c r="J187" s="31"/>
    </row>
    <row r="188" spans="3:10" outlineLevel="1">
      <c r="C188" s="41" t="s">
        <v>77</v>
      </c>
      <c r="D188" s="41"/>
      <c r="F188" s="42"/>
      <c r="G188" s="59"/>
      <c r="H188" s="31"/>
      <c r="I188" s="40"/>
      <c r="J188" s="31"/>
    </row>
    <row r="189" spans="3:10" ht="19.5" outlineLevel="1">
      <c r="E189" s="114" t="s">
        <v>75</v>
      </c>
      <c r="F189" s="42">
        <f>1/2*$F$5*F186^2</f>
        <v>438.94172803860613</v>
      </c>
      <c r="G189" s="61" t="s">
        <v>76</v>
      </c>
      <c r="H189" s="31" t="str">
        <f>[3]!EQS(F189,"Units= ; EqnPrefix=Valem  ; EqnNo= 0; Multiplication= 1; ShowWorking= 0; EqnStyle= 2; Eqp$G$21_0")</f>
        <v/>
      </c>
      <c r="I189" s="40" t="s">
        <v>527</v>
      </c>
      <c r="J189" s="31"/>
    </row>
    <row r="190" spans="3:10" outlineLevel="1">
      <c r="E190" s="37"/>
      <c r="F190" s="42"/>
      <c r="G190" s="61"/>
      <c r="H190" s="31" t="str">
        <f>[3]!EQS(F189,"Units= ; EqnPrefix=Valem  ; EqnNo= 0; Multiplication= 1; ShowWorking= 1; EqnStyle= 2; Eqp$G$21_$G$25_1")</f>
        <v/>
      </c>
      <c r="I190" s="40" t="s">
        <v>551</v>
      </c>
      <c r="J190" s="31"/>
    </row>
    <row r="191" spans="3:10" outlineLevel="1">
      <c r="C191" s="35" t="s">
        <v>79</v>
      </c>
      <c r="E191" s="37"/>
      <c r="F191" s="42"/>
      <c r="G191" s="61"/>
      <c r="I191" s="40"/>
      <c r="J191" s="31"/>
    </row>
    <row r="192" spans="3:10" ht="19.5" outlineLevel="1">
      <c r="E192" s="114" t="s">
        <v>80</v>
      </c>
      <c r="F192" s="42">
        <f>(1+2.28/LN(F175/$F$7))^2</f>
        <v>1.7951352851913878</v>
      </c>
      <c r="G192" s="61"/>
      <c r="H192" s="31" t="str">
        <f>[3]!EQS(F192,"Units= ; EqnPrefix=Valem  ; EqnNo= 0; Multiplication= 1; ShowWorking= 0; EqnStyle= 2; Eqp$G$24_0")</f>
        <v/>
      </c>
      <c r="I192" s="40" t="s">
        <v>536</v>
      </c>
      <c r="J192" s="31"/>
    </row>
    <row r="193" spans="3:10" outlineLevel="1">
      <c r="E193" s="37"/>
      <c r="F193" s="42"/>
      <c r="G193" s="61"/>
      <c r="H193" s="31" t="str">
        <f>[3]!EQS(F192,"Units= ; EqnPrefix=Valem  ; EqnNo= 0; Multiplication= 1; ShowWorking= 1; EqnStyle= 2; Eqp$G$24_$G$28_1")</f>
        <v/>
      </c>
      <c r="I193" s="40" t="s">
        <v>552</v>
      </c>
      <c r="J193" s="31"/>
    </row>
    <row r="194" spans="3:10" outlineLevel="1">
      <c r="C194" s="23" t="s">
        <v>50</v>
      </c>
      <c r="D194" s="23"/>
      <c r="E194" s="37"/>
      <c r="F194" s="42"/>
      <c r="G194" s="61"/>
      <c r="J194" s="31"/>
    </row>
    <row r="195" spans="3:10" ht="19.5" outlineLevel="1">
      <c r="E195" s="28" t="s">
        <v>52</v>
      </c>
      <c r="F195" s="23">
        <v>1.1499999999999999</v>
      </c>
      <c r="J195" s="31"/>
    </row>
    <row r="196" spans="3:10" ht="19.5" outlineLevel="1">
      <c r="C196" s="56" t="s">
        <v>166</v>
      </c>
      <c r="D196" s="39"/>
      <c r="E196" s="24"/>
      <c r="F196" s="43"/>
      <c r="H196" s="31"/>
      <c r="I196" s="31"/>
      <c r="J196" s="31"/>
    </row>
    <row r="197" spans="3:10" outlineLevel="1">
      <c r="C197" s="23"/>
      <c r="D197" s="41" t="s">
        <v>84</v>
      </c>
      <c r="E197" s="37"/>
      <c r="F197" s="44"/>
      <c r="H197" s="31"/>
      <c r="I197" s="41"/>
      <c r="J197" s="31"/>
    </row>
    <row r="198" spans="3:10" ht="19.5" outlineLevel="1">
      <c r="E198" s="114" t="s">
        <v>167</v>
      </c>
      <c r="F198" s="42">
        <v>2</v>
      </c>
      <c r="H198" s="31"/>
      <c r="I198" s="30"/>
      <c r="J198" s="31"/>
    </row>
    <row r="199" spans="3:10" outlineLevel="1">
      <c r="D199" s="48" t="s">
        <v>116</v>
      </c>
      <c r="E199" s="31"/>
      <c r="F199" s="31"/>
      <c r="H199" s="31"/>
      <c r="I199" s="40"/>
      <c r="J199" s="31"/>
    </row>
    <row r="200" spans="3:10" outlineLevel="1">
      <c r="D200" s="48"/>
      <c r="E200" s="115" t="s">
        <v>520</v>
      </c>
      <c r="F200" s="51">
        <f>MIN(70,2*F178/F176)</f>
        <v>40</v>
      </c>
      <c r="H200" s="31"/>
      <c r="I200" s="100" t="s">
        <v>437</v>
      </c>
      <c r="J200" s="31"/>
    </row>
    <row r="201" spans="3:10" outlineLevel="1">
      <c r="D201" s="48" t="s">
        <v>117</v>
      </c>
      <c r="E201" s="31"/>
      <c r="F201" s="31"/>
      <c r="H201" s="31"/>
      <c r="I201" s="40"/>
      <c r="J201" s="31"/>
    </row>
    <row r="202" spans="3:10" outlineLevel="1">
      <c r="D202" s="48"/>
      <c r="E202" s="115" t="s">
        <v>521</v>
      </c>
      <c r="F202" s="31">
        <v>1</v>
      </c>
      <c r="H202" s="31"/>
      <c r="I202" s="40"/>
      <c r="J202" s="31"/>
    </row>
    <row r="203" spans="3:10" outlineLevel="1">
      <c r="D203" s="49" t="s">
        <v>119</v>
      </c>
      <c r="F203" s="31"/>
      <c r="H203" s="31"/>
      <c r="I203" s="40"/>
      <c r="J203" s="31"/>
    </row>
    <row r="204" spans="3:10" ht="19.5" outlineLevel="1">
      <c r="E204" s="115" t="s">
        <v>118</v>
      </c>
      <c r="F204" s="23">
        <v>0.85</v>
      </c>
      <c r="H204" s="31"/>
      <c r="I204" s="40"/>
      <c r="J204" s="31"/>
    </row>
    <row r="205" spans="3:10" outlineLevel="1">
      <c r="D205" s="57" t="s">
        <v>142</v>
      </c>
      <c r="E205" s="55"/>
      <c r="H205" s="31"/>
      <c r="I205" s="40"/>
      <c r="J205" s="31"/>
    </row>
    <row r="206" spans="3:10" ht="19.5" outlineLevel="1">
      <c r="E206" s="115" t="s">
        <v>143</v>
      </c>
      <c r="F206" s="23">
        <v>0.9</v>
      </c>
      <c r="H206" s="31"/>
      <c r="J206" s="101" t="s">
        <v>168</v>
      </c>
    </row>
    <row r="207" spans="3:10" outlineLevel="1">
      <c r="C207" s="57" t="s">
        <v>145</v>
      </c>
      <c r="E207" s="31"/>
      <c r="F207" s="50"/>
      <c r="H207" s="31"/>
      <c r="I207" s="40"/>
      <c r="J207" s="31"/>
    </row>
    <row r="208" spans="3:10" ht="19.5" outlineLevel="1">
      <c r="E208" s="114" t="s">
        <v>170</v>
      </c>
      <c r="F208" s="52">
        <f>F198*F204*F206</f>
        <v>1.53</v>
      </c>
      <c r="H208" s="31" t="str">
        <f>[3]!EQS(F208,"Units= ; EqnPrefix=Valem  ; EqnNo= 0; Multiplication= 1; ShowWorking= 0; EqnStyle= 2; Eqp$H$119_2")</f>
        <v/>
      </c>
      <c r="I208" s="40" t="s">
        <v>553</v>
      </c>
      <c r="J208" s="31"/>
    </row>
    <row r="209" spans="2:10" outlineLevel="1">
      <c r="E209" s="31"/>
      <c r="F209" s="50"/>
      <c r="H209" s="31" t="str">
        <f>[3]!EQS(F208,"Units= ; EqnPrefix=Valem  ; EqnNo= 0; Multiplication= 1; ShowWorking= 1; EqnStyle= 2; Eqp$H$119_$H$120_3")</f>
        <v/>
      </c>
      <c r="I209" s="40" t="s">
        <v>169</v>
      </c>
      <c r="J209" s="31"/>
    </row>
    <row r="210" spans="2:10" outlineLevel="1">
      <c r="C210" s="57" t="s">
        <v>146</v>
      </c>
      <c r="E210" s="31"/>
      <c r="F210" s="50"/>
      <c r="H210" s="31"/>
      <c r="I210" s="40"/>
      <c r="J210" s="31"/>
    </row>
    <row r="211" spans="2:10" ht="19.5" outlineLevel="1">
      <c r="C211" s="57"/>
      <c r="E211" s="114" t="s">
        <v>171</v>
      </c>
      <c r="F211" s="52">
        <f>F198*F204*F206</f>
        <v>1.53</v>
      </c>
      <c r="H211" s="31" t="str">
        <f>[3]!EQS(F211,"Units= ; EqnPrefix=Valem  ; EqnNo= 0; Multiplication= 1; ShowWorking= 0; EqnStyle= 2; Eqp$H$119_2")</f>
        <v/>
      </c>
      <c r="I211" s="40" t="s">
        <v>553</v>
      </c>
      <c r="J211" s="31"/>
    </row>
    <row r="212" spans="2:10" outlineLevel="1">
      <c r="E212" s="31"/>
      <c r="F212" s="50"/>
      <c r="H212" s="31" t="str">
        <f>[3]!EQS(F211,"Units= ; EqnPrefix=Valem  ; EqnNo= 0; Multiplication= 1; ShowWorking= 1; EqnStyle= 2; Eqp$H$119_$H$120_3")</f>
        <v/>
      </c>
      <c r="I212" s="40" t="s">
        <v>169</v>
      </c>
      <c r="J212" s="31"/>
    </row>
    <row r="213" spans="2:10" outlineLevel="1">
      <c r="C213" s="57" t="s">
        <v>134</v>
      </c>
      <c r="E213" s="31"/>
      <c r="F213" s="31"/>
      <c r="H213" s="31"/>
      <c r="I213" s="40"/>
      <c r="J213" s="31"/>
    </row>
    <row r="214" spans="2:10" ht="19.5" outlineLevel="1">
      <c r="E214" s="115" t="s">
        <v>155</v>
      </c>
      <c r="F214" s="125">
        <f>COS(RADIANS(90))^2</f>
        <v>3.7524718414124473E-33</v>
      </c>
      <c r="H214" s="31" t="str">
        <f>[3]!EQS(F214,"Units= ; EqnPrefix=Valem  ; EqnNo= 0; Multiplication= 1; ShowWorking= 0; EqnStyle= 2; Eqp$H$75_2")</f>
        <v/>
      </c>
      <c r="I214" s="40" t="s">
        <v>599</v>
      </c>
      <c r="J214" s="31"/>
    </row>
    <row r="215" spans="2:10" outlineLevel="1">
      <c r="C215" s="57" t="s">
        <v>151</v>
      </c>
      <c r="E215" s="55"/>
      <c r="F215" s="53"/>
      <c r="H215" s="31"/>
      <c r="I215" s="40"/>
      <c r="J215" s="31"/>
    </row>
    <row r="216" spans="2:10" ht="19.5" outlineLevel="1">
      <c r="E216" s="115" t="s">
        <v>156</v>
      </c>
      <c r="F216" s="125">
        <f>COS(RADIANS(0))^2</f>
        <v>1</v>
      </c>
      <c r="H216" s="31" t="str">
        <f>[3]!EQS(F216,"Units= ; EqnPrefix=Valem  ; EqnNo= 0; Multiplication= 1; ShowWorking= 0; EqnStyle= 2; Eqp$H$75_2")</f>
        <v/>
      </c>
      <c r="I216" s="40" t="s">
        <v>591</v>
      </c>
      <c r="J216" s="31"/>
    </row>
    <row r="217" spans="2:10">
      <c r="C217" s="57" t="s">
        <v>173</v>
      </c>
    </row>
    <row r="218" spans="2:10" ht="19.5">
      <c r="E218" s="114" t="s">
        <v>152</v>
      </c>
      <c r="F218" s="46">
        <f>F189*F192*F195*F208*F177*F214</f>
        <v>7.8037262240508031E-31</v>
      </c>
      <c r="G218" s="61" t="s">
        <v>86</v>
      </c>
      <c r="H218" s="31" t="str">
        <f>[3]!EQS(F218,"Units= ; EqnPrefix=Valem  ; EqnNo= 0; Multiplication= 1; ShowWorking= 0; EqnStyle= 2; Eqp$G$39_0")</f>
        <v/>
      </c>
      <c r="I218" s="30" t="s">
        <v>554</v>
      </c>
    </row>
    <row r="219" spans="2:10">
      <c r="H219" s="23" t="str">
        <f>[3]!EQS(F218,"Units= ; EqnPrefix=Valem  ; EqnNo= 0; Multiplication= 1; ShowWorking= 1; EqnStyle= 2; Eqp$G$39_$G$40_1")</f>
        <v/>
      </c>
      <c r="I219" s="30" t="s">
        <v>605</v>
      </c>
    </row>
    <row r="220" spans="2:10">
      <c r="C220" s="57" t="s">
        <v>174</v>
      </c>
    </row>
    <row r="221" spans="2:10" ht="19.5">
      <c r="E221" s="114" t="s">
        <v>153</v>
      </c>
      <c r="F221" s="46">
        <f>F189*F192*F195*F211*F176*F216</f>
        <v>346.60381005077471</v>
      </c>
      <c r="G221" s="62" t="s">
        <v>86</v>
      </c>
      <c r="H221" s="31" t="str">
        <f>[3]!EQS(F221,"Units= ; EqnPrefix=Valem  ; EqnNo= 0; Multiplication= 1; ShowWorking= 0; EqnStyle= 2; Eqp$G$39_0")</f>
        <v/>
      </c>
      <c r="I221" s="30" t="s">
        <v>555</v>
      </c>
    </row>
    <row r="222" spans="2:10">
      <c r="H222" s="23" t="str">
        <f>[3]!EQS(F221,"Units= ; EqnPrefix=Valem  ; EqnNo= 0; Multiplication= 1; ShowWorking= 1; EqnStyle= 2; Eqp$G$39_$G$40_1")</f>
        <v/>
      </c>
      <c r="I222" s="30" t="s">
        <v>606</v>
      </c>
    </row>
    <row r="224" spans="2:10">
      <c r="B224" s="73" t="s">
        <v>183</v>
      </c>
      <c r="C224" s="36"/>
      <c r="D224" s="36"/>
      <c r="E224" s="29"/>
    </row>
    <row r="225" spans="3:10" outlineLevel="1">
      <c r="C225" s="57" t="s">
        <v>176</v>
      </c>
      <c r="E225" s="24"/>
    </row>
    <row r="226" spans="3:10" outlineLevel="1">
      <c r="C226" s="57" t="s">
        <v>177</v>
      </c>
    </row>
    <row r="227" spans="3:10" outlineLevel="1"/>
    <row r="228" spans="3:10" outlineLevel="1">
      <c r="C228" s="64" t="s">
        <v>181</v>
      </c>
    </row>
    <row r="229" spans="3:10" outlineLevel="1"/>
    <row r="230" spans="3:10" outlineLevel="1">
      <c r="C230" s="65" t="s">
        <v>182</v>
      </c>
      <c r="E230" s="24"/>
    </row>
    <row r="231" spans="3:10" outlineLevel="1">
      <c r="E231" s="114" t="s">
        <v>54</v>
      </c>
      <c r="F231" s="33">
        <v>36</v>
      </c>
      <c r="G231" s="59" t="s">
        <v>51</v>
      </c>
      <c r="I231" s="65" t="s">
        <v>184</v>
      </c>
    </row>
    <row r="232" spans="3:10" outlineLevel="1">
      <c r="E232" s="114" t="s">
        <v>514</v>
      </c>
      <c r="F232" s="33">
        <v>2.01E-2</v>
      </c>
      <c r="G232" s="59" t="s">
        <v>51</v>
      </c>
      <c r="I232" s="65" t="s">
        <v>185</v>
      </c>
    </row>
    <row r="233" spans="3:10" outlineLevel="1">
      <c r="E233" s="114" t="s">
        <v>126</v>
      </c>
      <c r="F233" s="33">
        <v>40.590000000000003</v>
      </c>
      <c r="G233" s="67" t="s">
        <v>51</v>
      </c>
      <c r="I233" s="65" t="s">
        <v>198</v>
      </c>
    </row>
    <row r="234" spans="3:10" outlineLevel="1">
      <c r="C234" s="38" t="s">
        <v>82</v>
      </c>
      <c r="D234" s="38"/>
      <c r="E234" s="28"/>
      <c r="F234" s="27"/>
      <c r="G234" s="59"/>
      <c r="I234" s="32"/>
    </row>
    <row r="235" spans="3:10" ht="19.5" outlineLevel="1">
      <c r="E235" s="114" t="s">
        <v>97</v>
      </c>
      <c r="F235" s="45">
        <f>F232*F233</f>
        <v>0.81585900000000011</v>
      </c>
      <c r="G235" s="61" t="s">
        <v>81</v>
      </c>
      <c r="H235" s="31" t="str">
        <f>[3]!EQS(F235,"Units= ; EqnPrefix=Valem  ; EqnNo= 0; Multiplication= 1; ShowWorking= 1; EqnStyle=2; Eqp$G$17_0")</f>
        <v/>
      </c>
      <c r="I235" s="30" t="s">
        <v>186</v>
      </c>
    </row>
    <row r="236" spans="3:10" outlineLevel="1">
      <c r="C236" s="35" t="s">
        <v>65</v>
      </c>
      <c r="F236" s="27"/>
      <c r="G236" s="59"/>
      <c r="I236" s="32"/>
    </row>
    <row r="237" spans="3:10" ht="19.5" outlineLevel="1">
      <c r="E237" s="114" t="s">
        <v>57</v>
      </c>
      <c r="F237" s="42">
        <f>$F$6*LN(F231/$F$7)*$F$3</f>
        <v>26.251212335920307</v>
      </c>
      <c r="G237" s="59" t="s">
        <v>43</v>
      </c>
      <c r="H237" s="31" t="str">
        <f>[3]!EQS(F237,"Units= ; EqnPrefix=Valem  ; EqnNo= 0; Multiplication= 1; ShowWorking= 0; EqnStyle= 2; Eqp$H$21_2")</f>
        <v/>
      </c>
      <c r="I237" s="40" t="s">
        <v>526</v>
      </c>
      <c r="J237" s="31"/>
    </row>
    <row r="238" spans="3:10" outlineLevel="1">
      <c r="E238" s="28"/>
      <c r="F238" s="42"/>
      <c r="G238" s="59"/>
      <c r="H238" s="31" t="str">
        <f>[3]!EQS(F237,"Units= ; EqnPrefix=Valem  ; EqnNo= 0; Multiplication= 1; ShowWorking= 1; EqnStyle= 2; Eqp$H$21_$H$22_3")</f>
        <v/>
      </c>
      <c r="I238" s="40" t="s">
        <v>64</v>
      </c>
      <c r="J238" s="31"/>
    </row>
    <row r="239" spans="3:10" outlineLevel="1">
      <c r="C239" s="41" t="s">
        <v>77</v>
      </c>
      <c r="D239" s="41"/>
      <c r="F239" s="42"/>
      <c r="G239" s="59"/>
      <c r="H239" s="31"/>
      <c r="I239" s="40"/>
      <c r="J239" s="31"/>
    </row>
    <row r="240" spans="3:10" ht="19.5" outlineLevel="1">
      <c r="E240" s="114" t="s">
        <v>75</v>
      </c>
      <c r="F240" s="42">
        <f>1/2*$F$5*F237^2</f>
        <v>422.08976632716445</v>
      </c>
      <c r="G240" s="61" t="s">
        <v>76</v>
      </c>
      <c r="H240" s="31" t="str">
        <f>[3]!EQS(F240,"Units= ; EqnPrefix=Valem  ; EqnNo= 0; Multiplication= 1; ShowWorking= 0; EqnStyle= 2; Eqp$G$21_0")</f>
        <v/>
      </c>
      <c r="I240" s="40" t="s">
        <v>527</v>
      </c>
      <c r="J240" s="31"/>
    </row>
    <row r="241" spans="3:10" outlineLevel="1">
      <c r="E241" s="37"/>
      <c r="F241" s="42"/>
      <c r="G241" s="61"/>
      <c r="H241" s="31" t="str">
        <f>[3]!EQS(F240,"Units= ; EqnPrefix=Valem  ; EqnNo= 0; Multiplication= 1; ShowWorking= 1; EqnStyle= 2; Eqp$G$21_$G$25_1")</f>
        <v/>
      </c>
      <c r="I241" s="40" t="s">
        <v>528</v>
      </c>
      <c r="J241" s="31"/>
    </row>
    <row r="242" spans="3:10" outlineLevel="1">
      <c r="C242" s="35" t="s">
        <v>79</v>
      </c>
      <c r="E242" s="37"/>
      <c r="F242" s="42"/>
      <c r="G242" s="61"/>
      <c r="I242" s="40"/>
      <c r="J242" s="31"/>
    </row>
    <row r="243" spans="3:10" ht="19.5" outlineLevel="1">
      <c r="E243" s="114" t="s">
        <v>80</v>
      </c>
      <c r="F243" s="42">
        <f>(1+2.28/LN(F231/$F$7))^2</f>
        <v>1.8131807308313552</v>
      </c>
      <c r="G243" s="61"/>
      <c r="H243" s="31" t="str">
        <f>[3]!EQS(F243,"Units= ; EqnPrefix=Valem  ; EqnNo= 0; Multiplication= 1; ShowWorking= 0; EqnStyle= 2; Eqp$G$24_0")</f>
        <v/>
      </c>
      <c r="I243" s="40" t="s">
        <v>529</v>
      </c>
      <c r="J243" s="31"/>
    </row>
    <row r="244" spans="3:10" outlineLevel="1">
      <c r="E244" s="37"/>
      <c r="F244" s="42"/>
      <c r="G244" s="61"/>
      <c r="H244" s="31" t="str">
        <f>[3]!EQS(F243,"Units= ; EqnPrefix=Valem  ; EqnNo= 0; Multiplication= 1; ShowWorking= 1; EqnStyle= 2; Eqp$G$24_$G$28_1")</f>
        <v/>
      </c>
      <c r="I244" s="40" t="s">
        <v>530</v>
      </c>
      <c r="J244" s="31"/>
    </row>
    <row r="245" spans="3:10" outlineLevel="1">
      <c r="C245" s="23" t="s">
        <v>50</v>
      </c>
      <c r="D245" s="23"/>
      <c r="E245" s="37"/>
      <c r="F245" s="42"/>
      <c r="G245" s="61"/>
      <c r="J245" s="31"/>
    </row>
    <row r="246" spans="3:10" ht="19.5" outlineLevel="1">
      <c r="E246" s="28" t="s">
        <v>52</v>
      </c>
      <c r="F246" s="23">
        <v>1.1499999999999999</v>
      </c>
      <c r="J246" s="31"/>
    </row>
    <row r="247" spans="3:10" ht="19.5" outlineLevel="1">
      <c r="C247" s="69" t="s">
        <v>187</v>
      </c>
      <c r="D247" s="39"/>
      <c r="E247" s="24"/>
      <c r="F247" s="43"/>
      <c r="H247" s="31"/>
      <c r="I247" s="31"/>
      <c r="J247" s="31"/>
    </row>
    <row r="248" spans="3:10" outlineLevel="1">
      <c r="E248" s="114" t="s">
        <v>515</v>
      </c>
      <c r="F248" s="31">
        <f>15*10^-6</f>
        <v>1.4999999999999999E-5</v>
      </c>
      <c r="G248" s="61" t="s">
        <v>66</v>
      </c>
      <c r="H248" s="31"/>
      <c r="I248" s="41" t="s">
        <v>67</v>
      </c>
      <c r="J248" s="31"/>
    </row>
    <row r="249" spans="3:10" outlineLevel="1">
      <c r="E249" s="114" t="s">
        <v>516</v>
      </c>
      <c r="F249" s="31">
        <f>F232</f>
        <v>2.01E-2</v>
      </c>
      <c r="G249" s="61" t="s">
        <v>51</v>
      </c>
      <c r="H249" s="31"/>
      <c r="I249" s="41" t="s">
        <v>68</v>
      </c>
      <c r="J249" s="31"/>
    </row>
    <row r="250" spans="3:10" outlineLevel="1">
      <c r="C250" s="23"/>
      <c r="D250" s="41" t="s">
        <v>73</v>
      </c>
      <c r="E250" s="37"/>
      <c r="F250" s="31"/>
      <c r="G250" s="61"/>
      <c r="H250" s="31"/>
      <c r="I250" s="41"/>
      <c r="J250" s="31"/>
    </row>
    <row r="251" spans="3:10" outlineLevel="1">
      <c r="C251" s="23"/>
      <c r="E251" s="37" t="s">
        <v>69</v>
      </c>
      <c r="F251" s="44">
        <f>F249*F237/F248</f>
        <v>35176.624530133209</v>
      </c>
      <c r="H251" s="31" t="str">
        <f>[3]!EQS(F251,"Units= ; EqnPrefix=Valem  ; EqnNo= 0; Multiplication= 1; ShowWorking= 1; EqnStyle= 2; Eqp$G$27_0")</f>
        <v/>
      </c>
      <c r="I251" s="30" t="s">
        <v>207</v>
      </c>
      <c r="J251" s="31"/>
    </row>
    <row r="252" spans="3:10" outlineLevel="1">
      <c r="C252" s="23"/>
      <c r="D252" s="64" t="s">
        <v>188</v>
      </c>
      <c r="E252" s="37"/>
      <c r="F252" s="44"/>
      <c r="H252" s="31"/>
      <c r="I252" s="41"/>
      <c r="J252" s="31"/>
    </row>
    <row r="253" spans="3:10" ht="19.5" outlineLevel="1">
      <c r="C253" s="23"/>
      <c r="D253" s="41"/>
      <c r="E253" s="114" t="s">
        <v>189</v>
      </c>
      <c r="F253" s="42">
        <v>1.2</v>
      </c>
      <c r="H253" s="31"/>
      <c r="I253" s="41"/>
      <c r="J253" s="31"/>
    </row>
    <row r="254" spans="3:10" outlineLevel="1">
      <c r="C254" s="64" t="s">
        <v>190</v>
      </c>
      <c r="E254" s="31"/>
      <c r="F254" s="31"/>
      <c r="H254" s="31"/>
      <c r="I254" s="40"/>
      <c r="J254" s="31"/>
    </row>
    <row r="255" spans="3:10" ht="19.5" outlineLevel="1">
      <c r="E255" s="115" t="s">
        <v>196</v>
      </c>
      <c r="F255" s="125">
        <f>COS(RADIANS(45))^2</f>
        <v>0.50000000000000011</v>
      </c>
      <c r="H255" s="31" t="str">
        <f>[3]!EQS(F255,"Units= ; EqnPrefix=Valem  ; EqnNo= 0; Multiplication= 1; ShowWorking= 0; EqnStyle= 2; Eqp$H$75_2")</f>
        <v/>
      </c>
      <c r="I255" s="40" t="s">
        <v>593</v>
      </c>
      <c r="J255" s="31"/>
    </row>
    <row r="256" spans="3:10" outlineLevel="1">
      <c r="C256" s="64" t="s">
        <v>191</v>
      </c>
      <c r="E256" s="55"/>
      <c r="F256" s="53"/>
      <c r="H256" s="31"/>
      <c r="I256" s="40"/>
      <c r="J256" s="31"/>
    </row>
    <row r="257" spans="2:10" ht="19.5" outlineLevel="1">
      <c r="E257" s="115" t="s">
        <v>197</v>
      </c>
      <c r="F257" s="125">
        <f>COS(RADIANS(45))^2</f>
        <v>0.50000000000000011</v>
      </c>
      <c r="H257" s="31" t="str">
        <f>[3]!EQS(F257,"Units= ; EqnPrefix=Valem  ; EqnNo= 0; Multiplication= 1; ShowWorking= 0; EqnStyle= 2; Eqp$H$75_2")</f>
        <v/>
      </c>
      <c r="I257" s="40" t="s">
        <v>593</v>
      </c>
      <c r="J257" s="31"/>
    </row>
    <row r="258" spans="2:10">
      <c r="C258" s="64" t="s">
        <v>192</v>
      </c>
    </row>
    <row r="259" spans="2:10" ht="19.5">
      <c r="E259" s="115" t="s">
        <v>199</v>
      </c>
      <c r="F259" s="46">
        <f>F240*F243*F246*F253*F232*F255</f>
        <v>10.614292854738233</v>
      </c>
      <c r="G259" s="61" t="s">
        <v>86</v>
      </c>
      <c r="H259" s="31" t="str">
        <f>[3]!EQS(F259,"Units= ; EqnPrefix=Valem  ; EqnNo= 0; Multiplication= 1; ShowWorking= 0; EqnStyle= 2; Eqp$G$39_0")</f>
        <v/>
      </c>
      <c r="I259" s="30" t="s">
        <v>558</v>
      </c>
    </row>
    <row r="260" spans="2:10">
      <c r="H260" s="23" t="str">
        <f>[3]!EQS(F259,"Units= ; EqnPrefix=Valem  ; EqnNo= 0; Multiplication= 1; ShowWorking= 1; EqnStyle= 2; Eqp$G$39_$G$40_1")</f>
        <v/>
      </c>
      <c r="I260" s="30" t="s">
        <v>318</v>
      </c>
    </row>
    <row r="261" spans="2:10" ht="19.5">
      <c r="E261" s="115" t="s">
        <v>201</v>
      </c>
      <c r="F261" s="70">
        <f>COS(RADIANS(45))*F259</f>
        <v>7.505438455085323</v>
      </c>
      <c r="G261" s="61" t="s">
        <v>86</v>
      </c>
      <c r="H261" s="31" t="str">
        <f>[3]!EQS(F261,"Units= ; EqnPrefix=Valem  ; EqnNo= 0; Multiplication= 1; ShowWorking= 0; EqnStyle= 2; Eqp$H$259_2")</f>
        <v/>
      </c>
      <c r="I261" s="30" t="s">
        <v>559</v>
      </c>
    </row>
    <row r="262" spans="2:10" ht="19.5">
      <c r="E262" s="115" t="s">
        <v>202</v>
      </c>
      <c r="F262" s="68" t="s">
        <v>203</v>
      </c>
      <c r="I262" s="30"/>
    </row>
    <row r="263" spans="2:10">
      <c r="C263" s="64" t="s">
        <v>193</v>
      </c>
    </row>
    <row r="264" spans="2:10" ht="19.5">
      <c r="E264" s="114" t="s">
        <v>200</v>
      </c>
      <c r="F264" s="46">
        <f>F240*F243*F246*F253*F232*F257</f>
        <v>10.614292854738233</v>
      </c>
      <c r="G264" s="61" t="s">
        <v>86</v>
      </c>
      <c r="H264" s="31" t="str">
        <f>[3]!EQS(F264,"Units= ; EqnPrefix=Valem  ; EqnNo= 0; Multiplication= 1; ShowWorking= 0; EqnStyle= 2; Eqp$G$39_0")</f>
        <v/>
      </c>
      <c r="I264" s="30" t="s">
        <v>560</v>
      </c>
    </row>
    <row r="265" spans="2:10">
      <c r="H265" s="23" t="str">
        <f>[3]!EQS(F264,"Units= ; EqnPrefix=Valem  ; EqnNo= 0; Multiplication= 1; ShowWorking= 1; EqnStyle= 2; Eqp$G$39_$G$40_1")</f>
        <v/>
      </c>
      <c r="I265" s="30" t="s">
        <v>318</v>
      </c>
    </row>
    <row r="266" spans="2:10" ht="19.5">
      <c r="E266" s="115" t="s">
        <v>204</v>
      </c>
      <c r="F266" s="70">
        <f>COS(RADIANS(45))*F264</f>
        <v>7.505438455085323</v>
      </c>
      <c r="G266" s="61" t="s">
        <v>86</v>
      </c>
      <c r="H266" s="31" t="str">
        <f>[3]!EQS(F266,"Units= ; EqnPrefix=Valem  ; EqnNo= 0; Multiplication= 1; ShowWorking= 0; EqnStyle= 2; Eqp$H$264_2")</f>
        <v/>
      </c>
      <c r="I266" s="30" t="s">
        <v>561</v>
      </c>
    </row>
    <row r="267" spans="2:10" ht="19.5">
      <c r="E267" s="115" t="s">
        <v>205</v>
      </c>
      <c r="F267" s="68" t="s">
        <v>206</v>
      </c>
      <c r="I267" s="30"/>
    </row>
    <row r="271" spans="2:10">
      <c r="B271" s="71" t="s">
        <v>178</v>
      </c>
      <c r="C271" s="64"/>
    </row>
    <row r="272" spans="2:10">
      <c r="B272" s="35"/>
      <c r="E272" s="114" t="s">
        <v>522</v>
      </c>
      <c r="F272" s="33">
        <v>30</v>
      </c>
      <c r="G272" s="59" t="s">
        <v>51</v>
      </c>
      <c r="I272" s="109" t="s">
        <v>482</v>
      </c>
    </row>
    <row r="273" spans="2:9">
      <c r="B273" s="35"/>
      <c r="E273" s="114" t="s">
        <v>523</v>
      </c>
      <c r="F273" s="33">
        <v>21.8</v>
      </c>
      <c r="G273" s="110" t="s">
        <v>438</v>
      </c>
      <c r="I273" s="109" t="s">
        <v>484</v>
      </c>
    </row>
    <row r="274" spans="2:9">
      <c r="B274" s="35"/>
      <c r="E274" s="114" t="s">
        <v>524</v>
      </c>
      <c r="F274" s="33">
        <v>2</v>
      </c>
      <c r="G274" s="59"/>
      <c r="I274" s="109" t="s">
        <v>483</v>
      </c>
    </row>
    <row r="275" spans="2:9">
      <c r="B275" s="35"/>
      <c r="C275" s="35" t="s">
        <v>65</v>
      </c>
      <c r="F275" s="27"/>
      <c r="G275" s="59"/>
      <c r="I275" s="32"/>
    </row>
    <row r="276" spans="2:9" ht="19.5">
      <c r="B276" s="35"/>
      <c r="E276" s="114" t="s">
        <v>57</v>
      </c>
      <c r="F276" s="42">
        <f>$F$6*LN(F272/$F$7)*$F$3</f>
        <v>25.523749324312423</v>
      </c>
      <c r="G276" s="59" t="s">
        <v>43</v>
      </c>
      <c r="H276" s="31" t="str">
        <f>[3]!EQS(F276,"Units= ; EqnPrefix=Valem  ; EqnNo= 0; Multiplication= 1; ShowWorking= 0; EqnStyle= 2; Eqp$H$21_2")</f>
        <v/>
      </c>
      <c r="I276" s="40" t="s">
        <v>526</v>
      </c>
    </row>
    <row r="277" spans="2:9">
      <c r="B277" s="35"/>
      <c r="E277" s="28"/>
      <c r="F277" s="42"/>
      <c r="G277" s="59"/>
      <c r="H277" s="31" t="str">
        <f>[3]!EQS(F276,"Units= ; EqnPrefix=Valem  ; EqnNo= 0; Multiplication= 1; ShowWorking= 1; EqnStyle= 2; Eqp$H$21_$H$22_3")</f>
        <v/>
      </c>
      <c r="I277" s="40" t="s">
        <v>493</v>
      </c>
    </row>
    <row r="278" spans="2:9">
      <c r="B278" s="35"/>
      <c r="C278" s="41" t="s">
        <v>77</v>
      </c>
      <c r="D278" s="41"/>
      <c r="F278" s="42"/>
      <c r="G278" s="59"/>
      <c r="H278" s="31"/>
      <c r="I278" s="40"/>
    </row>
    <row r="279" spans="2:9" ht="19.5">
      <c r="B279" s="35"/>
      <c r="E279" s="114" t="s">
        <v>75</v>
      </c>
      <c r="F279" s="42">
        <f>1/2*$F$5*F276^2</f>
        <v>399.0203399868326</v>
      </c>
      <c r="G279" s="61" t="s">
        <v>76</v>
      </c>
      <c r="H279" s="31" t="str">
        <f>[3]!EQS(F279,"Units= ; EqnPrefix=Valem  ; EqnNo= 0; Multiplication= 1; ShowWorking= 0; EqnStyle= 2; Eqp$G$21_0")</f>
        <v/>
      </c>
      <c r="I279" s="40" t="s">
        <v>527</v>
      </c>
    </row>
    <row r="280" spans="2:9">
      <c r="B280" s="35"/>
      <c r="E280" s="37"/>
      <c r="F280" s="42"/>
      <c r="G280" s="61"/>
      <c r="H280" s="31" t="str">
        <f>[3]!EQS(F279,"Units= ; EqnPrefix=Valem  ; EqnNo= 0; Multiplication= 1; ShowWorking= 1; EqnStyle= 2; Eqp$G$21_$G$25_1")</f>
        <v/>
      </c>
      <c r="I280" s="40" t="s">
        <v>562</v>
      </c>
    </row>
    <row r="281" spans="2:9">
      <c r="B281" s="35"/>
      <c r="C281" s="35" t="s">
        <v>79</v>
      </c>
      <c r="E281" s="37"/>
      <c r="F281" s="42"/>
      <c r="G281" s="61"/>
      <c r="I281" s="40"/>
    </row>
    <row r="282" spans="2:9" ht="19.5">
      <c r="B282" s="35"/>
      <c r="E282" s="114" t="s">
        <v>80</v>
      </c>
      <c r="F282" s="42">
        <f>(1+2.28/LN(F272/$F$7))^2</f>
        <v>1.8398779018273839</v>
      </c>
      <c r="G282" s="61"/>
      <c r="H282" s="31" t="str">
        <f>[3]!EQS(F282,"Units= ; EqnPrefix=Valem  ; EqnNo= 0; Multiplication= 1; ShowWorking= 0; EqnStyle= 2; Eqp$G$24_0")</f>
        <v/>
      </c>
      <c r="I282" s="40" t="s">
        <v>529</v>
      </c>
    </row>
    <row r="283" spans="2:9">
      <c r="B283" s="35"/>
      <c r="E283" s="37"/>
      <c r="F283" s="42"/>
      <c r="G283" s="61"/>
      <c r="H283" s="31" t="str">
        <f>[3]!EQS(F282,"Units= ; EqnPrefix=Valem  ; EqnNo= 0; Multiplication= 1; ShowWorking= 1; EqnStyle= 2; Eqp$G$24_$G$28_1")</f>
        <v/>
      </c>
      <c r="I283" s="40" t="s">
        <v>563</v>
      </c>
    </row>
    <row r="284" spans="2:9">
      <c r="B284" s="35"/>
      <c r="C284" s="107" t="s">
        <v>486</v>
      </c>
      <c r="E284" s="37"/>
      <c r="F284" s="42"/>
      <c r="G284" s="61"/>
      <c r="H284" s="31"/>
      <c r="I284" s="40"/>
    </row>
    <row r="285" spans="2:9">
      <c r="B285" s="35"/>
      <c r="E285" s="114" t="s">
        <v>525</v>
      </c>
      <c r="F285" s="33">
        <v>360</v>
      </c>
      <c r="G285" s="110" t="s">
        <v>51</v>
      </c>
      <c r="H285" s="31"/>
      <c r="I285" s="40"/>
    </row>
    <row r="286" spans="2:9">
      <c r="B286" s="35"/>
      <c r="C286" s="107" t="s">
        <v>485</v>
      </c>
      <c r="E286" s="37"/>
      <c r="F286" s="42"/>
      <c r="G286" s="61"/>
      <c r="H286" s="31"/>
      <c r="I286" s="40"/>
    </row>
    <row r="287" spans="2:9" ht="19.5">
      <c r="B287" s="35"/>
      <c r="E287" s="114" t="s">
        <v>487</v>
      </c>
      <c r="F287" s="42">
        <f>1.3-0.082*LN(F285)</f>
        <v>0.81733946942108726</v>
      </c>
      <c r="G287" s="61"/>
      <c r="H287" s="31" t="str">
        <f>[3]!EQS(F287,"Units= ; EqnPrefix=Valem  ; EqnNo= 0; Multiplication= 1; ShowWorking= 0; EqnStyle= 2; Eqp$G$24_0")</f>
        <v/>
      </c>
      <c r="I287" s="40" t="s">
        <v>495</v>
      </c>
    </row>
    <row r="288" spans="2:9">
      <c r="B288" s="35"/>
      <c r="C288" s="107" t="s">
        <v>488</v>
      </c>
      <c r="E288" s="108"/>
      <c r="F288" s="42"/>
      <c r="G288" s="61"/>
      <c r="H288" s="31"/>
      <c r="I288" s="40"/>
    </row>
    <row r="289" spans="2:28" ht="19.5">
      <c r="B289" s="35"/>
      <c r="E289" s="114" t="s">
        <v>489</v>
      </c>
      <c r="F289" s="42">
        <v>1.1000000000000001</v>
      </c>
      <c r="G289" s="61"/>
      <c r="H289" s="31"/>
      <c r="I289" s="40"/>
    </row>
    <row r="290" spans="2:28">
      <c r="B290" s="35"/>
      <c r="C290" s="107" t="s">
        <v>490</v>
      </c>
      <c r="E290" s="37"/>
      <c r="F290" s="42"/>
      <c r="G290" s="61"/>
      <c r="H290" s="31"/>
      <c r="I290" s="40"/>
    </row>
    <row r="291" spans="2:28" ht="19.5">
      <c r="B291" s="35"/>
      <c r="C291" s="107"/>
      <c r="E291" s="114" t="s">
        <v>492</v>
      </c>
      <c r="F291" s="42">
        <f>F279*F282*F287*F289*F273/1000</f>
        <v>14.389168156300371</v>
      </c>
      <c r="G291" s="110" t="s">
        <v>86</v>
      </c>
      <c r="H291" s="31" t="str">
        <f>[3]!EQS(F291,"Units= ; EqnPrefix=Valem  ; EqnNo= 0; Multiplication= 1; ShowWorking= 0; EqnStyle= 2; Eqp$G$24_0")</f>
        <v/>
      </c>
      <c r="I291" s="40" t="s">
        <v>564</v>
      </c>
    </row>
    <row r="292" spans="2:28">
      <c r="B292" s="35"/>
      <c r="C292" s="107"/>
      <c r="E292" s="108"/>
      <c r="F292" s="42"/>
      <c r="G292" s="110"/>
      <c r="H292" s="31" t="str">
        <f>[3]!EQS(F291,"Units= ; EqnPrefix=Valem  ; EqnNo= 0; Multiplication= 1; ShowWorking= 1; EqnStyle= 2; Eqp$G$24_$H$294_1")</f>
        <v/>
      </c>
      <c r="I292" s="40" t="s">
        <v>494</v>
      </c>
    </row>
    <row r="293" spans="2:28">
      <c r="B293" s="35"/>
      <c r="C293" s="107" t="s">
        <v>491</v>
      </c>
      <c r="E293" s="37"/>
      <c r="F293" s="42"/>
      <c r="G293" s="61"/>
      <c r="H293" s="31"/>
      <c r="I293" s="40"/>
    </row>
    <row r="294" spans="2:28" ht="19.5">
      <c r="E294" s="114" t="s">
        <v>209</v>
      </c>
      <c r="F294" s="46">
        <f>F291*F274</f>
        <v>28.778336312600743</v>
      </c>
      <c r="G294" s="110" t="s">
        <v>86</v>
      </c>
      <c r="H294" s="31" t="str">
        <f>[3]!EQS(F294,"Units= ; EqnPrefix=Valem  ; EqnNo= 0; Multiplication= 1; ShowWorking= 0; EqnStyle= 2; Eqp$G$24_0")</f>
        <v/>
      </c>
      <c r="I294" s="30" t="s">
        <v>565</v>
      </c>
    </row>
    <row r="295" spans="2:28">
      <c r="E295" s="108"/>
      <c r="F295" s="70"/>
      <c r="G295" s="110"/>
      <c r="H295" s="31"/>
      <c r="I295" s="30"/>
    </row>
    <row r="296" spans="2:28">
      <c r="C296" s="64" t="s">
        <v>210</v>
      </c>
    </row>
    <row r="297" spans="2:28" ht="19.5">
      <c r="E297" s="114" t="s">
        <v>211</v>
      </c>
      <c r="F297" s="128">
        <f>COS(RADIANS(4))^2</f>
        <v>0.99513403437078507</v>
      </c>
      <c r="H297" s="31" t="str">
        <f>[3]!EQS(F297,"Units= ; EqnPrefix=Valem  ; EqnNo= 0; Multiplication= 1; ShowWorking= 0; EqnStyle= 2; Eqp$H$274_2")</f>
        <v/>
      </c>
      <c r="I297" s="30" t="s">
        <v>548</v>
      </c>
    </row>
    <row r="298" spans="2:28">
      <c r="C298" s="64" t="s">
        <v>219</v>
      </c>
    </row>
    <row r="299" spans="2:28" ht="19.5">
      <c r="E299" s="114" t="s">
        <v>213</v>
      </c>
      <c r="F299" s="46">
        <f>F294*F297</f>
        <v>28.638301917237641</v>
      </c>
      <c r="G299" s="67" t="s">
        <v>86</v>
      </c>
      <c r="H299" s="31" t="str">
        <f>[3]!EQS(F299,"Units= ; EqnPrefix=Valem  ; EqnNo= 0; Multiplication= 1; ShowWorking= 0; EqnStyle= 2; Eqp$H$276_2")</f>
        <v/>
      </c>
      <c r="I299" s="30" t="s">
        <v>566</v>
      </c>
    </row>
    <row r="300" spans="2:28">
      <c r="D300" s="64" t="s">
        <v>225</v>
      </c>
      <c r="F300" s="70"/>
      <c r="G300" s="67"/>
      <c r="H300" s="31"/>
      <c r="I300" s="30"/>
      <c r="AB300" s="26"/>
    </row>
    <row r="301" spans="2:28" ht="19.5">
      <c r="E301" s="114" t="s">
        <v>221</v>
      </c>
      <c r="F301" s="70">
        <f>COS(RADIANS(4))*F299</f>
        <v>28.568540453123269</v>
      </c>
      <c r="G301" s="67" t="s">
        <v>86</v>
      </c>
      <c r="H301" s="31" t="str">
        <f>[3]!EQS(F301,"Units= ; EqnPrefix=Valem  ; EqnNo= 0; Multiplication= 1; ShowWorking= 0; EqnStyle= 2; Eqp$H$277_2")</f>
        <v/>
      </c>
      <c r="I301" s="30" t="s">
        <v>567</v>
      </c>
    </row>
    <row r="302" spans="2:28" ht="19.5">
      <c r="E302" s="114" t="s">
        <v>222</v>
      </c>
      <c r="F302" s="70">
        <f>SIN(RADIANS(4))*F299</f>
        <v>1.9977069557661209</v>
      </c>
      <c r="G302" s="67" t="s">
        <v>86</v>
      </c>
      <c r="H302" s="31" t="str">
        <f>[3]!EQS(F302,"Units= ; EqnPrefix=Valem  ; EqnNo= 0; Multiplication= 1; ShowWorking= 0; EqnStyle=2; Eqp$H$278_2")</f>
        <v/>
      </c>
      <c r="I302" s="30" t="s">
        <v>568</v>
      </c>
      <c r="Z302" s="31"/>
    </row>
    <row r="303" spans="2:28">
      <c r="C303" s="64" t="s">
        <v>214</v>
      </c>
      <c r="Z303" s="31"/>
    </row>
    <row r="304" spans="2:28" ht="19.5">
      <c r="E304" s="114" t="s">
        <v>211</v>
      </c>
      <c r="F304" s="128">
        <f>COS(RADIANS(4))^2</f>
        <v>0.99513403437078507</v>
      </c>
      <c r="H304" s="31" t="str">
        <f>[3]!EQS(F304,"Units= ; EqnPrefix=Valem  ; EqnNo= 0; Multiplication= 1; ShowWorking= 0; EqnStyle= 2; Eqp$H$278_2")</f>
        <v/>
      </c>
      <c r="I304" s="30" t="s">
        <v>548</v>
      </c>
      <c r="Z304" s="31"/>
    </row>
    <row r="305" spans="2:26">
      <c r="C305" s="64" t="s">
        <v>220</v>
      </c>
      <c r="Z305" s="31"/>
    </row>
    <row r="306" spans="2:26" ht="19.5">
      <c r="E306" s="114" t="s">
        <v>216</v>
      </c>
      <c r="F306" s="46">
        <f>F294*F304</f>
        <v>28.638301917237641</v>
      </c>
      <c r="G306" s="67" t="s">
        <v>86</v>
      </c>
      <c r="H306" s="31" t="str">
        <f>[3]!EQS(F306,"Units= ; EqnPrefix=Valem  ; EqnNo= 0; Multiplication= 1; ShowWorking= 0; EqnStyle= 2; Eqp$H$276_2")</f>
        <v/>
      </c>
      <c r="I306" s="30" t="s">
        <v>566</v>
      </c>
      <c r="Z306" s="31"/>
    </row>
    <row r="307" spans="2:26">
      <c r="D307" s="64" t="s">
        <v>225</v>
      </c>
      <c r="E307" s="66"/>
      <c r="F307" s="70"/>
      <c r="G307" s="67"/>
      <c r="H307" s="31"/>
      <c r="I307" s="30"/>
      <c r="Z307" s="31"/>
    </row>
    <row r="308" spans="2:26" ht="19.5">
      <c r="E308" s="114" t="s">
        <v>221</v>
      </c>
      <c r="F308" s="70">
        <f>COS(RADIANS(4))*F306</f>
        <v>28.568540453123269</v>
      </c>
      <c r="G308" s="67" t="s">
        <v>86</v>
      </c>
      <c r="H308" s="31" t="str">
        <f>[3]!EQS(F308,"Units= ; EqnPrefix=Valem  ; EqnNo= 0; Multiplication= 1; ShowWorking= 0; EqnStyle= 2; Eqp$H$277_2")</f>
        <v/>
      </c>
      <c r="I308" s="30" t="s">
        <v>569</v>
      </c>
      <c r="Z308" s="31"/>
    </row>
    <row r="309" spans="2:26" ht="19.5">
      <c r="E309" s="114" t="s">
        <v>222</v>
      </c>
      <c r="F309" s="70">
        <f>SIN(RADIANS(4))*F306</f>
        <v>1.9977069557661209</v>
      </c>
      <c r="G309" s="67" t="s">
        <v>86</v>
      </c>
      <c r="H309" s="31" t="str">
        <f>[3]!EQS(F309,"Units= ; EqnPrefix=Valem  ; EqnNo= 0; Multiplication= 1; ShowWorking= 0; EqnStyle=2; Eqp$H$278_2")</f>
        <v/>
      </c>
      <c r="I309" s="30" t="s">
        <v>570</v>
      </c>
      <c r="Z309" s="31"/>
    </row>
    <row r="311" spans="2:26">
      <c r="B311" s="71" t="s">
        <v>226</v>
      </c>
      <c r="D311" s="94"/>
      <c r="E311" s="96"/>
      <c r="F311" s="70"/>
      <c r="G311" s="67"/>
      <c r="H311" s="31"/>
      <c r="I311" s="30"/>
    </row>
    <row r="313" spans="2:26" ht="19.5">
      <c r="E313" s="116" t="s">
        <v>75</v>
      </c>
      <c r="F313" s="111">
        <f>F279</f>
        <v>399.0203399868326</v>
      </c>
      <c r="G313" s="110" t="s">
        <v>76</v>
      </c>
      <c r="H313" s="31"/>
      <c r="I313" s="109" t="s">
        <v>504</v>
      </c>
    </row>
    <row r="314" spans="2:26" ht="19.5">
      <c r="E314" s="116" t="s">
        <v>80</v>
      </c>
      <c r="F314" s="111">
        <f>F282</f>
        <v>1.8398779018273839</v>
      </c>
      <c r="G314" s="110"/>
      <c r="H314" s="31">
        <v>1.8</v>
      </c>
      <c r="I314" s="109" t="s">
        <v>505</v>
      </c>
    </row>
    <row r="315" spans="2:26" ht="19.5">
      <c r="E315" s="116" t="s">
        <v>498</v>
      </c>
      <c r="F315" s="111">
        <f>F9</f>
        <v>1.1499999999999999</v>
      </c>
      <c r="G315" s="67"/>
      <c r="H315" s="31">
        <v>1.05</v>
      </c>
      <c r="I315" s="109" t="s">
        <v>506</v>
      </c>
    </row>
    <row r="316" spans="2:26" ht="19.5">
      <c r="E316" s="116" t="s">
        <v>499</v>
      </c>
      <c r="F316" s="111">
        <v>1.2</v>
      </c>
      <c r="G316" s="67"/>
      <c r="H316" s="31"/>
      <c r="I316" s="109" t="s">
        <v>507</v>
      </c>
    </row>
    <row r="317" spans="2:26" ht="19.5">
      <c r="E317" s="116" t="s">
        <v>500</v>
      </c>
      <c r="F317" s="112">
        <v>8.8999999999999999E-3</v>
      </c>
      <c r="G317" s="67" t="s">
        <v>81</v>
      </c>
      <c r="H317" s="31"/>
      <c r="I317" s="109" t="s">
        <v>510</v>
      </c>
    </row>
    <row r="318" spans="2:26">
      <c r="E318" s="116" t="s">
        <v>524</v>
      </c>
      <c r="F318" s="111">
        <v>9</v>
      </c>
      <c r="G318" s="110" t="s">
        <v>508</v>
      </c>
      <c r="H318" s="31"/>
      <c r="I318" s="109" t="s">
        <v>509</v>
      </c>
    </row>
    <row r="319" spans="2:26" ht="19.5">
      <c r="E319" s="116" t="s">
        <v>229</v>
      </c>
      <c r="F319" s="104">
        <f>F313*F314*F315*F316*F317*F318</f>
        <v>81.151329655142234</v>
      </c>
      <c r="G319" s="110" t="s">
        <v>154</v>
      </c>
      <c r="H319" s="31" t="str">
        <f>[3]!EQS(F319,"Units= ; EqnPrefix=Valem  ; EqnNo= 0; Multiplication= 1; ShowWorking= 0; EqnStyle=2; Eqp$H$278_2")</f>
        <v/>
      </c>
      <c r="I319" s="30" t="s">
        <v>571</v>
      </c>
    </row>
    <row r="320" spans="2:26">
      <c r="E320" s="99"/>
      <c r="F320" s="46"/>
      <c r="G320" s="67"/>
      <c r="H320" s="31"/>
      <c r="I320" s="30"/>
    </row>
    <row r="321" spans="2:9">
      <c r="D321" s="64" t="s">
        <v>225</v>
      </c>
      <c r="E321" s="66"/>
      <c r="F321" s="70"/>
      <c r="G321" s="67"/>
      <c r="H321" s="31"/>
      <c r="I321" s="30"/>
    </row>
    <row r="322" spans="2:9" ht="19.5">
      <c r="E322" s="114" t="s">
        <v>221</v>
      </c>
      <c r="F322" s="70">
        <f>COS(RADIANS(0))*F319</f>
        <v>81.151329655142234</v>
      </c>
      <c r="G322" s="67" t="s">
        <v>154</v>
      </c>
      <c r="H322" s="31" t="str">
        <f>[3]!EQS(F322,"Units= ; EqnPrefix=Valem  ; EqnNo= 0; Multiplication= 1; ShowWorking= 0; EqnStyle= 2; Eqp$H$277_2")</f>
        <v/>
      </c>
      <c r="I322" s="30" t="s">
        <v>667</v>
      </c>
    </row>
    <row r="323" spans="2:9" ht="19.5">
      <c r="E323" s="114" t="s">
        <v>222</v>
      </c>
      <c r="F323" s="70">
        <f>SIN(RADIANS(0))*F319</f>
        <v>0</v>
      </c>
      <c r="G323" s="67" t="s">
        <v>154</v>
      </c>
      <c r="H323" s="31" t="str">
        <f>[3]!EQS(F323,"Units= ; EqnPrefix=Valem  ; EqnNo= 0; Multiplication= 1; ShowWorking= 0; EqnStyle=2; Eqp$H$278_2")</f>
        <v/>
      </c>
      <c r="I323" s="30" t="s">
        <v>668</v>
      </c>
    </row>
    <row r="324" spans="2:9">
      <c r="E324" s="66"/>
      <c r="F324" s="70"/>
      <c r="G324" s="67"/>
      <c r="H324" s="31"/>
      <c r="I324" s="30"/>
    </row>
    <row r="325" spans="2:9">
      <c r="E325" s="66"/>
      <c r="F325" s="70"/>
      <c r="G325" s="67"/>
      <c r="H325" s="31"/>
      <c r="I325" s="30"/>
    </row>
    <row r="326" spans="2:9">
      <c r="B326" s="71" t="s">
        <v>179</v>
      </c>
    </row>
    <row r="327" spans="2:9">
      <c r="B327" s="35"/>
      <c r="E327" s="114" t="s">
        <v>522</v>
      </c>
      <c r="F327" s="33">
        <v>36</v>
      </c>
      <c r="G327" s="59" t="s">
        <v>51</v>
      </c>
      <c r="I327" s="109" t="s">
        <v>482</v>
      </c>
    </row>
    <row r="328" spans="2:9">
      <c r="B328" s="35"/>
      <c r="E328" s="114" t="s">
        <v>523</v>
      </c>
      <c r="F328" s="33">
        <v>27.7</v>
      </c>
      <c r="G328" s="110" t="s">
        <v>438</v>
      </c>
      <c r="I328" s="109" t="s">
        <v>496</v>
      </c>
    </row>
    <row r="329" spans="2:9">
      <c r="B329" s="35"/>
      <c r="E329" s="114" t="s">
        <v>524</v>
      </c>
      <c r="F329" s="33">
        <v>3</v>
      </c>
      <c r="G329" s="59"/>
      <c r="I329" s="109" t="s">
        <v>483</v>
      </c>
    </row>
    <row r="330" spans="2:9">
      <c r="B330" s="35"/>
      <c r="C330" s="35" t="s">
        <v>65</v>
      </c>
      <c r="F330" s="27"/>
      <c r="G330" s="59"/>
      <c r="I330" s="32"/>
    </row>
    <row r="331" spans="2:9" ht="19.5">
      <c r="B331" s="35"/>
      <c r="E331" s="114" t="s">
        <v>57</v>
      </c>
      <c r="F331" s="42">
        <f>$F$6*LN(F327/$F$7)*$F$3</f>
        <v>26.251212335920307</v>
      </c>
      <c r="G331" s="59" t="s">
        <v>43</v>
      </c>
      <c r="H331" s="31" t="str">
        <f>[3]!EQS(F331,"Units= ; EqnPrefix=Valem  ; EqnNo= 0; Multiplication= 1; ShowWorking= 0; EqnStyle= 2; Eqp$H$21_2")</f>
        <v/>
      </c>
      <c r="I331" s="40" t="s">
        <v>526</v>
      </c>
    </row>
    <row r="332" spans="2:9">
      <c r="B332" s="35"/>
      <c r="E332" s="28"/>
      <c r="F332" s="42"/>
      <c r="G332" s="59"/>
      <c r="H332" s="31" t="str">
        <f>[3]!EQS(F331,"Units= ; EqnPrefix=Valem  ; EqnNo= 0; Multiplication= 1; ShowWorking= 1; EqnStyle= 2; Eqp$H$21_$H$22_3")</f>
        <v/>
      </c>
      <c r="I332" s="40" t="s">
        <v>64</v>
      </c>
    </row>
    <row r="333" spans="2:9">
      <c r="B333" s="35"/>
      <c r="C333" s="41" t="s">
        <v>77</v>
      </c>
      <c r="D333" s="41"/>
      <c r="F333" s="42"/>
      <c r="G333" s="59"/>
      <c r="H333" s="31"/>
      <c r="I333" s="40"/>
    </row>
    <row r="334" spans="2:9" ht="19.5">
      <c r="B334" s="35"/>
      <c r="E334" s="114" t="s">
        <v>75</v>
      </c>
      <c r="F334" s="42">
        <f>1/2*$F$5*F331^2</f>
        <v>422.08976632716445</v>
      </c>
      <c r="G334" s="61" t="s">
        <v>76</v>
      </c>
      <c r="H334" s="31" t="str">
        <f>[3]!EQS(F334,"Units= ; EqnPrefix=Valem  ; EqnNo= 0; Multiplication= 1; ShowWorking= 0; EqnStyle= 2; Eqp$G$21_0")</f>
        <v/>
      </c>
      <c r="I334" s="40" t="s">
        <v>527</v>
      </c>
    </row>
    <row r="335" spans="2:9">
      <c r="B335" s="35"/>
      <c r="E335" s="37"/>
      <c r="F335" s="42"/>
      <c r="G335" s="61"/>
      <c r="H335" s="31" t="str">
        <f>[3]!EQS(F334,"Units= ; EqnPrefix=Valem  ; EqnNo= 0; Multiplication= 1; ShowWorking= 1; EqnStyle= 2; Eqp$G$21_$G$25_1")</f>
        <v/>
      </c>
      <c r="I335" s="40" t="s">
        <v>528</v>
      </c>
    </row>
    <row r="336" spans="2:9">
      <c r="B336" s="35"/>
      <c r="C336" s="35" t="s">
        <v>79</v>
      </c>
      <c r="E336" s="37"/>
      <c r="F336" s="42"/>
      <c r="G336" s="61"/>
      <c r="I336" s="40"/>
    </row>
    <row r="337" spans="2:9" ht="19.5">
      <c r="B337" s="35"/>
      <c r="E337" s="114" t="s">
        <v>80</v>
      </c>
      <c r="F337" s="42">
        <f>(1+2.28/LN(F327/$F$7))^2</f>
        <v>1.8131807308313552</v>
      </c>
      <c r="G337" s="61"/>
      <c r="H337" s="31" t="str">
        <f>[3]!EQS(F337,"Units= ; EqnPrefix=Valem  ; EqnNo= 0; Multiplication= 1; ShowWorking= 0; EqnStyle= 2; Eqp$G$24_0")</f>
        <v/>
      </c>
      <c r="I337" s="40" t="s">
        <v>529</v>
      </c>
    </row>
    <row r="338" spans="2:9">
      <c r="B338" s="35"/>
      <c r="E338" s="37"/>
      <c r="F338" s="42"/>
      <c r="G338" s="61"/>
      <c r="H338" s="31" t="str">
        <f>[3]!EQS(F337,"Units= ; EqnPrefix=Valem  ; EqnNo= 0; Multiplication= 1; ShowWorking= 1; EqnStyle= 2; Eqp$G$24_$G$28_1")</f>
        <v/>
      </c>
      <c r="I338" s="40" t="s">
        <v>530</v>
      </c>
    </row>
    <row r="339" spans="2:9">
      <c r="B339" s="35"/>
      <c r="C339" s="107" t="s">
        <v>486</v>
      </c>
      <c r="E339" s="37"/>
      <c r="F339" s="42"/>
      <c r="G339" s="61"/>
      <c r="H339" s="31"/>
      <c r="I339" s="40"/>
    </row>
    <row r="340" spans="2:9">
      <c r="B340" s="35"/>
      <c r="E340" s="114" t="s">
        <v>525</v>
      </c>
      <c r="F340" s="33">
        <v>360</v>
      </c>
      <c r="G340" s="110" t="s">
        <v>51</v>
      </c>
      <c r="H340" s="31"/>
      <c r="I340" s="40"/>
    </row>
    <row r="341" spans="2:9">
      <c r="B341" s="35"/>
      <c r="C341" s="107" t="s">
        <v>485</v>
      </c>
      <c r="E341" s="37"/>
      <c r="F341" s="42"/>
      <c r="G341" s="61"/>
      <c r="H341" s="31"/>
      <c r="I341" s="40"/>
    </row>
    <row r="342" spans="2:9" ht="19.5">
      <c r="B342" s="35"/>
      <c r="E342" s="114" t="s">
        <v>487</v>
      </c>
      <c r="F342" s="42">
        <f>1.3-0.082*LN(F340)</f>
        <v>0.81733946942108726</v>
      </c>
      <c r="G342" s="61"/>
      <c r="H342" s="31" t="str">
        <f>[3]!EQS(F342,"Units= ; EqnPrefix=Valem  ; EqnNo= 0; Multiplication= 1; ShowWorking= 0; EqnStyle= 2; Eqp$G$24_0")</f>
        <v/>
      </c>
      <c r="I342" s="40" t="s">
        <v>495</v>
      </c>
    </row>
    <row r="343" spans="2:9">
      <c r="B343" s="35"/>
      <c r="C343" s="107" t="s">
        <v>488</v>
      </c>
      <c r="E343" s="108"/>
      <c r="F343" s="42"/>
      <c r="G343" s="61"/>
      <c r="H343" s="31"/>
      <c r="I343" s="40"/>
    </row>
    <row r="344" spans="2:9" ht="19.5">
      <c r="B344" s="35"/>
      <c r="E344" s="114" t="s">
        <v>489</v>
      </c>
      <c r="F344" s="42">
        <v>1.1000000000000001</v>
      </c>
      <c r="G344" s="61"/>
      <c r="H344" s="31"/>
      <c r="I344" s="40"/>
    </row>
    <row r="345" spans="2:9">
      <c r="B345" s="35"/>
      <c r="C345" s="107" t="s">
        <v>490</v>
      </c>
      <c r="E345" s="37"/>
      <c r="F345" s="42"/>
      <c r="G345" s="61"/>
      <c r="H345" s="31"/>
      <c r="I345" s="40"/>
    </row>
    <row r="346" spans="2:9" ht="19.5">
      <c r="B346" s="35"/>
      <c r="C346" s="107"/>
      <c r="E346" s="114" t="s">
        <v>492</v>
      </c>
      <c r="F346" s="42">
        <f>F334*F337*F342*F344*F328/1000</f>
        <v>19.059909909548939</v>
      </c>
      <c r="G346" s="110" t="s">
        <v>86</v>
      </c>
      <c r="H346" s="31" t="str">
        <f>[3]!EQS(F346,"Units= ; EqnPrefix=Valem  ; EqnNo= 0; Multiplication= 1; ShowWorking= 0; EqnStyle= 2; Eqp$G$24_0")</f>
        <v/>
      </c>
      <c r="I346" s="40" t="s">
        <v>564</v>
      </c>
    </row>
    <row r="347" spans="2:9">
      <c r="B347" s="35"/>
      <c r="C347" s="107"/>
      <c r="E347" s="108"/>
      <c r="F347" s="42"/>
      <c r="G347" s="110"/>
      <c r="H347" s="31" t="str">
        <f>[3]!EQS(F346,"Units= ; EqnPrefix=Valem  ; EqnNo= 0; Multiplication= 1; ShowWorking= 1; EqnStyle= 2; Eqp$G$24_$H$294_1")</f>
        <v/>
      </c>
      <c r="I347" s="40" t="s">
        <v>497</v>
      </c>
    </row>
    <row r="348" spans="2:9">
      <c r="B348" s="35"/>
      <c r="C348" s="107" t="s">
        <v>491</v>
      </c>
      <c r="E348" s="37"/>
      <c r="F348" s="42"/>
      <c r="G348" s="61"/>
      <c r="H348" s="31"/>
      <c r="I348" s="40"/>
    </row>
    <row r="349" spans="2:9" ht="19.5">
      <c r="E349" s="114" t="s">
        <v>209</v>
      </c>
      <c r="F349" s="46">
        <f>F346*F329</f>
        <v>57.179729728646819</v>
      </c>
      <c r="G349" s="110" t="s">
        <v>86</v>
      </c>
      <c r="H349" s="31" t="str">
        <f>[3]!EQS(F349,"Units= ; EqnPrefix=Valem  ; EqnNo= 0; Multiplication= 1; ShowWorking= 0; EqnStyle= 2; Eqp$G$24_0")</f>
        <v/>
      </c>
      <c r="I349" s="30" t="s">
        <v>565</v>
      </c>
    </row>
    <row r="350" spans="2:9">
      <c r="E350" s="108"/>
      <c r="F350" s="70"/>
      <c r="G350" s="110"/>
      <c r="H350" s="31"/>
      <c r="I350" s="30"/>
    </row>
    <row r="351" spans="2:9">
      <c r="C351" s="64" t="s">
        <v>210</v>
      </c>
    </row>
    <row r="352" spans="2:9" ht="19.5">
      <c r="E352" s="114" t="s">
        <v>211</v>
      </c>
      <c r="F352" s="128">
        <f>COS(RADIANS(4))^2</f>
        <v>0.99513403437078507</v>
      </c>
      <c r="H352" s="31" t="str">
        <f>[3]!EQS(F352,"Units= ; EqnPrefix=Valem  ; EqnNo= 0; Multiplication= 1; ShowWorking= 0; EqnStyle= 2; Eqp$H$274_2")</f>
        <v/>
      </c>
      <c r="I352" s="30" t="s">
        <v>548</v>
      </c>
    </row>
    <row r="353" spans="2:9">
      <c r="C353" s="64" t="s">
        <v>212</v>
      </c>
      <c r="F353" s="58"/>
    </row>
    <row r="354" spans="2:9" ht="19.5">
      <c r="E354" s="114" t="s">
        <v>223</v>
      </c>
      <c r="F354" s="46">
        <f>F349*F352</f>
        <v>56.901495129099423</v>
      </c>
      <c r="G354" s="67" t="s">
        <v>86</v>
      </c>
      <c r="H354" s="31" t="str">
        <f>[3]!EQS(F354,"Units= ; EqnPrefix=Valem  ; EqnNo= 0; Multiplication= 1; ShowWorking= 0; EqnStyle= 2; Eqp$H$276_2")</f>
        <v/>
      </c>
      <c r="I354" s="30" t="s">
        <v>566</v>
      </c>
    </row>
    <row r="355" spans="2:9">
      <c r="D355" s="64" t="s">
        <v>225</v>
      </c>
      <c r="E355" s="66"/>
      <c r="F355" s="70"/>
      <c r="G355" s="67"/>
      <c r="H355" s="31"/>
      <c r="I355" s="30"/>
    </row>
    <row r="356" spans="2:9" ht="19.5">
      <c r="E356" s="114" t="s">
        <v>221</v>
      </c>
      <c r="F356" s="70">
        <f>COS(RADIANS(4))*F354</f>
        <v>56.762885946824078</v>
      </c>
      <c r="G356" s="67" t="s">
        <v>86</v>
      </c>
      <c r="H356" s="31" t="str">
        <f>[3]!EQS(F356,"Units= ; EqnPrefix=Valem  ; EqnNo= 0; Multiplication= 1; ShowWorking= 0; EqnStyle= 2; Eqp$H$277_2")</f>
        <v/>
      </c>
      <c r="I356" s="30" t="s">
        <v>574</v>
      </c>
    </row>
    <row r="357" spans="2:9" ht="19.5">
      <c r="E357" s="114" t="s">
        <v>222</v>
      </c>
      <c r="F357" s="70">
        <f>SIN(RADIANS(4))*F354</f>
        <v>3.9692476509744976</v>
      </c>
      <c r="G357" s="67" t="s">
        <v>86</v>
      </c>
      <c r="H357" s="31" t="str">
        <f>[3]!EQS(F357,"Units= ; EqnPrefix=Valem  ; EqnNo= 0; Multiplication= 1; ShowWorking= 0; EqnStyle=2; Eqp$H$278_2")</f>
        <v/>
      </c>
      <c r="I357" s="30" t="s">
        <v>575</v>
      </c>
    </row>
    <row r="358" spans="2:9">
      <c r="C358" s="64" t="s">
        <v>214</v>
      </c>
    </row>
    <row r="359" spans="2:9" ht="19.5">
      <c r="E359" s="114" t="s">
        <v>211</v>
      </c>
      <c r="F359" s="128">
        <f>COS(RADIANS(4))^2</f>
        <v>0.99513403437078507</v>
      </c>
      <c r="H359" s="31" t="str">
        <f>[3]!EQS(F359,"Units= ; EqnPrefix=Valem  ; EqnNo= 0; Multiplication= 1; ShowWorking= 0; EqnStyle= 2; Eqp$H$278_2")</f>
        <v/>
      </c>
      <c r="I359" s="30" t="s">
        <v>548</v>
      </c>
    </row>
    <row r="360" spans="2:9">
      <c r="C360" s="64" t="s">
        <v>215</v>
      </c>
    </row>
    <row r="361" spans="2:9" ht="19.5">
      <c r="E361" s="114" t="s">
        <v>224</v>
      </c>
      <c r="F361" s="46">
        <f>F349*F359</f>
        <v>56.901495129099423</v>
      </c>
      <c r="G361" s="67" t="s">
        <v>86</v>
      </c>
      <c r="H361" s="31" t="str">
        <f>[3]!EQS(F361,"Units= ; EqnPrefix=Valem  ; EqnNo= 0; Multiplication= 1; ShowWorking= 0; EqnStyle= 2; Eqp$H$276_2")</f>
        <v/>
      </c>
      <c r="I361" s="30" t="s">
        <v>566</v>
      </c>
    </row>
    <row r="362" spans="2:9">
      <c r="D362" s="64" t="s">
        <v>225</v>
      </c>
      <c r="E362" s="66"/>
      <c r="F362" s="70"/>
      <c r="G362" s="67"/>
      <c r="H362" s="31"/>
      <c r="I362" s="30"/>
    </row>
    <row r="363" spans="2:9" ht="19.5">
      <c r="E363" s="114" t="s">
        <v>221</v>
      </c>
      <c r="F363" s="70">
        <f>COS(RADIANS(4))*F361</f>
        <v>56.762885946824078</v>
      </c>
      <c r="G363" s="67" t="s">
        <v>86</v>
      </c>
      <c r="H363" s="31" t="str">
        <f>[3]!EQS(F363,"Units= ; EqnPrefix=Valem  ; EqnNo= 0; Multiplication= 1; ShowWorking= 0; EqnStyle= 2; Eqp$H$277_2")</f>
        <v/>
      </c>
      <c r="I363" s="30" t="s">
        <v>576</v>
      </c>
    </row>
    <row r="364" spans="2:9" ht="19.5">
      <c r="E364" s="114" t="s">
        <v>222</v>
      </c>
      <c r="F364" s="70">
        <f>SIN(RADIANS(4))*F361</f>
        <v>3.9692476509744976</v>
      </c>
      <c r="G364" s="67" t="s">
        <v>86</v>
      </c>
      <c r="H364" s="31" t="str">
        <f>[3]!EQS(F364,"Units= ; EqnPrefix=Valem  ; EqnNo= 0; Multiplication= 1; ShowWorking= 0; EqnStyle=2; Eqp$H$278_2")</f>
        <v/>
      </c>
      <c r="I364" s="30" t="s">
        <v>577</v>
      </c>
    </row>
    <row r="365" spans="2:9">
      <c r="E365" s="66"/>
      <c r="F365" s="70"/>
      <c r="G365" s="67"/>
      <c r="H365" s="31"/>
      <c r="I365" s="30"/>
    </row>
    <row r="366" spans="2:9">
      <c r="B366" s="71" t="s">
        <v>228</v>
      </c>
      <c r="E366" s="66"/>
      <c r="F366" s="70"/>
      <c r="G366" s="67"/>
      <c r="H366" s="31"/>
      <c r="I366" s="30"/>
    </row>
    <row r="367" spans="2:9">
      <c r="D367" s="64"/>
      <c r="E367" s="66"/>
      <c r="F367" s="70"/>
      <c r="G367" s="67"/>
      <c r="H367" s="31"/>
      <c r="I367" s="30"/>
    </row>
    <row r="368" spans="2:9">
      <c r="E368" s="99"/>
      <c r="F368" s="46"/>
      <c r="G368" s="67"/>
      <c r="H368" s="31"/>
      <c r="I368" s="30"/>
    </row>
    <row r="369" spans="2:9" ht="19.5">
      <c r="E369" s="116" t="s">
        <v>75</v>
      </c>
      <c r="F369" s="111">
        <f>F334</f>
        <v>422.08976632716445</v>
      </c>
      <c r="G369" s="110" t="s">
        <v>76</v>
      </c>
      <c r="H369" s="31"/>
      <c r="I369" s="109" t="s">
        <v>504</v>
      </c>
    </row>
    <row r="370" spans="2:9" ht="19.5">
      <c r="E370" s="116" t="s">
        <v>80</v>
      </c>
      <c r="F370" s="111">
        <f>F337</f>
        <v>1.8131807308313552</v>
      </c>
      <c r="G370" s="110"/>
      <c r="H370" s="31">
        <v>1.8</v>
      </c>
      <c r="I370" s="109" t="s">
        <v>505</v>
      </c>
    </row>
    <row r="371" spans="2:9" ht="19.5">
      <c r="E371" s="116" t="s">
        <v>498</v>
      </c>
      <c r="F371" s="111">
        <f>F9</f>
        <v>1.1499999999999999</v>
      </c>
      <c r="G371" s="67"/>
      <c r="H371" s="31">
        <v>1.05</v>
      </c>
      <c r="I371" s="109" t="s">
        <v>506</v>
      </c>
    </row>
    <row r="372" spans="2:9" ht="19.5">
      <c r="E372" s="116" t="s">
        <v>499</v>
      </c>
      <c r="F372" s="111">
        <v>1.2</v>
      </c>
      <c r="G372" s="67"/>
      <c r="H372" s="31"/>
      <c r="I372" s="109" t="s">
        <v>507</v>
      </c>
    </row>
    <row r="373" spans="2:9" ht="19.5">
      <c r="E373" s="116" t="s">
        <v>501</v>
      </c>
      <c r="F373" s="113">
        <v>2.1000000000000001E-2</v>
      </c>
      <c r="G373" s="67" t="s">
        <v>81</v>
      </c>
      <c r="H373" s="31"/>
      <c r="I373" s="109" t="s">
        <v>510</v>
      </c>
    </row>
    <row r="374" spans="2:9">
      <c r="E374" s="116" t="s">
        <v>524</v>
      </c>
      <c r="F374" s="111">
        <v>19</v>
      </c>
      <c r="G374" s="110" t="s">
        <v>508</v>
      </c>
      <c r="H374" s="31"/>
      <c r="I374" s="109" t="s">
        <v>509</v>
      </c>
    </row>
    <row r="375" spans="2:9" ht="19.5">
      <c r="E375" s="116" t="s">
        <v>229</v>
      </c>
      <c r="F375" s="104">
        <f>F369*F370*F371*F372*F373*F374</f>
        <v>421.40326856124921</v>
      </c>
      <c r="G375" s="110" t="s">
        <v>154</v>
      </c>
      <c r="H375" s="31" t="str">
        <f>[3]!EQS(F375,"Units= ; EqnPrefix=Valem  ; EqnNo= 0; Multiplication= 1; ShowWorking= 0; EqnStyle=2; Eqp$H$278_2")</f>
        <v/>
      </c>
      <c r="I375" s="30" t="s">
        <v>578</v>
      </c>
    </row>
    <row r="376" spans="2:9">
      <c r="E376" s="99"/>
      <c r="F376" s="46"/>
      <c r="G376" s="67"/>
      <c r="H376" s="31"/>
      <c r="I376" s="30"/>
    </row>
    <row r="377" spans="2:9">
      <c r="E377" s="99"/>
      <c r="F377" s="46"/>
      <c r="G377" s="67"/>
      <c r="H377" s="31"/>
      <c r="I377" s="30"/>
    </row>
    <row r="378" spans="2:9">
      <c r="D378" s="64" t="s">
        <v>225</v>
      </c>
      <c r="E378" s="66"/>
      <c r="F378" s="70"/>
      <c r="G378" s="67"/>
      <c r="H378" s="31"/>
      <c r="I378" s="30"/>
    </row>
    <row r="379" spans="2:9" ht="19.5">
      <c r="E379" s="114" t="s">
        <v>221</v>
      </c>
      <c r="F379" s="70">
        <f>COS(RADIANS(0))*F375</f>
        <v>421.40326856124921</v>
      </c>
      <c r="G379" s="67" t="s">
        <v>154</v>
      </c>
      <c r="H379" s="31" t="str">
        <f>[3]!EQS(F379,"Units= ; EqnPrefix=Valem  ; EqnNo= 0; Multiplication= 1; ShowWorking= 0; EqnStyle= 2; Eqp$H$277_2")</f>
        <v/>
      </c>
      <c r="I379" s="30" t="s">
        <v>667</v>
      </c>
    </row>
    <row r="380" spans="2:9" ht="19.5">
      <c r="E380" s="114" t="s">
        <v>222</v>
      </c>
      <c r="F380" s="70">
        <f>SIN(RADIANS(0))*F375</f>
        <v>0</v>
      </c>
      <c r="G380" s="67" t="s">
        <v>154</v>
      </c>
      <c r="H380" s="31" t="str">
        <f>[3]!EQS(F380,"Units= ; EqnPrefix=Valem  ; EqnNo= 0; Multiplication= 1; ShowWorking= 0; EqnStyle=2; Eqp$H$278_2")</f>
        <v/>
      </c>
      <c r="I380" s="30" t="s">
        <v>668</v>
      </c>
    </row>
    <row r="381" spans="2:9">
      <c r="E381" s="66"/>
      <c r="F381" s="70"/>
      <c r="G381" s="67"/>
      <c r="H381" s="31"/>
      <c r="I381" s="30"/>
    </row>
    <row r="382" spans="2:9">
      <c r="B382" s="71" t="s">
        <v>180</v>
      </c>
    </row>
    <row r="383" spans="2:9">
      <c r="B383" s="35"/>
      <c r="E383" s="114" t="s">
        <v>522</v>
      </c>
      <c r="F383" s="33">
        <v>41</v>
      </c>
      <c r="G383" s="59" t="s">
        <v>51</v>
      </c>
      <c r="I383" s="109" t="s">
        <v>482</v>
      </c>
    </row>
    <row r="384" spans="2:9">
      <c r="B384" s="35"/>
      <c r="E384" s="114" t="s">
        <v>523</v>
      </c>
      <c r="F384" s="33">
        <v>16</v>
      </c>
      <c r="G384" s="110" t="s">
        <v>438</v>
      </c>
      <c r="I384" s="109" t="s">
        <v>511</v>
      </c>
    </row>
    <row r="385" spans="2:9">
      <c r="B385" s="35"/>
      <c r="E385" s="114" t="s">
        <v>524</v>
      </c>
      <c r="F385" s="33">
        <v>1</v>
      </c>
      <c r="G385" s="59"/>
      <c r="I385" s="109" t="s">
        <v>483</v>
      </c>
    </row>
    <row r="386" spans="2:9">
      <c r="B386" s="35"/>
      <c r="C386" s="35" t="s">
        <v>65</v>
      </c>
      <c r="F386" s="27"/>
      <c r="G386" s="59"/>
      <c r="I386" s="32"/>
    </row>
    <row r="387" spans="2:9" ht="19.5">
      <c r="B387" s="35"/>
      <c r="E387" s="114" t="s">
        <v>57</v>
      </c>
      <c r="F387" s="42">
        <f>$F$6*LN(F383/$F$7)*$F$3</f>
        <v>26.770124317630611</v>
      </c>
      <c r="G387" s="59" t="s">
        <v>43</v>
      </c>
      <c r="H387" s="31" t="str">
        <f>[3]!EQS(F387,"Units= ; EqnPrefix=Valem  ; EqnNo= 0; Multiplication= 1; ShowWorking= 0; EqnStyle= 2; Eqp$H$21_2")</f>
        <v/>
      </c>
      <c r="I387" s="40" t="s">
        <v>526</v>
      </c>
    </row>
    <row r="388" spans="2:9">
      <c r="B388" s="35"/>
      <c r="E388" s="28"/>
      <c r="F388" s="42"/>
      <c r="G388" s="59"/>
      <c r="H388" s="31" t="str">
        <f>[3]!EQS(F387,"Units= ; EqnPrefix=Valem  ; EqnNo= 0; Multiplication= 1; ShowWorking= 1; EqnStyle= 2; Eqp$H$21_$H$22_3")</f>
        <v/>
      </c>
      <c r="I388" s="40" t="s">
        <v>161</v>
      </c>
    </row>
    <row r="389" spans="2:9">
      <c r="B389" s="35"/>
      <c r="C389" s="41" t="s">
        <v>77</v>
      </c>
      <c r="D389" s="41"/>
      <c r="F389" s="42"/>
      <c r="G389" s="59"/>
      <c r="H389" s="31"/>
      <c r="I389" s="40"/>
    </row>
    <row r="390" spans="2:9" ht="19.5">
      <c r="B390" s="35"/>
      <c r="E390" s="114" t="s">
        <v>75</v>
      </c>
      <c r="F390" s="42">
        <f>1/2*$F$5*F387^2</f>
        <v>438.94172803860613</v>
      </c>
      <c r="G390" s="61" t="s">
        <v>76</v>
      </c>
      <c r="H390" s="31" t="str">
        <f>[3]!EQS(F390,"Units= ; EqnPrefix=Valem  ; EqnNo= 0; Multiplication= 1; ShowWorking= 0; EqnStyle= 2; Eqp$G$21_0")</f>
        <v/>
      </c>
      <c r="I390" s="40" t="s">
        <v>527</v>
      </c>
    </row>
    <row r="391" spans="2:9">
      <c r="B391" s="35"/>
      <c r="E391" s="37"/>
      <c r="F391" s="42"/>
      <c r="G391" s="61"/>
      <c r="H391" s="31" t="str">
        <f>[3]!EQS(F390,"Units= ; EqnPrefix=Valem  ; EqnNo= 0; Multiplication= 1; ShowWorking= 1; EqnStyle= 2; Eqp$G$21_$G$25_1")</f>
        <v/>
      </c>
      <c r="I391" s="40" t="s">
        <v>551</v>
      </c>
    </row>
    <row r="392" spans="2:9">
      <c r="B392" s="35"/>
      <c r="C392" s="35" t="s">
        <v>79</v>
      </c>
      <c r="E392" s="37"/>
      <c r="F392" s="42"/>
      <c r="G392" s="61"/>
      <c r="I392" s="40"/>
    </row>
    <row r="393" spans="2:9" ht="19.5">
      <c r="B393" s="35"/>
      <c r="E393" s="114" t="s">
        <v>80</v>
      </c>
      <c r="F393" s="42">
        <f>(1+2.28/LN(F383/$F$7))^2</f>
        <v>1.7951352851913878</v>
      </c>
      <c r="G393" s="61"/>
      <c r="H393" s="31" t="str">
        <f>[3]!EQS(F393,"Units= ; EqnPrefix=Valem  ; EqnNo= 0; Multiplication= 1; ShowWorking= 0; EqnStyle= 2; Eqp$G$24_0")</f>
        <v/>
      </c>
      <c r="I393" s="40" t="s">
        <v>529</v>
      </c>
    </row>
    <row r="394" spans="2:9">
      <c r="B394" s="35"/>
      <c r="E394" s="37"/>
      <c r="F394" s="42"/>
      <c r="G394" s="61"/>
      <c r="H394" s="31" t="str">
        <f>[3]!EQS(F393,"Units= ; EqnPrefix=Valem  ; EqnNo= 0; Multiplication= 1; ShowWorking= 1; EqnStyle= 2; Eqp$G$24_$G$28_1")</f>
        <v/>
      </c>
      <c r="I394" s="40" t="s">
        <v>552</v>
      </c>
    </row>
    <row r="395" spans="2:9">
      <c r="B395" s="35"/>
      <c r="C395" s="107" t="s">
        <v>486</v>
      </c>
      <c r="E395" s="37"/>
      <c r="F395" s="42"/>
      <c r="G395" s="61"/>
      <c r="H395" s="31"/>
      <c r="I395" s="40"/>
    </row>
    <row r="396" spans="2:9">
      <c r="B396" s="35"/>
      <c r="E396" s="114" t="s">
        <v>525</v>
      </c>
      <c r="F396" s="33">
        <v>360</v>
      </c>
      <c r="G396" s="110" t="s">
        <v>51</v>
      </c>
      <c r="H396" s="31"/>
      <c r="I396" s="40"/>
    </row>
    <row r="397" spans="2:9">
      <c r="B397" s="35"/>
      <c r="C397" s="107" t="s">
        <v>485</v>
      </c>
      <c r="E397" s="37"/>
      <c r="F397" s="42"/>
      <c r="G397" s="61"/>
      <c r="H397" s="31"/>
      <c r="I397" s="40"/>
    </row>
    <row r="398" spans="2:9" ht="19.5">
      <c r="B398" s="35"/>
      <c r="E398" s="114" t="s">
        <v>487</v>
      </c>
      <c r="F398" s="42">
        <f>1.3-0.082*LN(F396)</f>
        <v>0.81733946942108726</v>
      </c>
      <c r="G398" s="61"/>
      <c r="H398" s="31" t="str">
        <f>[3]!EQS(F398,"Units= ; EqnPrefix=Valem  ; EqnNo= 0; Multiplication= 1; ShowWorking= 0; EqnStyle= 2; Eqp$G$24_0")</f>
        <v/>
      </c>
      <c r="I398" s="40" t="s">
        <v>495</v>
      </c>
    </row>
    <row r="399" spans="2:9">
      <c r="B399" s="35"/>
      <c r="C399" s="107" t="s">
        <v>488</v>
      </c>
      <c r="E399" s="108"/>
      <c r="F399" s="42"/>
      <c r="G399" s="61"/>
      <c r="H399" s="31"/>
      <c r="I399" s="40"/>
    </row>
    <row r="400" spans="2:9" ht="19.5">
      <c r="B400" s="35"/>
      <c r="E400" s="114" t="s">
        <v>489</v>
      </c>
      <c r="F400" s="42">
        <v>1.2</v>
      </c>
      <c r="G400" s="61"/>
      <c r="H400" s="31"/>
      <c r="I400" s="40"/>
    </row>
    <row r="401" spans="2:9">
      <c r="B401" s="35"/>
      <c r="C401" s="107" t="s">
        <v>490</v>
      </c>
      <c r="E401" s="37"/>
      <c r="F401" s="42"/>
      <c r="G401" s="61"/>
      <c r="H401" s="31"/>
      <c r="I401" s="40"/>
    </row>
    <row r="402" spans="2:9" ht="19.5">
      <c r="B402" s="35"/>
      <c r="C402" s="107"/>
      <c r="E402" s="114" t="s">
        <v>492</v>
      </c>
      <c r="F402" s="42">
        <f>F390*F393*F398*F400*F384/1000</f>
        <v>12.365388132445736</v>
      </c>
      <c r="G402" s="110" t="s">
        <v>86</v>
      </c>
      <c r="H402" s="31" t="str">
        <f>[3]!EQS(F402,"Units= ; EqnPrefix=Valem  ; EqnNo= 0; Multiplication= 1; ShowWorking= 0; EqnStyle= 2; Eqp$G$24_0")</f>
        <v/>
      </c>
      <c r="I402" s="40" t="s">
        <v>564</v>
      </c>
    </row>
    <row r="403" spans="2:9">
      <c r="B403" s="35"/>
      <c r="C403" s="107"/>
      <c r="E403" s="108"/>
      <c r="F403" s="42"/>
      <c r="G403" s="110"/>
      <c r="H403" s="31" t="str">
        <f>[3]!EQS(F402,"Units= ; EqnPrefix=Valem  ; EqnNo= 0; Multiplication= 1; ShowWorking= 1; EqnStyle= 2; Eqp$G$24_$H$294_1")</f>
        <v/>
      </c>
      <c r="I403" s="40" t="s">
        <v>579</v>
      </c>
    </row>
    <row r="404" spans="2:9">
      <c r="B404" s="35"/>
      <c r="C404" s="107" t="s">
        <v>491</v>
      </c>
      <c r="E404" s="37"/>
      <c r="F404" s="42"/>
      <c r="G404" s="61"/>
      <c r="H404" s="31"/>
      <c r="I404" s="40"/>
    </row>
    <row r="405" spans="2:9" ht="19.5">
      <c r="E405" s="114" t="s">
        <v>209</v>
      </c>
      <c r="F405" s="46">
        <f>F402*F385</f>
        <v>12.365388132445736</v>
      </c>
      <c r="G405" s="110" t="s">
        <v>86</v>
      </c>
      <c r="H405" s="31" t="str">
        <f>[3]!EQS(F405,"Units= ; EqnPrefix=Valem  ; EqnNo= 0; Multiplication= 1; ShowWorking= 0; EqnStyle= 2; Eqp$G$24_0")</f>
        <v/>
      </c>
      <c r="I405" s="30" t="s">
        <v>565</v>
      </c>
    </row>
    <row r="407" spans="2:9">
      <c r="C407" s="64" t="s">
        <v>210</v>
      </c>
    </row>
    <row r="408" spans="2:9" ht="19.5">
      <c r="E408" s="114" t="s">
        <v>211</v>
      </c>
      <c r="F408" s="128">
        <f>COS(RADIANS(4))^2</f>
        <v>0.99513403437078507</v>
      </c>
      <c r="H408" s="31" t="str">
        <f>[3]!EQS(F408,"Units= ; EqnPrefix=Valem  ; EqnNo= 0; Multiplication= 1; ShowWorking= 0; EqnStyle= 2; Eqp$H$274_2")</f>
        <v/>
      </c>
      <c r="I408" s="30" t="s">
        <v>548</v>
      </c>
    </row>
    <row r="409" spans="2:9">
      <c r="C409" s="64" t="s">
        <v>212</v>
      </c>
    </row>
    <row r="410" spans="2:9" ht="19.5">
      <c r="E410" s="114" t="s">
        <v>223</v>
      </c>
      <c r="F410" s="46">
        <f>F405*F408</f>
        <v>12.305218578801352</v>
      </c>
      <c r="G410" s="67" t="s">
        <v>86</v>
      </c>
      <c r="H410" s="31" t="str">
        <f>[3]!EQS(F410,"Units= ; EqnPrefix=Valem  ; EqnNo= 0; Multiplication= 1; ShowWorking= 0; EqnStyle= 2; Eqp$H$276_2")</f>
        <v/>
      </c>
      <c r="I410" s="30" t="s">
        <v>566</v>
      </c>
    </row>
    <row r="411" spans="2:9">
      <c r="D411" s="64" t="s">
        <v>225</v>
      </c>
      <c r="E411" s="66"/>
      <c r="F411" s="70"/>
      <c r="G411" s="67"/>
      <c r="H411" s="31"/>
      <c r="I411" s="30"/>
    </row>
    <row r="412" spans="2:9" ht="19.5">
      <c r="E412" s="114" t="s">
        <v>221</v>
      </c>
      <c r="F412" s="70">
        <f>COS(RADIANS(4))*F410</f>
        <v>12.275243684801515</v>
      </c>
      <c r="G412" s="67" t="s">
        <v>86</v>
      </c>
      <c r="H412" s="31" t="str">
        <f>[3]!EQS(F412,"Units= ; EqnPrefix=Valem  ; EqnNo= 0; Multiplication= 1; ShowWorking= 0; EqnStyle= 2; Eqp$H$277_2")</f>
        <v/>
      </c>
      <c r="I412" s="30" t="s">
        <v>574</v>
      </c>
    </row>
    <row r="413" spans="2:9" ht="19.5">
      <c r="E413" s="114" t="s">
        <v>222</v>
      </c>
      <c r="F413" s="70">
        <f>SIN(RADIANS(4))*F410</f>
        <v>0.85836865670787932</v>
      </c>
      <c r="G413" s="67" t="s">
        <v>86</v>
      </c>
      <c r="H413" s="31" t="str">
        <f>[3]!EQS(F413,"Units= ; EqnPrefix=Valem  ; EqnNo= 0; Multiplication= 1; ShowWorking= 0; EqnStyle=2; Eqp$H$278_2")</f>
        <v/>
      </c>
      <c r="I413" s="30" t="s">
        <v>575</v>
      </c>
    </row>
    <row r="414" spans="2:9">
      <c r="C414" s="64" t="s">
        <v>214</v>
      </c>
    </row>
    <row r="415" spans="2:9" ht="19.5">
      <c r="E415" s="114" t="s">
        <v>211</v>
      </c>
      <c r="F415" s="128">
        <f>COS(RADIANS(4))^2</f>
        <v>0.99513403437078507</v>
      </c>
      <c r="H415" s="31" t="str">
        <f>[3]!EQS(F415,"Units= ; EqnPrefix=Valem  ; EqnNo= 0; Multiplication= 1; ShowWorking= 0; EqnStyle= 2; Eqp$H$278_2")</f>
        <v/>
      </c>
      <c r="I415" s="30" t="s">
        <v>548</v>
      </c>
    </row>
    <row r="416" spans="2:9">
      <c r="C416" s="64" t="s">
        <v>215</v>
      </c>
    </row>
    <row r="417" spans="4:9" ht="19.5">
      <c r="E417" s="114" t="s">
        <v>224</v>
      </c>
      <c r="F417" s="46">
        <f>F405*F415</f>
        <v>12.305218578801352</v>
      </c>
      <c r="G417" s="67" t="s">
        <v>86</v>
      </c>
      <c r="H417" s="31" t="str">
        <f>[3]!EQS(F417,"Units= ; EqnPrefix=Valem  ; EqnNo= 0; Multiplication= 1; ShowWorking= 0; EqnStyle= 2; Eqp$H$276_2")</f>
        <v/>
      </c>
      <c r="I417" s="30" t="s">
        <v>566</v>
      </c>
    </row>
    <row r="418" spans="4:9">
      <c r="D418" s="64" t="s">
        <v>225</v>
      </c>
      <c r="E418" s="66"/>
      <c r="F418" s="70"/>
      <c r="G418" s="67"/>
      <c r="H418" s="31"/>
      <c r="I418" s="30"/>
    </row>
    <row r="419" spans="4:9" ht="19.5">
      <c r="E419" s="114" t="s">
        <v>221</v>
      </c>
      <c r="F419" s="70">
        <f>COS(RADIANS(4))*F417</f>
        <v>12.275243684801515</v>
      </c>
      <c r="G419" s="67" t="s">
        <v>86</v>
      </c>
      <c r="H419" s="31" t="str">
        <f>[3]!EQS(F419,"Units= ; EqnPrefix=Valem  ; EqnNo= 0; Multiplication= 1; ShowWorking= 0; EqnStyle= 2; Eqp$H$277_2")</f>
        <v/>
      </c>
      <c r="I419" s="30" t="s">
        <v>576</v>
      </c>
    </row>
    <row r="420" spans="4:9" ht="19.5">
      <c r="E420" s="114" t="s">
        <v>222</v>
      </c>
      <c r="F420" s="70">
        <f>SIN(RADIANS(4))*F417</f>
        <v>0.85836865670787932</v>
      </c>
      <c r="G420" s="67" t="s">
        <v>86</v>
      </c>
      <c r="H420" s="31" t="str">
        <f>[3]!EQS(F420,"Units= ; EqnPrefix=Valem  ; EqnNo= 0; Multiplication= 1; ShowWorking= 0; EqnStyle=2; Eqp$H$278_2")</f>
        <v/>
      </c>
      <c r="I420" s="30" t="s">
        <v>577</v>
      </c>
    </row>
    <row r="421" spans="4:9">
      <c r="E421" s="66"/>
      <c r="F421" s="70"/>
      <c r="G421" s="67"/>
      <c r="H421" s="31"/>
      <c r="I421" s="30"/>
    </row>
  </sheetData>
  <mergeCells count="1">
    <mergeCell ref="A2:R2"/>
  </mergeCells>
  <pageMargins left="0.7" right="0.48958333333333331" top="0.75" bottom="0.75" header="0.3" footer="0.3"/>
  <pageSetup paperSize="9" orientation="portrait" horizontalDpi="300" verticalDpi="30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/>
  </sheetPr>
  <dimension ref="A2:R155"/>
  <sheetViews>
    <sheetView topLeftCell="A108" workbookViewId="0">
      <selection activeCell="O116" sqref="O116"/>
    </sheetView>
  </sheetViews>
  <sheetFormatPr defaultRowHeight="18"/>
  <cols>
    <col min="1" max="1" width="1.375" style="71" customWidth="1"/>
    <col min="2" max="2" width="1.5" style="71" customWidth="1"/>
    <col min="3" max="4" width="1.5" style="35" customWidth="1"/>
    <col min="5" max="5" width="6.125" style="23" customWidth="1"/>
    <col min="6" max="6" width="8.5" style="23" customWidth="1"/>
    <col min="7" max="7" width="6.125" style="58" customWidth="1"/>
    <col min="8" max="8" width="0.875" style="23" customWidth="1"/>
    <col min="9" max="11" width="6.125" style="23" customWidth="1"/>
    <col min="12" max="20" width="6.25" style="23" customWidth="1"/>
    <col min="21" max="21" width="1.375" style="23" customWidth="1"/>
    <col min="22" max="22" width="6.25" style="23" customWidth="1"/>
    <col min="23" max="16384" width="9" style="23"/>
  </cols>
  <sheetData>
    <row r="2" spans="1:18" ht="31.5" customHeight="1">
      <c r="A2" s="264" t="s">
        <v>358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</row>
    <row r="3" spans="1:18" ht="19.5">
      <c r="E3" s="24" t="s">
        <v>42</v>
      </c>
      <c r="F3" s="23">
        <v>21</v>
      </c>
      <c r="G3" s="58" t="s">
        <v>43</v>
      </c>
      <c r="I3" s="23" t="s">
        <v>44</v>
      </c>
    </row>
    <row r="4" spans="1:18" ht="19.5">
      <c r="E4" s="24" t="s">
        <v>45</v>
      </c>
      <c r="F4" s="23">
        <f>F3</f>
        <v>21</v>
      </c>
      <c r="G4" s="58" t="s">
        <v>43</v>
      </c>
      <c r="I4" s="23" t="s">
        <v>46</v>
      </c>
    </row>
    <row r="5" spans="1:18">
      <c r="E5" s="25" t="s">
        <v>47</v>
      </c>
      <c r="F5" s="23">
        <v>1.2250000000000001</v>
      </c>
      <c r="G5" s="58" t="s">
        <v>48</v>
      </c>
      <c r="I5" s="23" t="s">
        <v>49</v>
      </c>
    </row>
    <row r="6" spans="1:18" ht="19.5">
      <c r="E6" s="25" t="s">
        <v>58</v>
      </c>
      <c r="F6" s="23">
        <v>0.19</v>
      </c>
      <c r="I6" s="32" t="s">
        <v>59</v>
      </c>
    </row>
    <row r="7" spans="1:18" ht="19.5">
      <c r="E7" s="25" t="s">
        <v>60</v>
      </c>
      <c r="F7" s="23">
        <v>0.05</v>
      </c>
      <c r="G7" s="59" t="s">
        <v>51</v>
      </c>
      <c r="I7" s="32" t="s">
        <v>61</v>
      </c>
    </row>
    <row r="8" spans="1:18" ht="19.5">
      <c r="E8" s="25" t="s">
        <v>62</v>
      </c>
      <c r="F8" s="23">
        <v>10</v>
      </c>
      <c r="G8" s="59" t="s">
        <v>51</v>
      </c>
      <c r="I8" s="34" t="s">
        <v>63</v>
      </c>
    </row>
    <row r="9" spans="1:18">
      <c r="E9" s="78" t="s">
        <v>245</v>
      </c>
      <c r="F9" s="23">
        <v>0.01</v>
      </c>
      <c r="G9" s="84" t="s">
        <v>51</v>
      </c>
      <c r="I9" s="83" t="s">
        <v>360</v>
      </c>
    </row>
    <row r="10" spans="1:18" ht="19.5">
      <c r="E10" s="78" t="s">
        <v>368</v>
      </c>
      <c r="F10" s="23">
        <f>900</f>
        <v>900</v>
      </c>
      <c r="G10" s="84" t="s">
        <v>369</v>
      </c>
      <c r="I10" s="83" t="s">
        <v>370</v>
      </c>
    </row>
    <row r="11" spans="1:18">
      <c r="E11" s="78" t="s">
        <v>371</v>
      </c>
      <c r="F11" s="23">
        <v>9.81</v>
      </c>
      <c r="G11" s="84" t="s">
        <v>372</v>
      </c>
      <c r="I11" s="83" t="s">
        <v>373</v>
      </c>
    </row>
    <row r="12" spans="1:18">
      <c r="E12" s="24"/>
    </row>
    <row r="13" spans="1:18">
      <c r="B13" s="71" t="s">
        <v>359</v>
      </c>
      <c r="C13" s="36"/>
      <c r="D13" s="36"/>
      <c r="E13" s="29"/>
      <c r="F13" s="29"/>
      <c r="G13" s="60"/>
      <c r="H13" s="29"/>
      <c r="I13" s="29"/>
      <c r="J13" s="29"/>
      <c r="K13" s="29"/>
      <c r="L13" s="29"/>
    </row>
    <row r="14" spans="1:18">
      <c r="C14" s="35" t="s">
        <v>100</v>
      </c>
      <c r="D14" s="36"/>
      <c r="E14" s="29"/>
      <c r="F14" s="29"/>
      <c r="G14" s="60"/>
      <c r="H14" s="29"/>
      <c r="I14" s="29"/>
      <c r="J14" s="29"/>
      <c r="K14" s="29"/>
      <c r="L14" s="29"/>
    </row>
    <row r="15" spans="1:18">
      <c r="C15" s="83" t="s">
        <v>361</v>
      </c>
      <c r="E15" s="24"/>
      <c r="K15" s="38"/>
    </row>
    <row r="16" spans="1:18">
      <c r="E16" s="78" t="s">
        <v>243</v>
      </c>
      <c r="F16" s="33">
        <v>0.32400000000000001</v>
      </c>
      <c r="G16" s="59" t="s">
        <v>51</v>
      </c>
      <c r="I16" s="32" t="s">
        <v>56</v>
      </c>
    </row>
    <row r="17" spans="2:12">
      <c r="C17" s="88" t="s">
        <v>362</v>
      </c>
      <c r="E17" s="78"/>
      <c r="G17" s="59"/>
      <c r="I17" s="32"/>
    </row>
    <row r="18" spans="2:12">
      <c r="E18" s="78" t="s">
        <v>363</v>
      </c>
      <c r="F18" s="70">
        <f>PI()*F16</f>
        <v>1.0178760197630929</v>
      </c>
      <c r="G18" s="84" t="s">
        <v>51</v>
      </c>
      <c r="H18" s="31" t="str">
        <f>[3]!EQS(F18,"Units= ; EqnPrefix=Valem  ; EqnNo= 0; Multiplication= 1; ShowWorking= 1; EqnStyle= 2; Eqp$H$17_2")</f>
        <v/>
      </c>
      <c r="I18" s="89" t="s">
        <v>364</v>
      </c>
    </row>
    <row r="19" spans="2:12">
      <c r="C19" s="88" t="s">
        <v>365</v>
      </c>
      <c r="E19" s="78"/>
      <c r="G19" s="59"/>
      <c r="H19" s="31"/>
      <c r="I19" s="32"/>
    </row>
    <row r="20" spans="2:12" ht="19.5">
      <c r="E20" s="78" t="s">
        <v>366</v>
      </c>
      <c r="F20" s="90">
        <f>F18*F9</f>
        <v>1.0178760197630929E-2</v>
      </c>
      <c r="G20" s="84" t="s">
        <v>81</v>
      </c>
      <c r="H20" s="31" t="str">
        <f>[3]!EQS(F20,"Units= ; EqnPrefix=Valem  ; EqnNo= 0; Multiplication= 1; ShowWorking= 1; EqnStyle= 2; Eqp$H$17_2")</f>
        <v/>
      </c>
      <c r="I20" s="89" t="s">
        <v>367</v>
      </c>
    </row>
    <row r="21" spans="2:12">
      <c r="C21" s="88" t="s">
        <v>374</v>
      </c>
      <c r="E21" s="78"/>
      <c r="G21" s="59"/>
      <c r="H21" s="31"/>
      <c r="I21" s="32"/>
    </row>
    <row r="22" spans="2:12" ht="19.5">
      <c r="E22" s="78" t="s">
        <v>375</v>
      </c>
      <c r="F22" s="46">
        <f>F20*1*F10*F11</f>
        <v>89.868273784883485</v>
      </c>
      <c r="G22" s="84" t="s">
        <v>86</v>
      </c>
      <c r="H22" s="31" t="str">
        <f>[3]!EQS(F22,"Units= ; EqnPrefix=Valem  ; EqnNo= 0; Multiplication= 1; ShowWorking= 1; EqnStyle= 2; Eqp$H$17_2")</f>
        <v/>
      </c>
      <c r="I22" s="89" t="s">
        <v>379</v>
      </c>
    </row>
    <row r="23" spans="2:12">
      <c r="E23" s="78"/>
      <c r="G23" s="59"/>
      <c r="I23" s="32"/>
    </row>
    <row r="25" spans="2:12" collapsed="1">
      <c r="B25" s="71" t="s">
        <v>477</v>
      </c>
      <c r="C25" s="36"/>
      <c r="D25" s="36"/>
      <c r="E25" s="29"/>
      <c r="F25" s="29"/>
      <c r="G25" s="60"/>
      <c r="H25" s="29"/>
      <c r="I25" s="29"/>
      <c r="J25" s="29"/>
      <c r="K25" s="29"/>
      <c r="L25" s="29"/>
    </row>
    <row r="26" spans="2:12">
      <c r="C26" s="35" t="s">
        <v>93</v>
      </c>
      <c r="E26" s="24"/>
    </row>
    <row r="27" spans="2:12">
      <c r="E27" s="78" t="s">
        <v>243</v>
      </c>
      <c r="F27" s="33">
        <v>0.27300000000000002</v>
      </c>
      <c r="G27" s="59" t="s">
        <v>51</v>
      </c>
      <c r="I27" s="38" t="s">
        <v>92</v>
      </c>
    </row>
    <row r="28" spans="2:12">
      <c r="C28" s="88" t="s">
        <v>362</v>
      </c>
      <c r="E28" s="78"/>
      <c r="G28" s="59"/>
      <c r="I28" s="32"/>
    </row>
    <row r="29" spans="2:12">
      <c r="E29" s="78" t="s">
        <v>363</v>
      </c>
      <c r="F29" s="70">
        <f>PI()*F27</f>
        <v>0.85765479443001358</v>
      </c>
      <c r="G29" s="84" t="s">
        <v>51</v>
      </c>
      <c r="H29" s="31" t="str">
        <f>[3]!EQS(F29,"Units= ; EqnPrefix=Valem  ; EqnNo= 0; Multiplication= 1; ShowWorking= 1; EqnStyle= 2; Eqp$H$17_2")</f>
        <v/>
      </c>
      <c r="I29" s="89" t="s">
        <v>376</v>
      </c>
    </row>
    <row r="30" spans="2:12">
      <c r="C30" s="88" t="s">
        <v>365</v>
      </c>
      <c r="E30" s="78"/>
      <c r="G30" s="59"/>
      <c r="H30" s="31"/>
      <c r="I30" s="32"/>
    </row>
    <row r="31" spans="2:12" ht="19.5">
      <c r="E31" s="78" t="s">
        <v>366</v>
      </c>
      <c r="F31" s="90">
        <f>F29*F20</f>
        <v>8.7298624848515596E-3</v>
      </c>
      <c r="G31" s="97" t="s">
        <v>383</v>
      </c>
      <c r="H31" s="31" t="str">
        <f>[3]!EQS(F31,"Units= ; EqnPrefix=Valem  ; EqnNo= 0; Multiplication= 1; ShowWorking= 1; EqnStyle= 2; Eqp$H$17_2")</f>
        <v/>
      </c>
      <c r="I31" s="89" t="s">
        <v>377</v>
      </c>
    </row>
    <row r="32" spans="2:12">
      <c r="C32" s="88" t="s">
        <v>374</v>
      </c>
      <c r="E32" s="78"/>
      <c r="G32" s="59"/>
      <c r="H32" s="31"/>
      <c r="I32" s="32"/>
    </row>
    <row r="33" spans="2:12" ht="19.5">
      <c r="E33" s="78" t="s">
        <v>375</v>
      </c>
      <c r="F33" s="46">
        <f>F31*1*$F$10*$F$11</f>
        <v>77.075955878754428</v>
      </c>
      <c r="G33" s="84" t="s">
        <v>86</v>
      </c>
      <c r="H33" s="31" t="str">
        <f>[3]!EQS(F33,"Units= ; EqnPrefix=Valem  ; EqnNo= 0; Multiplication= 1; ShowWorking= 1; EqnStyle= 2; Eqp$H$17_2")</f>
        <v/>
      </c>
      <c r="I33" s="89" t="s">
        <v>378</v>
      </c>
    </row>
    <row r="34" spans="2:12">
      <c r="E34" s="78"/>
      <c r="G34" s="59"/>
      <c r="I34" s="38"/>
    </row>
    <row r="36" spans="2:12" collapsed="1">
      <c r="B36" s="106" t="s">
        <v>387</v>
      </c>
      <c r="C36" s="36"/>
      <c r="D36" s="36"/>
      <c r="E36" s="29"/>
      <c r="F36" s="29"/>
      <c r="G36" s="60"/>
      <c r="H36" s="29"/>
      <c r="I36" s="29"/>
      <c r="J36" s="29"/>
      <c r="K36" s="29"/>
      <c r="L36" s="29"/>
    </row>
    <row r="37" spans="2:12">
      <c r="C37" s="35" t="s">
        <v>108</v>
      </c>
      <c r="E37" s="24"/>
    </row>
    <row r="38" spans="2:12">
      <c r="E38" s="78" t="s">
        <v>54</v>
      </c>
      <c r="F38" s="33">
        <v>0.22</v>
      </c>
      <c r="G38" s="59" t="s">
        <v>51</v>
      </c>
      <c r="I38" s="38" t="s">
        <v>110</v>
      </c>
    </row>
    <row r="40" spans="2:12">
      <c r="D40" s="83" t="s">
        <v>380</v>
      </c>
      <c r="I40" s="23" t="s">
        <v>381</v>
      </c>
    </row>
    <row r="41" spans="2:12" ht="19.5">
      <c r="E41" s="78" t="s">
        <v>382</v>
      </c>
      <c r="F41" s="23">
        <v>0.75600000000000001</v>
      </c>
      <c r="G41" s="84" t="s">
        <v>383</v>
      </c>
    </row>
    <row r="42" spans="2:12">
      <c r="C42" s="88" t="s">
        <v>384</v>
      </c>
    </row>
    <row r="43" spans="2:12" ht="19.5">
      <c r="E43" s="78" t="s">
        <v>385</v>
      </c>
      <c r="F43" s="46">
        <f>2*F41*F9*F10*F11</f>
        <v>133.49448000000001</v>
      </c>
      <c r="G43" s="84" t="s">
        <v>86</v>
      </c>
      <c r="H43" s="31" t="str">
        <f>[3]!EQS(F43,"Units= ; EqnPrefix=Valem  ; EqnNo= 0; Multiplication= 1; ShowWorking= 1; EqnStyle= 2; Eqp$H$17_2")</f>
        <v/>
      </c>
      <c r="I43" s="30" t="s">
        <v>386</v>
      </c>
    </row>
    <row r="46" spans="2:12">
      <c r="B46" s="106" t="s">
        <v>388</v>
      </c>
      <c r="C46" s="36"/>
      <c r="D46" s="36"/>
      <c r="E46" s="29"/>
      <c r="F46" s="29"/>
      <c r="G46" s="60"/>
      <c r="H46" s="29"/>
      <c r="I46" s="29"/>
      <c r="J46" s="29"/>
      <c r="K46" s="29"/>
      <c r="L46" s="29"/>
    </row>
    <row r="47" spans="2:12">
      <c r="C47" s="225" t="s">
        <v>744</v>
      </c>
      <c r="E47" s="24"/>
    </row>
    <row r="48" spans="2:12">
      <c r="E48" s="78" t="s">
        <v>54</v>
      </c>
      <c r="F48" s="33">
        <v>0.25</v>
      </c>
      <c r="G48" s="59" t="s">
        <v>51</v>
      </c>
    </row>
    <row r="49" spans="2:12">
      <c r="E49" s="78" t="s">
        <v>245</v>
      </c>
      <c r="F49" s="33">
        <v>0.25</v>
      </c>
      <c r="G49" s="62" t="s">
        <v>51</v>
      </c>
      <c r="I49" s="54" t="s">
        <v>124</v>
      </c>
    </row>
    <row r="50" spans="2:12">
      <c r="D50" s="88" t="s">
        <v>389</v>
      </c>
      <c r="E50" s="78"/>
      <c r="F50" s="54"/>
      <c r="G50" s="62"/>
      <c r="I50" s="54"/>
    </row>
    <row r="51" spans="2:12" ht="19.5">
      <c r="E51" s="78" t="s">
        <v>390</v>
      </c>
      <c r="F51" s="54">
        <f>2*(F49+F48)</f>
        <v>1</v>
      </c>
      <c r="G51" s="84" t="s">
        <v>383</v>
      </c>
      <c r="H51" s="31" t="str">
        <f>[3]!EQS(F51,"Units= ; EqnPrefix=Valem  ; EqnNo= 0; Multiplication= 1; ShowWorking= 1; EqnStyle= 2; Eqp$H$17_2")</f>
        <v/>
      </c>
      <c r="I51" s="91" t="s">
        <v>393</v>
      </c>
    </row>
    <row r="52" spans="2:12">
      <c r="D52" s="88" t="s">
        <v>384</v>
      </c>
      <c r="E52" s="78"/>
      <c r="F52" s="54"/>
      <c r="G52" s="62"/>
      <c r="I52" s="54"/>
    </row>
    <row r="53" spans="2:12" ht="19.5">
      <c r="E53" s="78" t="s">
        <v>391</v>
      </c>
      <c r="F53" s="54">
        <f>F51*$F$9*$F$10*$F$11</f>
        <v>88.29</v>
      </c>
      <c r="G53" s="84" t="s">
        <v>86</v>
      </c>
      <c r="H53" s="31" t="str">
        <f>[3]!EQS(F53,"Units= ; EqnPrefix=Valem  ; EqnNo= 0; Multiplication= 1; ShowWorking= 1; EqnStyle= 2; Eqp$H$17_2")</f>
        <v/>
      </c>
      <c r="I53" s="91" t="s">
        <v>392</v>
      </c>
    </row>
    <row r="54" spans="2:12">
      <c r="E54" s="78"/>
      <c r="F54" s="54"/>
      <c r="G54" s="62"/>
      <c r="I54" s="54"/>
    </row>
    <row r="55" spans="2:12">
      <c r="E55" s="78"/>
      <c r="F55" s="54"/>
      <c r="G55" s="62"/>
      <c r="I55" s="54"/>
    </row>
    <row r="56" spans="2:12">
      <c r="E56" s="78"/>
      <c r="F56" s="54"/>
      <c r="G56" s="62"/>
      <c r="I56" s="54"/>
    </row>
    <row r="57" spans="2:12">
      <c r="B57" s="106" t="s">
        <v>396</v>
      </c>
      <c r="C57" s="36"/>
      <c r="D57" s="36"/>
      <c r="E57" s="29"/>
      <c r="F57" s="29"/>
      <c r="G57" s="60"/>
      <c r="H57" s="29"/>
      <c r="I57" s="29"/>
      <c r="J57" s="29"/>
      <c r="K57" s="29"/>
      <c r="L57" s="29"/>
    </row>
    <row r="58" spans="2:12">
      <c r="C58" s="94" t="s">
        <v>478</v>
      </c>
      <c r="E58" s="24"/>
    </row>
    <row r="59" spans="2:12">
      <c r="E59" s="78" t="s">
        <v>54</v>
      </c>
      <c r="F59" s="33">
        <v>0.25</v>
      </c>
      <c r="G59" s="59" t="s">
        <v>51</v>
      </c>
    </row>
    <row r="60" spans="2:12">
      <c r="E60" s="78" t="s">
        <v>245</v>
      </c>
      <c r="F60" s="33">
        <v>0.15</v>
      </c>
      <c r="G60" s="62" t="s">
        <v>51</v>
      </c>
      <c r="I60" s="120" t="s">
        <v>607</v>
      </c>
    </row>
    <row r="61" spans="2:12">
      <c r="D61" s="94" t="s">
        <v>479</v>
      </c>
      <c r="E61" s="78"/>
      <c r="F61" s="54"/>
      <c r="G61" s="62"/>
      <c r="I61" s="54"/>
    </row>
    <row r="62" spans="2:12" ht="19.5">
      <c r="E62" s="96" t="s">
        <v>480</v>
      </c>
      <c r="F62" s="54">
        <f>2*(F60+F59)</f>
        <v>0.8</v>
      </c>
      <c r="G62" s="84" t="s">
        <v>383</v>
      </c>
      <c r="H62" s="31" t="str">
        <f>[3]!EQS(F62,"Units= ; EqnPrefix=Valem  ; EqnNo= 0; Multiplication= 1; ShowWorking= 1; EqnStyle= 2; Eqp$H$17_2")</f>
        <v/>
      </c>
      <c r="I62" s="91" t="s">
        <v>394</v>
      </c>
    </row>
    <row r="63" spans="2:12">
      <c r="D63" s="94" t="s">
        <v>444</v>
      </c>
      <c r="E63" s="78"/>
      <c r="F63" s="54"/>
      <c r="G63" s="62"/>
      <c r="I63" s="54"/>
    </row>
    <row r="64" spans="2:12" ht="19.5">
      <c r="E64" s="96" t="s">
        <v>473</v>
      </c>
      <c r="F64" s="92">
        <f>F62*$F$9*$F$10*$F$11</f>
        <v>70.632000000000005</v>
      </c>
      <c r="G64" s="84" t="s">
        <v>86</v>
      </c>
      <c r="H64" s="31" t="str">
        <f>[3]!EQS(F64,"Units= ; EqnPrefix=Valem  ; EqnNo= 0; Multiplication= 1; ShowWorking= 0; EqnStyle= 2; Eqp$H$17_2")</f>
        <v/>
      </c>
      <c r="I64" s="91" t="s">
        <v>745</v>
      </c>
    </row>
    <row r="65" spans="2:9">
      <c r="F65" s="54"/>
      <c r="H65" s="23" t="str">
        <f>[3]!EQS(F64,"Units= ; EqnPrefix=Valem  ; EqnNo= 0; Multiplication= 1; ShowWorking= 1; EqnStyle= 2; Eqp$H$17_$H$65_3")</f>
        <v/>
      </c>
      <c r="I65" s="30" t="s">
        <v>395</v>
      </c>
    </row>
    <row r="66" spans="2:9">
      <c r="B66" s="106" t="s">
        <v>397</v>
      </c>
      <c r="C66" s="36"/>
      <c r="D66" s="36"/>
      <c r="E66" s="29"/>
    </row>
    <row r="67" spans="2:9">
      <c r="C67" s="64" t="s">
        <v>181</v>
      </c>
    </row>
    <row r="69" spans="2:9">
      <c r="C69" s="83" t="s">
        <v>398</v>
      </c>
      <c r="E69" s="24"/>
    </row>
    <row r="70" spans="2:9">
      <c r="E70" s="78" t="s">
        <v>242</v>
      </c>
      <c r="F70" s="33">
        <v>36</v>
      </c>
      <c r="G70" s="59" t="s">
        <v>51</v>
      </c>
      <c r="I70" s="65" t="s">
        <v>184</v>
      </c>
    </row>
    <row r="71" spans="2:9">
      <c r="E71" s="78" t="s">
        <v>243</v>
      </c>
      <c r="F71" s="33">
        <v>2.01E-2</v>
      </c>
      <c r="G71" s="59" t="s">
        <v>51</v>
      </c>
      <c r="I71" s="65" t="s">
        <v>185</v>
      </c>
    </row>
    <row r="72" spans="2:9">
      <c r="E72" s="78" t="s">
        <v>249</v>
      </c>
      <c r="F72" s="33">
        <v>40.590000000000003</v>
      </c>
      <c r="G72" s="67" t="s">
        <v>51</v>
      </c>
      <c r="I72" s="65" t="s">
        <v>198</v>
      </c>
    </row>
    <row r="73" spans="2:9" ht="19.5">
      <c r="E73" s="78" t="s">
        <v>399</v>
      </c>
      <c r="F73" s="33">
        <v>1.4</v>
      </c>
      <c r="G73" s="67"/>
      <c r="I73" s="65"/>
    </row>
    <row r="74" spans="2:9" ht="19.5">
      <c r="E74" s="78" t="s">
        <v>400</v>
      </c>
      <c r="F74" s="33">
        <v>0.9</v>
      </c>
      <c r="G74" s="67"/>
      <c r="I74" s="65"/>
    </row>
    <row r="75" spans="2:9">
      <c r="C75" s="88" t="s">
        <v>401</v>
      </c>
      <c r="E75" s="78"/>
      <c r="G75" s="67"/>
      <c r="I75" s="65"/>
    </row>
    <row r="76" spans="2:9" ht="19.5">
      <c r="E76" s="78" t="s">
        <v>402</v>
      </c>
      <c r="F76" s="46">
        <f>PI()*F73*F74*F9*(F71+F73*F74*F9)*F10*F11</f>
        <v>11.428248816311019</v>
      </c>
      <c r="G76" s="84" t="s">
        <v>86</v>
      </c>
      <c r="H76" s="31" t="str">
        <f>[3]!EQS(F76,"Units= ; EqnPrefix=Valem  ; EqnNo= 0; Multiplication= 1; ShowWorking= 0; EqnStyle= 2; Eqp$H$17_2")</f>
        <v/>
      </c>
      <c r="I76" s="93" t="s">
        <v>403</v>
      </c>
    </row>
    <row r="77" spans="2:9">
      <c r="E77" s="31" t="str">
        <f>[3]!EQS(F76,"Units= ; EqnPrefix=Valem  ; EqnNo= 0; Multiplication= 1; ShowWorking= 1; EqnStyle= 2; Eqp$H$17_$H$77_3")</f>
        <v/>
      </c>
      <c r="F77" s="30" t="s">
        <v>404</v>
      </c>
      <c r="G77" s="67"/>
      <c r="I77" s="93"/>
    </row>
    <row r="78" spans="2:9">
      <c r="E78" s="78"/>
      <c r="G78" s="67"/>
      <c r="I78" s="65"/>
    </row>
    <row r="79" spans="2:9">
      <c r="E79" s="78"/>
      <c r="G79" s="67"/>
      <c r="I79" s="65"/>
    </row>
    <row r="80" spans="2:9">
      <c r="E80" s="78"/>
      <c r="G80" s="67"/>
      <c r="I80" s="65"/>
    </row>
    <row r="82" spans="2:9">
      <c r="B82" s="71" t="s">
        <v>405</v>
      </c>
      <c r="C82" s="64"/>
    </row>
    <row r="83" spans="2:9">
      <c r="C83" s="94" t="s">
        <v>406</v>
      </c>
    </row>
    <row r="84" spans="2:9" ht="19.5">
      <c r="E84" s="96" t="s">
        <v>440</v>
      </c>
      <c r="F84" s="70">
        <v>1</v>
      </c>
      <c r="H84" s="31"/>
      <c r="I84" s="95" t="s">
        <v>445</v>
      </c>
    </row>
    <row r="85" spans="2:9" ht="19.5">
      <c r="C85" s="64"/>
      <c r="E85" s="96" t="s">
        <v>441</v>
      </c>
      <c r="F85" s="23">
        <v>0.88</v>
      </c>
      <c r="I85" s="95" t="s">
        <v>446</v>
      </c>
    </row>
    <row r="86" spans="2:9">
      <c r="E86" s="96" t="s">
        <v>245</v>
      </c>
      <c r="F86" s="46">
        <v>10</v>
      </c>
      <c r="G86" s="67" t="s">
        <v>438</v>
      </c>
      <c r="H86" s="31"/>
      <c r="I86" s="95" t="s">
        <v>443</v>
      </c>
    </row>
    <row r="87" spans="2:9">
      <c r="D87" s="64"/>
      <c r="E87" s="96" t="s">
        <v>407</v>
      </c>
      <c r="F87" s="70">
        <v>21.8</v>
      </c>
      <c r="G87" s="67" t="s">
        <v>438</v>
      </c>
      <c r="H87" s="31"/>
      <c r="I87" s="95" t="s">
        <v>408</v>
      </c>
    </row>
    <row r="88" spans="2:9" ht="19.5">
      <c r="E88" s="96" t="s">
        <v>447</v>
      </c>
      <c r="F88" s="70">
        <v>0.9</v>
      </c>
      <c r="G88" s="67" t="s">
        <v>439</v>
      </c>
      <c r="H88" s="31"/>
      <c r="I88" s="95" t="s">
        <v>370</v>
      </c>
    </row>
    <row r="89" spans="2:9">
      <c r="E89" s="96" t="s">
        <v>442</v>
      </c>
      <c r="F89" s="70">
        <v>9.81</v>
      </c>
      <c r="G89" s="67" t="s">
        <v>372</v>
      </c>
      <c r="H89" s="31"/>
      <c r="I89" s="95" t="s">
        <v>373</v>
      </c>
    </row>
    <row r="90" spans="2:9">
      <c r="E90" s="96" t="s">
        <v>411</v>
      </c>
      <c r="F90" s="70">
        <f>PI()</f>
        <v>3.1415926535897931</v>
      </c>
      <c r="G90" s="67"/>
      <c r="H90" s="31"/>
      <c r="I90" s="30"/>
    </row>
    <row r="91" spans="2:9">
      <c r="C91" s="94"/>
      <c r="D91" s="94" t="s">
        <v>444</v>
      </c>
    </row>
    <row r="92" spans="2:9" ht="19.5">
      <c r="E92" s="99" t="s">
        <v>463</v>
      </c>
      <c r="F92" s="70">
        <f>F90*F84*F85*F86*(F87+F84*F85*F86)*F88*F89*10^(-3)</f>
        <v>7.4690520878992066</v>
      </c>
      <c r="G92" s="58" t="s">
        <v>86</v>
      </c>
      <c r="H92" s="31" t="str">
        <f>[3]!EQS(F92,"Units= ; EqnPrefix=Valem  ; EqnNo= 0; Multiplication= 1; ShowWorking= 0; EqnStyle= 2; Eqp$H$92_2")</f>
        <v/>
      </c>
      <c r="I92" s="30" t="s">
        <v>448</v>
      </c>
    </row>
    <row r="93" spans="2:9">
      <c r="E93" s="99"/>
      <c r="F93" s="70"/>
      <c r="H93" s="31" t="str">
        <f>[3]!EQS(F92,"Units= ; EqnPrefix=Valem  ; EqnNo= 0; Multiplication= 1; ShowWorking= 1; EqnStyle= 2; Eqp$H$92_$H$93_3")</f>
        <v/>
      </c>
      <c r="I93" s="30" t="s">
        <v>746</v>
      </c>
    </row>
    <row r="94" spans="2:9" ht="19.5">
      <c r="C94" s="64"/>
      <c r="E94" s="102" t="s">
        <v>475</v>
      </c>
      <c r="F94" s="46">
        <f>2*F92</f>
        <v>14.938104175798413</v>
      </c>
      <c r="G94" s="103" t="s">
        <v>86</v>
      </c>
      <c r="H94" s="31" t="str">
        <f>[3]!EQS(F94,"Units= ; EqnPrefix=Valem  ; EqnNo= 0; Multiplication= 1; ShowWorking= 0; EqnStyle= 2; Eqp$H$92_2")</f>
        <v/>
      </c>
      <c r="I94" s="30" t="s">
        <v>469</v>
      </c>
    </row>
    <row r="95" spans="2:9">
      <c r="E95" s="66"/>
      <c r="F95" s="70"/>
      <c r="G95" s="67"/>
      <c r="H95" s="31"/>
      <c r="I95" s="30"/>
    </row>
    <row r="96" spans="2:9">
      <c r="B96" s="71" t="s">
        <v>467</v>
      </c>
      <c r="E96" s="66"/>
      <c r="F96" s="70"/>
      <c r="G96" s="67"/>
      <c r="H96" s="31"/>
      <c r="I96" s="30"/>
    </row>
    <row r="97" spans="2:14">
      <c r="D97" s="94" t="s">
        <v>468</v>
      </c>
      <c r="E97" s="66"/>
      <c r="F97" s="70"/>
      <c r="G97" s="67"/>
      <c r="H97" s="31"/>
      <c r="I97" s="30"/>
    </row>
    <row r="98" spans="2:14" ht="19.5">
      <c r="E98" s="96" t="s">
        <v>451</v>
      </c>
      <c r="F98" s="70">
        <v>50</v>
      </c>
      <c r="G98" s="67"/>
      <c r="H98" s="31" t="str">
        <f>[3]!EQS(F98,"Units= ; EqnPrefix=Valem  ; EqnNo= 0; Multiplication= 1; ShowWorking= 0; EqnStyle= 2; Eqp$H$92_2")</f>
        <v/>
      </c>
      <c r="I98" s="30"/>
    </row>
    <row r="99" spans="2:14" ht="19.5">
      <c r="E99" s="96" t="s">
        <v>452</v>
      </c>
      <c r="F99" s="70">
        <v>100</v>
      </c>
      <c r="G99" s="67"/>
      <c r="H99" s="31" t="str">
        <f>[3]!EQS(F99,"Units= ; EqnPrefix=Valem  ; EqnNo= 0; Multiplication= 1; ShowWorking= 0; EqnStyle= 2; Eqp$H$92_2")</f>
        <v/>
      </c>
      <c r="I99" s="30"/>
    </row>
    <row r="100" spans="2:14">
      <c r="E100" s="96" t="s">
        <v>54</v>
      </c>
      <c r="F100" s="70">
        <v>400</v>
      </c>
      <c r="G100" s="97" t="s">
        <v>438</v>
      </c>
      <c r="H100" s="31" t="str">
        <f>[3]!EQS(F100,"Units= ; EqnPrefix=Valem  ; EqnNo= 0; Multiplication= 1; ShowWorking= 0; EqnStyle= 2; Eqp$H$92_2")</f>
        <v/>
      </c>
      <c r="I100" s="30"/>
    </row>
    <row r="101" spans="2:14" ht="19.5">
      <c r="E101" s="96" t="s">
        <v>453</v>
      </c>
      <c r="F101" s="70">
        <f>2*PI()*F98*F100/10^6</f>
        <v>0.12566370614359174</v>
      </c>
      <c r="G101" s="97" t="s">
        <v>81</v>
      </c>
      <c r="H101" s="31" t="str">
        <f>[3]!EQS(F101,"Units= ; EqnPrefix=Valem  ; EqnNo= 0; Multiplication= 1; ShowWorking= 0; EqnStyle= 2; Eqp$H$92_2")</f>
        <v/>
      </c>
      <c r="I101" s="30" t="s">
        <v>461</v>
      </c>
    </row>
    <row r="102" spans="2:14" ht="19.5">
      <c r="E102" s="96" t="s">
        <v>454</v>
      </c>
      <c r="F102" s="70">
        <f>2*F101</f>
        <v>0.25132741228718347</v>
      </c>
      <c r="G102" s="67"/>
      <c r="H102" s="31" t="str">
        <f>[3]!EQS(F102,"Units= ; EqnPrefix=Valem  ; EqnNo= 0; Multiplication= 1; ShowWorking= 0; EqnStyle= 2; Eqp$H$92_2")</f>
        <v/>
      </c>
      <c r="I102" s="30" t="s">
        <v>462</v>
      </c>
    </row>
    <row r="103" spans="2:14" ht="19.5">
      <c r="E103" s="96" t="s">
        <v>455</v>
      </c>
      <c r="F103" s="70">
        <v>900</v>
      </c>
      <c r="G103" s="97" t="s">
        <v>410</v>
      </c>
      <c r="H103" s="31" t="str">
        <f>[3]!EQS(F103,"Units= ; EqnPrefix=Valem  ; EqnNo= 0; Multiplication= 1; ShowWorking= 0; EqnStyle= 2; Eqp$H$92_2")</f>
        <v/>
      </c>
      <c r="I103" s="30"/>
    </row>
    <row r="104" spans="2:14" ht="19.5">
      <c r="E104" s="96" t="s">
        <v>464</v>
      </c>
      <c r="F104" s="70">
        <f>F103*9.81/1000</f>
        <v>8.8290000000000006</v>
      </c>
      <c r="G104" s="97" t="s">
        <v>465</v>
      </c>
      <c r="H104" s="31"/>
      <c r="I104" s="30"/>
    </row>
    <row r="105" spans="2:14" ht="19.5">
      <c r="E105" s="96" t="s">
        <v>456</v>
      </c>
      <c r="F105" s="90">
        <f>F101*0.1</f>
        <v>1.2566370614359175E-2</v>
      </c>
      <c r="G105" s="97" t="s">
        <v>457</v>
      </c>
      <c r="H105" s="31" t="str">
        <f>[3]!EQS(F105,"Units= ; EqnPrefix=Valem  ; EqnNo= 0; Multiplication= 1; ShowWorking= 0; EqnStyle= 2; Eqp$H$92_2")</f>
        <v/>
      </c>
      <c r="I105" s="30" t="s">
        <v>460</v>
      </c>
    </row>
    <row r="106" spans="2:14" ht="19.5">
      <c r="E106" s="96" t="s">
        <v>458</v>
      </c>
      <c r="F106" s="70">
        <f>F105*F104*2</f>
        <v>0.22189697230835434</v>
      </c>
      <c r="G106" s="97" t="s">
        <v>459</v>
      </c>
      <c r="H106" s="31" t="str">
        <f>[3]!EQS(F106,"Units= ; EqnPrefix=Valem  ; EqnNo= 0; Multiplication= 1; ShowWorking= 0; EqnStyle= 2; Eqp$H$92_2")</f>
        <v/>
      </c>
      <c r="I106" s="30" t="s">
        <v>466</v>
      </c>
    </row>
    <row r="107" spans="2:14">
      <c r="E107" s="96"/>
      <c r="F107" s="70"/>
      <c r="G107" s="67"/>
      <c r="H107" s="31"/>
      <c r="I107" s="30"/>
      <c r="N107" s="95"/>
    </row>
    <row r="109" spans="2:14">
      <c r="E109" s="96"/>
      <c r="F109" s="70"/>
      <c r="G109" s="67"/>
      <c r="H109" s="31"/>
      <c r="I109" s="30"/>
    </row>
    <row r="110" spans="2:14">
      <c r="B110" s="71" t="s">
        <v>449</v>
      </c>
    </row>
    <row r="111" spans="2:14">
      <c r="C111" s="94" t="s">
        <v>406</v>
      </c>
    </row>
    <row r="112" spans="2:14" ht="19.5">
      <c r="E112" s="96" t="s">
        <v>440</v>
      </c>
      <c r="F112" s="70">
        <v>1.4</v>
      </c>
      <c r="H112" s="31"/>
      <c r="I112" s="95" t="s">
        <v>445</v>
      </c>
    </row>
    <row r="113" spans="2:9" ht="19.5">
      <c r="C113" s="64"/>
      <c r="E113" s="96" t="s">
        <v>441</v>
      </c>
      <c r="F113" s="23">
        <v>0.82</v>
      </c>
      <c r="I113" s="95" t="s">
        <v>446</v>
      </c>
    </row>
    <row r="114" spans="2:9">
      <c r="E114" s="96" t="s">
        <v>245</v>
      </c>
      <c r="F114" s="46">
        <v>10</v>
      </c>
      <c r="G114" s="67" t="s">
        <v>438</v>
      </c>
      <c r="H114" s="31"/>
      <c r="I114" s="95" t="s">
        <v>443</v>
      </c>
    </row>
    <row r="115" spans="2:9">
      <c r="D115" s="64"/>
      <c r="E115" s="96" t="s">
        <v>407</v>
      </c>
      <c r="F115" s="70">
        <v>27.7</v>
      </c>
      <c r="G115" s="67" t="s">
        <v>438</v>
      </c>
      <c r="H115" s="31"/>
      <c r="I115" s="95" t="s">
        <v>471</v>
      </c>
    </row>
    <row r="116" spans="2:9" ht="19.5">
      <c r="E116" s="96" t="s">
        <v>447</v>
      </c>
      <c r="F116" s="70">
        <v>0.9</v>
      </c>
      <c r="G116" s="67" t="s">
        <v>439</v>
      </c>
      <c r="H116" s="31"/>
      <c r="I116" s="95" t="s">
        <v>370</v>
      </c>
    </row>
    <row r="117" spans="2:9">
      <c r="E117" s="96" t="s">
        <v>442</v>
      </c>
      <c r="F117" s="70">
        <v>9.81</v>
      </c>
      <c r="G117" s="67" t="s">
        <v>372</v>
      </c>
      <c r="H117" s="31"/>
      <c r="I117" s="95" t="s">
        <v>373</v>
      </c>
    </row>
    <row r="118" spans="2:9">
      <c r="E118" s="96" t="s">
        <v>411</v>
      </c>
      <c r="F118" s="70">
        <f>PI()</f>
        <v>3.1415926535897931</v>
      </c>
      <c r="G118" s="67"/>
      <c r="H118" s="31"/>
      <c r="I118" s="30"/>
    </row>
    <row r="119" spans="2:9">
      <c r="C119" s="94"/>
      <c r="D119" s="94" t="s">
        <v>444</v>
      </c>
    </row>
    <row r="120" spans="2:9" ht="19.5">
      <c r="E120" s="99" t="s">
        <v>463</v>
      </c>
      <c r="F120" s="70">
        <f>F118*F112*F113*F114*(F115+F112*F113*F114)*F116*F117*10^(-3)</f>
        <v>12.475780043184296</v>
      </c>
      <c r="G120" s="58" t="s">
        <v>86</v>
      </c>
      <c r="H120" s="31" t="str">
        <f>[3]!EQS(F120,"Units= ; EqnPrefix=Valem  ; EqnNo= 0; Multiplication= 1; ShowWorking= 0; EqnStyle= 2; Eqp$H$92_2")</f>
        <v/>
      </c>
      <c r="I120" s="30" t="s">
        <v>448</v>
      </c>
    </row>
    <row r="121" spans="2:9">
      <c r="E121" s="99"/>
      <c r="F121" s="70"/>
      <c r="H121" s="31" t="str">
        <f>[3]!EQS(F120,"Units= ; EqnPrefix=Valem  ; EqnNo= 0; Multiplication= 1; ShowWorking= 1; EqnStyle= 2; Eqp$H$92_$H$121_3")</f>
        <v/>
      </c>
      <c r="I121" s="30" t="s">
        <v>747</v>
      </c>
    </row>
    <row r="122" spans="2:9" ht="19.5">
      <c r="C122" s="64"/>
      <c r="E122" s="102" t="s">
        <v>474</v>
      </c>
      <c r="F122" s="46">
        <f>3*F120</f>
        <v>37.427340129552888</v>
      </c>
      <c r="G122" s="103" t="s">
        <v>86</v>
      </c>
      <c r="H122" s="31" t="str">
        <f>[3]!EQS(F122,"Units= ; EqnPrefix=Valem  ; EqnNo= 0; Multiplication= 1; ShowWorking= 0; EqnStyle= 2; Eqp$H$92_2")</f>
        <v/>
      </c>
      <c r="I122" s="30" t="s">
        <v>470</v>
      </c>
    </row>
    <row r="123" spans="2:9">
      <c r="E123" s="78"/>
      <c r="F123" s="81"/>
      <c r="H123" s="31"/>
      <c r="I123" s="30"/>
    </row>
    <row r="124" spans="2:9">
      <c r="B124" s="71" t="s">
        <v>450</v>
      </c>
    </row>
    <row r="125" spans="2:9">
      <c r="C125" s="94" t="s">
        <v>406</v>
      </c>
    </row>
    <row r="126" spans="2:9" ht="19.5">
      <c r="E126" s="96" t="s">
        <v>440</v>
      </c>
      <c r="F126" s="70">
        <v>1.5</v>
      </c>
      <c r="H126" s="31"/>
      <c r="I126" s="95" t="s">
        <v>445</v>
      </c>
    </row>
    <row r="127" spans="2:9" ht="19.5">
      <c r="C127" s="64"/>
      <c r="E127" s="96" t="s">
        <v>441</v>
      </c>
      <c r="F127" s="23">
        <v>0.96</v>
      </c>
      <c r="I127" s="95" t="s">
        <v>446</v>
      </c>
    </row>
    <row r="128" spans="2:9">
      <c r="E128" s="96" t="s">
        <v>245</v>
      </c>
      <c r="F128" s="104">
        <v>10</v>
      </c>
      <c r="G128" s="67" t="s">
        <v>438</v>
      </c>
      <c r="H128" s="31"/>
      <c r="I128" s="95" t="s">
        <v>443</v>
      </c>
    </row>
    <row r="129" spans="3:9">
      <c r="D129" s="64"/>
      <c r="E129" s="96" t="s">
        <v>407</v>
      </c>
      <c r="F129" s="105">
        <v>16</v>
      </c>
      <c r="G129" s="67" t="s">
        <v>438</v>
      </c>
      <c r="H129" s="31"/>
      <c r="I129" s="95" t="s">
        <v>472</v>
      </c>
    </row>
    <row r="130" spans="3:9" ht="19.5">
      <c r="E130" s="96" t="s">
        <v>447</v>
      </c>
      <c r="F130" s="70">
        <v>0.9</v>
      </c>
      <c r="G130" s="67" t="s">
        <v>439</v>
      </c>
      <c r="H130" s="31"/>
      <c r="I130" s="95" t="s">
        <v>370</v>
      </c>
    </row>
    <row r="131" spans="3:9">
      <c r="E131" s="96" t="s">
        <v>442</v>
      </c>
      <c r="F131" s="70">
        <v>9.81</v>
      </c>
      <c r="G131" s="67" t="s">
        <v>372</v>
      </c>
      <c r="H131" s="31"/>
      <c r="I131" s="95" t="s">
        <v>373</v>
      </c>
    </row>
    <row r="132" spans="3:9">
      <c r="E132" s="96" t="s">
        <v>411</v>
      </c>
      <c r="F132" s="70">
        <f>PI()</f>
        <v>3.1415926535897931</v>
      </c>
      <c r="G132" s="67"/>
      <c r="H132" s="31"/>
      <c r="I132" s="30"/>
    </row>
    <row r="133" spans="3:9">
      <c r="C133" s="94"/>
      <c r="D133" s="94" t="s">
        <v>444</v>
      </c>
    </row>
    <row r="134" spans="3:9" ht="19.5">
      <c r="E134" s="99" t="s">
        <v>473</v>
      </c>
      <c r="F134" s="70">
        <f>F132*F126*F127*F128*(F129+F126*F127*F128)*F130*F131*10^(-3)</f>
        <v>12.142202324713148</v>
      </c>
      <c r="G134" s="58" t="s">
        <v>86</v>
      </c>
      <c r="H134" s="31" t="str">
        <f>[3]!EQS(F134,"Units= ; EqnPrefix=Valem  ; EqnNo= 0; Multiplication= 1; ShowWorking= 0; EqnStyle= 2; Eqp$H$92_2")</f>
        <v/>
      </c>
      <c r="I134" s="30" t="s">
        <v>448</v>
      </c>
    </row>
    <row r="135" spans="3:9">
      <c r="C135" s="64"/>
      <c r="E135" s="102"/>
      <c r="F135" s="46"/>
      <c r="G135" s="103"/>
      <c r="H135" s="31" t="str">
        <f>[3]!EQS(F134,"Units= ; EqnPrefix=Valem  ; EqnNo= 0; Multiplication= 1; ShowWorking= 1; EqnStyle= 2; Eqp$H$92_$H$133_3")</f>
        <v/>
      </c>
      <c r="I135" s="30" t="s">
        <v>476</v>
      </c>
    </row>
    <row r="136" spans="3:9">
      <c r="E136" s="66"/>
      <c r="F136" s="70"/>
      <c r="G136" s="67"/>
      <c r="H136" s="31"/>
      <c r="I136" s="30"/>
    </row>
    <row r="138" spans="3:9">
      <c r="C138" s="64"/>
    </row>
    <row r="139" spans="3:9">
      <c r="E139" s="78"/>
      <c r="F139" s="70"/>
      <c r="G139" s="67"/>
    </row>
    <row r="141" spans="3:9">
      <c r="C141" s="64"/>
    </row>
    <row r="142" spans="3:9">
      <c r="E142" s="78"/>
      <c r="F142" s="70"/>
      <c r="H142" s="31"/>
      <c r="I142" s="30"/>
    </row>
    <row r="143" spans="3:9">
      <c r="C143" s="64"/>
    </row>
    <row r="144" spans="3:9">
      <c r="E144" s="78"/>
      <c r="F144" s="46"/>
      <c r="G144" s="67"/>
      <c r="H144" s="31"/>
      <c r="I144" s="30"/>
    </row>
    <row r="145" spans="3:9">
      <c r="D145" s="64"/>
      <c r="E145" s="66"/>
      <c r="F145" s="70"/>
      <c r="G145" s="67"/>
      <c r="H145" s="31"/>
      <c r="I145" s="30"/>
    </row>
    <row r="146" spans="3:9">
      <c r="E146" s="78"/>
      <c r="F146" s="70"/>
      <c r="G146" s="67"/>
      <c r="H146" s="31"/>
      <c r="I146" s="30"/>
    </row>
    <row r="147" spans="3:9">
      <c r="E147" s="78"/>
      <c r="F147" s="70"/>
      <c r="G147" s="67"/>
      <c r="H147" s="31"/>
      <c r="I147" s="30"/>
    </row>
    <row r="148" spans="3:9">
      <c r="C148" s="64"/>
    </row>
    <row r="149" spans="3:9">
      <c r="E149" s="78"/>
      <c r="F149" s="70"/>
      <c r="H149" s="31"/>
      <c r="I149" s="30"/>
    </row>
    <row r="150" spans="3:9">
      <c r="C150" s="64"/>
    </row>
    <row r="151" spans="3:9">
      <c r="E151" s="78"/>
      <c r="F151" s="46"/>
      <c r="G151" s="67"/>
      <c r="H151" s="31"/>
      <c r="I151" s="30"/>
    </row>
    <row r="152" spans="3:9">
      <c r="D152" s="64"/>
      <c r="E152" s="66"/>
      <c r="F152" s="70"/>
      <c r="G152" s="67"/>
      <c r="H152" s="31"/>
      <c r="I152" s="30"/>
    </row>
    <row r="153" spans="3:9">
      <c r="E153" s="78"/>
      <c r="F153" s="70"/>
      <c r="G153" s="67"/>
      <c r="H153" s="31"/>
      <c r="I153" s="30"/>
    </row>
    <row r="154" spans="3:9">
      <c r="E154" s="78"/>
      <c r="F154" s="70"/>
      <c r="G154" s="67"/>
      <c r="H154" s="31"/>
      <c r="I154" s="30"/>
    </row>
    <row r="155" spans="3:9">
      <c r="E155" s="66"/>
      <c r="F155" s="70"/>
      <c r="G155" s="67"/>
      <c r="H155" s="31"/>
      <c r="I155" s="30"/>
    </row>
  </sheetData>
  <mergeCells count="1">
    <mergeCell ref="A2:R2"/>
  </mergeCells>
  <pageMargins left="0.7" right="0.48958333333333331" top="0.75" bottom="0.75" header="0.3" footer="0.3"/>
  <pageSetup paperSize="9" orientation="portrait" horizontalDpi="300" verticalDpi="300" r:id="rId1"/>
  <cellWatches>
    <cellWatch r="F92"/>
  </cellWatche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2:Q361"/>
  <sheetViews>
    <sheetView workbookViewId="0">
      <selection activeCell="A31" sqref="A31"/>
    </sheetView>
  </sheetViews>
  <sheetFormatPr defaultColWidth="5.5" defaultRowHeight="16.5" customHeight="1" outlineLevelRow="1"/>
  <cols>
    <col min="1" max="1" width="2.875" style="122" customWidth="1"/>
    <col min="2" max="2" width="2.875" style="121" customWidth="1"/>
    <col min="3" max="3" width="2.875" customWidth="1"/>
    <col min="6" max="6" width="8" customWidth="1"/>
    <col min="8" max="8" width="1.75" customWidth="1"/>
  </cols>
  <sheetData>
    <row r="2" spans="1:1" ht="16.5" customHeight="1">
      <c r="A2" s="122" t="s">
        <v>587</v>
      </c>
    </row>
    <row r="24" spans="1:10" s="23" customFormat="1" ht="20.25">
      <c r="A24" s="123"/>
      <c r="B24" s="71" t="s">
        <v>580</v>
      </c>
      <c r="C24" s="35"/>
      <c r="D24" s="35"/>
      <c r="E24" s="66"/>
      <c r="F24" s="70"/>
      <c r="G24" s="67"/>
      <c r="H24" s="31"/>
      <c r="I24" s="30"/>
    </row>
    <row r="25" spans="1:10" s="23" customFormat="1" ht="20.25">
      <c r="A25" s="123"/>
      <c r="B25" s="71"/>
      <c r="C25" s="36" t="s">
        <v>412</v>
      </c>
      <c r="D25" s="35"/>
      <c r="E25" s="66"/>
      <c r="F25" s="70"/>
      <c r="G25" s="67"/>
      <c r="H25" s="31"/>
      <c r="I25" s="30"/>
    </row>
    <row r="26" spans="1:10" s="23" customFormat="1" ht="20.25">
      <c r="A26" s="123"/>
      <c r="B26" s="71"/>
      <c r="C26" s="94"/>
      <c r="D26" s="94" t="s">
        <v>419</v>
      </c>
      <c r="E26" s="66"/>
      <c r="F26" s="70"/>
      <c r="G26" s="67"/>
      <c r="H26" s="31"/>
      <c r="I26" s="30"/>
    </row>
    <row r="27" spans="1:10" s="23" customFormat="1" ht="21">
      <c r="A27" s="123"/>
      <c r="B27" s="71"/>
      <c r="C27" s="94"/>
      <c r="D27" s="35"/>
      <c r="E27" s="96" t="s">
        <v>420</v>
      </c>
      <c r="F27" s="117">
        <f>Jäitekoormus!F92</f>
        <v>7.4690520878992066</v>
      </c>
      <c r="G27" s="97" t="s">
        <v>86</v>
      </c>
      <c r="H27" s="31"/>
      <c r="J27" s="95" t="s">
        <v>423</v>
      </c>
    </row>
    <row r="28" spans="1:10" s="23" customFormat="1" ht="20.25">
      <c r="A28" s="123"/>
      <c r="B28" s="71"/>
      <c r="C28" s="94"/>
      <c r="D28" s="35"/>
      <c r="E28" s="96" t="s">
        <v>407</v>
      </c>
      <c r="F28" s="118">
        <v>2.18E-2</v>
      </c>
      <c r="G28" s="97" t="s">
        <v>51</v>
      </c>
      <c r="H28" s="31"/>
      <c r="J28" s="95" t="s">
        <v>408</v>
      </c>
    </row>
    <row r="29" spans="1:10" s="23" customFormat="1" ht="20.25">
      <c r="A29" s="123"/>
      <c r="B29" s="71"/>
      <c r="C29" s="94"/>
      <c r="D29" s="35"/>
      <c r="E29" s="96" t="s">
        <v>371</v>
      </c>
      <c r="F29" s="70">
        <v>9.81</v>
      </c>
      <c r="G29" s="97" t="s">
        <v>372</v>
      </c>
      <c r="H29" s="31"/>
      <c r="J29" s="95" t="s">
        <v>373</v>
      </c>
    </row>
    <row r="30" spans="1:10" s="23" customFormat="1" ht="20.25">
      <c r="A30" s="123"/>
      <c r="B30" s="71"/>
      <c r="C30" s="94"/>
      <c r="D30" s="35"/>
      <c r="E30" s="96" t="s">
        <v>411</v>
      </c>
      <c r="F30" s="23">
        <v>3.1415999999999999</v>
      </c>
      <c r="G30" s="58"/>
    </row>
    <row r="31" spans="1:10" s="23" customFormat="1" ht="21">
      <c r="A31" s="123"/>
      <c r="B31" s="71"/>
      <c r="C31" s="94"/>
      <c r="D31" s="35"/>
      <c r="E31" s="96" t="s">
        <v>409</v>
      </c>
      <c r="F31" s="70">
        <v>900</v>
      </c>
      <c r="G31" s="97" t="s">
        <v>369</v>
      </c>
      <c r="H31" s="31"/>
      <c r="I31" s="30"/>
      <c r="J31" s="95" t="s">
        <v>370</v>
      </c>
    </row>
    <row r="32" spans="1:10" s="23" customFormat="1" ht="20.25">
      <c r="A32" s="123"/>
      <c r="B32" s="71"/>
      <c r="C32" s="94"/>
      <c r="D32" s="35"/>
      <c r="E32" s="96" t="s">
        <v>427</v>
      </c>
      <c r="F32" s="117">
        <f>'TUULEKOORMUS 1'!F279*'TUULEKOORMUS 1'!F282*'TUULEKOORMUS 1'!F287*1.2</f>
        <v>720.05845652879236</v>
      </c>
      <c r="G32" s="97" t="s">
        <v>76</v>
      </c>
      <c r="H32" s="31"/>
      <c r="I32" s="30"/>
      <c r="J32" s="95" t="s">
        <v>426</v>
      </c>
    </row>
    <row r="33" spans="1:10" s="23" customFormat="1" ht="20.25">
      <c r="A33" s="123"/>
      <c r="B33" s="71"/>
      <c r="C33" s="94"/>
      <c r="D33" s="35"/>
      <c r="E33" s="114" t="s">
        <v>481</v>
      </c>
      <c r="F33" s="117">
        <v>2</v>
      </c>
      <c r="G33" s="97"/>
      <c r="H33" s="31"/>
      <c r="I33" s="30"/>
      <c r="J33" s="120" t="s">
        <v>585</v>
      </c>
    </row>
    <row r="34" spans="1:10" s="23" customFormat="1" ht="20.25">
      <c r="A34" s="123"/>
      <c r="B34" s="71"/>
      <c r="C34" s="94"/>
      <c r="D34" s="35"/>
      <c r="E34" s="66"/>
      <c r="G34" s="67"/>
      <c r="H34" s="31"/>
      <c r="I34" s="30"/>
    </row>
    <row r="35" spans="1:10" s="23" customFormat="1" ht="20.25">
      <c r="A35" s="123"/>
      <c r="B35" s="71"/>
      <c r="C35" s="35"/>
      <c r="D35" s="36" t="s">
        <v>413</v>
      </c>
      <c r="E35" s="66"/>
      <c r="F35" s="70"/>
      <c r="G35" s="67"/>
      <c r="H35" s="31"/>
      <c r="I35" s="30"/>
    </row>
    <row r="36" spans="1:10" s="23" customFormat="1" ht="21">
      <c r="A36" s="123"/>
      <c r="B36" s="71"/>
      <c r="C36" s="35"/>
      <c r="D36" s="94"/>
      <c r="E36" s="96" t="s">
        <v>422</v>
      </c>
      <c r="F36" s="70">
        <f>1.5</f>
        <v>1.5</v>
      </c>
      <c r="G36" s="67"/>
      <c r="H36" s="31"/>
      <c r="I36" s="30"/>
    </row>
    <row r="37" spans="1:10" s="23" customFormat="1" ht="21">
      <c r="A37" s="123"/>
      <c r="B37" s="71"/>
      <c r="C37" s="35"/>
      <c r="D37" s="35"/>
      <c r="E37" s="96" t="s">
        <v>415</v>
      </c>
      <c r="F37" s="70">
        <f>F36*F27</f>
        <v>11.203578131848809</v>
      </c>
      <c r="G37" s="97" t="s">
        <v>86</v>
      </c>
      <c r="H37" s="31"/>
      <c r="I37" s="30"/>
    </row>
    <row r="38" spans="1:10" s="23" customFormat="1" ht="20.25">
      <c r="A38" s="123"/>
      <c r="B38" s="71"/>
      <c r="C38" s="35"/>
      <c r="D38" s="95" t="s">
        <v>424</v>
      </c>
      <c r="E38" s="96"/>
      <c r="F38" s="70"/>
      <c r="G38" s="97"/>
      <c r="H38" s="31"/>
      <c r="I38" s="30"/>
    </row>
    <row r="39" spans="1:10" s="23" customFormat="1" ht="21">
      <c r="A39" s="123"/>
      <c r="B39" s="71"/>
      <c r="C39" s="35"/>
      <c r="D39" s="35"/>
      <c r="E39" s="96" t="s">
        <v>418</v>
      </c>
      <c r="F39" s="90">
        <f>SQRT(F28^2+((4*F37)/(F29*F30*F31)))</f>
        <v>4.572653739182729E-2</v>
      </c>
      <c r="G39" s="97" t="s">
        <v>51</v>
      </c>
      <c r="H39" s="31" t="str">
        <f>[3]!EQS(F39,"Units= ; EqnPrefix=Valem  ; EqnNo= 0; Multiplication= 1; ShowWorking= 0; EqnStyle= 2; Eqp$H$303_2")</f>
        <v/>
      </c>
      <c r="I39" s="30" t="s">
        <v>669</v>
      </c>
    </row>
    <row r="40" spans="1:10" s="23" customFormat="1" ht="20.25">
      <c r="A40" s="123"/>
      <c r="B40" s="71"/>
      <c r="C40" s="35"/>
      <c r="D40" s="35"/>
      <c r="E40" s="96"/>
      <c r="F40" s="90"/>
      <c r="G40" s="97"/>
      <c r="H40" s="31" t="str">
        <f>[3]!EQS(F39,"Units= ; EqnPrefix=Valem  ; EqnNo= 0; Multiplication= 1; ShowWorking= 1; EqnStyle= 2; Eqp$H$303_$H$40_3")</f>
        <v/>
      </c>
      <c r="I40" s="30" t="s">
        <v>748</v>
      </c>
    </row>
    <row r="41" spans="1:10" s="23" customFormat="1" ht="20.25">
      <c r="A41" s="123"/>
      <c r="B41" s="71"/>
      <c r="C41" s="35"/>
      <c r="D41" s="95" t="s">
        <v>425</v>
      </c>
      <c r="E41" s="96"/>
      <c r="F41" s="90"/>
      <c r="G41" s="97"/>
      <c r="H41" s="31"/>
      <c r="I41" s="30"/>
    </row>
    <row r="42" spans="1:10" s="23" customFormat="1" ht="21">
      <c r="A42" s="123"/>
      <c r="B42" s="71"/>
      <c r="C42" s="35"/>
      <c r="D42" s="35"/>
      <c r="E42" s="96" t="s">
        <v>433</v>
      </c>
      <c r="F42" s="70">
        <f>F32*F39</f>
        <v>32.925779936765267</v>
      </c>
      <c r="G42" s="97" t="s">
        <v>86</v>
      </c>
      <c r="H42" s="31" t="str">
        <f>[3]!EQS(F42,"Units= ; EqnPrefix=Valem  ; EqnNo= 0; Multiplication= 1; ShowWorking= 0; EqnStyle= 2; Eqp$H$303_2")</f>
        <v/>
      </c>
      <c r="I42" s="30" t="s">
        <v>670</v>
      </c>
    </row>
    <row r="43" spans="1:10" s="23" customFormat="1" ht="20.25">
      <c r="A43" s="123"/>
      <c r="B43" s="71"/>
      <c r="C43" s="35"/>
      <c r="D43" s="95" t="s">
        <v>430</v>
      </c>
      <c r="F43" s="70"/>
      <c r="G43" s="97"/>
      <c r="H43" s="31"/>
      <c r="I43" s="30"/>
    </row>
    <row r="44" spans="1:10" s="23" customFormat="1" ht="21">
      <c r="A44" s="123"/>
      <c r="B44" s="71"/>
      <c r="C44" s="35"/>
      <c r="D44" s="35"/>
      <c r="E44" s="96" t="s">
        <v>434</v>
      </c>
      <c r="F44" s="70">
        <f>F42*F33</f>
        <v>65.851559873530533</v>
      </c>
      <c r="G44" s="97" t="s">
        <v>86</v>
      </c>
      <c r="H44" s="31" t="str">
        <f>[3]!EQS(F44,"Units= ; EqnPrefix=Valem  ; EqnNo= 0; Multiplication= 1; ShowWorking= 0; EqnStyle= 2; Eqp$H$303_2")</f>
        <v/>
      </c>
      <c r="I44" s="98" t="s">
        <v>673</v>
      </c>
    </row>
    <row r="45" spans="1:10" s="23" customFormat="1" ht="21">
      <c r="A45" s="123"/>
      <c r="B45" s="71"/>
      <c r="C45" s="35"/>
      <c r="D45" s="35"/>
      <c r="E45" s="96" t="s">
        <v>435</v>
      </c>
      <c r="F45" s="117">
        <f>COS(RADIANS(0))^2</f>
        <v>1</v>
      </c>
      <c r="G45" s="67"/>
      <c r="H45" s="31"/>
      <c r="I45" s="95"/>
      <c r="J45" s="95" t="s">
        <v>428</v>
      </c>
    </row>
    <row r="46" spans="1:10" s="23" customFormat="1" ht="21">
      <c r="A46" s="123"/>
      <c r="B46" s="71"/>
      <c r="C46" s="36"/>
      <c r="D46" s="36"/>
      <c r="E46" s="102" t="s">
        <v>512</v>
      </c>
      <c r="F46" s="46">
        <f>F44*F45</f>
        <v>65.851559873530533</v>
      </c>
      <c r="G46" s="67"/>
      <c r="H46" s="31"/>
      <c r="I46" s="95"/>
      <c r="J46" s="95" t="s">
        <v>431</v>
      </c>
    </row>
    <row r="47" spans="1:10" s="23" customFormat="1" ht="21">
      <c r="A47" s="123"/>
      <c r="B47" s="71"/>
      <c r="C47" s="35"/>
      <c r="D47" s="35"/>
      <c r="E47" s="96" t="s">
        <v>436</v>
      </c>
      <c r="F47" s="117">
        <f>COS(RADIANS(8))^2</f>
        <v>0.98063084796915956</v>
      </c>
      <c r="G47" s="67"/>
      <c r="H47" s="31"/>
      <c r="I47" s="95"/>
      <c r="J47" s="95" t="s">
        <v>429</v>
      </c>
    </row>
    <row r="48" spans="1:10" s="23" customFormat="1" ht="21">
      <c r="A48" s="123"/>
      <c r="B48" s="71"/>
      <c r="C48" s="35"/>
      <c r="D48" s="35"/>
      <c r="E48" s="102" t="s">
        <v>513</v>
      </c>
      <c r="F48" s="46">
        <f>F47*F44</f>
        <v>64.576070998872126</v>
      </c>
      <c r="G48" s="67"/>
      <c r="H48" s="31"/>
      <c r="I48" s="95"/>
      <c r="J48" s="95" t="s">
        <v>432</v>
      </c>
    </row>
    <row r="49" spans="1:10" s="23" customFormat="1" ht="20.25">
      <c r="A49" s="123"/>
      <c r="B49" s="71"/>
      <c r="C49" s="35"/>
      <c r="D49" s="35"/>
      <c r="E49" s="96"/>
      <c r="F49" s="70"/>
      <c r="G49" s="67"/>
      <c r="H49" s="31"/>
      <c r="I49" s="95"/>
    </row>
    <row r="50" spans="1:10" s="23" customFormat="1" ht="20.25">
      <c r="A50" s="123"/>
      <c r="B50" s="71"/>
      <c r="C50" s="35"/>
      <c r="D50" s="35"/>
      <c r="E50" s="66"/>
      <c r="F50" s="70"/>
      <c r="G50" s="67"/>
      <c r="H50" s="31"/>
      <c r="I50" s="30"/>
    </row>
    <row r="51" spans="1:10" s="23" customFormat="1" ht="20.25">
      <c r="A51" s="123"/>
      <c r="B51" s="71"/>
      <c r="C51" s="35"/>
      <c r="D51" s="36" t="s">
        <v>414</v>
      </c>
      <c r="E51" s="66"/>
      <c r="F51" s="70"/>
      <c r="G51" s="67"/>
      <c r="H51" s="31"/>
      <c r="I51" s="30"/>
    </row>
    <row r="52" spans="1:10" s="23" customFormat="1" ht="21">
      <c r="A52" s="123"/>
      <c r="B52" s="71"/>
      <c r="C52" s="35"/>
      <c r="D52" s="94"/>
      <c r="E52" s="96" t="s">
        <v>421</v>
      </c>
      <c r="F52" s="70">
        <v>0.35</v>
      </c>
      <c r="G52" s="67"/>
      <c r="H52" s="31"/>
      <c r="I52" s="30"/>
    </row>
    <row r="53" spans="1:10" s="23" customFormat="1" ht="21">
      <c r="A53" s="123"/>
      <c r="B53" s="71"/>
      <c r="C53" s="35"/>
      <c r="D53" s="94"/>
      <c r="E53" s="96" t="s">
        <v>416</v>
      </c>
      <c r="F53" s="70">
        <f>F52*F27</f>
        <v>2.6141682307647223</v>
      </c>
      <c r="G53" s="97" t="s">
        <v>86</v>
      </c>
      <c r="H53" s="31" t="str">
        <f>[3]!EQS(F53,"Units= ; EqnPrefix=Valem  ; EqnNo= 0; Multiplication= 1; ShowWorking= 0; EqnStyle= 2; Eqp$H$53_2")</f>
        <v/>
      </c>
      <c r="I53" s="30" t="s">
        <v>749</v>
      </c>
    </row>
    <row r="54" spans="1:10" s="23" customFormat="1" ht="21">
      <c r="A54" s="123"/>
      <c r="B54" s="71"/>
      <c r="C54" s="35"/>
      <c r="D54" s="94"/>
      <c r="E54" s="96" t="s">
        <v>417</v>
      </c>
      <c r="F54" s="90">
        <f>SQRT(F28^2+(4*F53)/(F29*F30*F31))</f>
        <v>2.9192997763689416E-2</v>
      </c>
      <c r="G54" s="97" t="s">
        <v>51</v>
      </c>
      <c r="H54" s="31" t="str">
        <f>[3]!EQS(F54,"Units= ; EqnPrefix=Valem  ; EqnNo= 0; Multiplication= 1; ShowWorking= 0; EqnStyle= 2; Eqp$H$53_2")</f>
        <v/>
      </c>
      <c r="I54" s="30" t="s">
        <v>750</v>
      </c>
    </row>
    <row r="55" spans="1:10" s="23" customFormat="1" ht="20.25">
      <c r="A55" s="123"/>
      <c r="B55" s="71"/>
      <c r="C55" s="35"/>
      <c r="D55" s="95" t="s">
        <v>425</v>
      </c>
      <c r="E55" s="96"/>
      <c r="F55" s="90"/>
      <c r="G55" s="97"/>
      <c r="H55" s="31"/>
      <c r="I55" s="30"/>
    </row>
    <row r="56" spans="1:10" s="23" customFormat="1" ht="21">
      <c r="A56" s="123"/>
      <c r="B56" s="71"/>
      <c r="C56" s="35"/>
      <c r="D56" s="35"/>
      <c r="E56" s="96" t="s">
        <v>433</v>
      </c>
      <c r="F56" s="70">
        <f>F32*F54</f>
        <v>21.020664911170687</v>
      </c>
      <c r="G56" s="97" t="s">
        <v>86</v>
      </c>
      <c r="H56" s="31" t="str">
        <f>[3]!EQS(F56,"Units= ; EqnPrefix=Valem  ; EqnNo= 0; Multiplication= 1; ShowWorking= 0; EqnStyle= 2; Eqp$H$303_2")</f>
        <v/>
      </c>
      <c r="I56" s="30" t="s">
        <v>671</v>
      </c>
    </row>
    <row r="57" spans="1:10" s="23" customFormat="1" ht="20.25">
      <c r="A57" s="123"/>
      <c r="B57" s="71"/>
      <c r="C57" s="35"/>
      <c r="D57" s="95" t="s">
        <v>430</v>
      </c>
      <c r="F57" s="70"/>
      <c r="G57" s="97"/>
      <c r="H57" s="31"/>
      <c r="I57" s="30"/>
    </row>
    <row r="58" spans="1:10" s="23" customFormat="1" ht="21">
      <c r="A58" s="123"/>
      <c r="B58" s="71"/>
      <c r="C58" s="35"/>
      <c r="D58" s="35"/>
      <c r="E58" s="96" t="s">
        <v>434</v>
      </c>
      <c r="F58" s="70">
        <f>F56*F33</f>
        <v>42.041329822341375</v>
      </c>
      <c r="G58" s="97" t="s">
        <v>86</v>
      </c>
      <c r="H58" s="31" t="str">
        <f>[3]!EQS(F58,"Units= ; EqnPrefix=Valem  ; EqnNo= 0; Multiplication= 1; ShowWorking= 0; EqnStyle= 2; Eqp$H$303_2")</f>
        <v/>
      </c>
      <c r="I58" s="98" t="s">
        <v>673</v>
      </c>
    </row>
    <row r="59" spans="1:10" s="23" customFormat="1" ht="21">
      <c r="A59" s="123"/>
      <c r="B59" s="71"/>
      <c r="C59" s="35"/>
      <c r="D59" s="35"/>
      <c r="E59" s="96" t="s">
        <v>435</v>
      </c>
      <c r="F59" s="117">
        <f>COS(RADIANS(0))^2</f>
        <v>1</v>
      </c>
      <c r="G59" s="97"/>
      <c r="H59" s="31"/>
      <c r="I59" s="95"/>
      <c r="J59" s="95" t="s">
        <v>428</v>
      </c>
    </row>
    <row r="60" spans="1:10" s="23" customFormat="1" ht="21">
      <c r="A60" s="123"/>
      <c r="B60" s="71"/>
      <c r="C60" s="35"/>
      <c r="D60" s="35"/>
      <c r="E60" s="102" t="s">
        <v>512</v>
      </c>
      <c r="F60" s="46">
        <f>F58*F59</f>
        <v>42.041329822341375</v>
      </c>
      <c r="G60" s="103" t="s">
        <v>86</v>
      </c>
      <c r="H60" s="31"/>
      <c r="I60" s="95"/>
      <c r="J60" s="95" t="s">
        <v>431</v>
      </c>
    </row>
    <row r="61" spans="1:10" s="23" customFormat="1" ht="21">
      <c r="A61" s="123"/>
      <c r="B61" s="71"/>
      <c r="C61" s="35"/>
      <c r="D61" s="35"/>
      <c r="E61" s="96" t="s">
        <v>436</v>
      </c>
      <c r="F61" s="117">
        <f>COS(RADIANS(8))^2</f>
        <v>0.98063084796915956</v>
      </c>
      <c r="G61" s="97"/>
      <c r="H61" s="31"/>
      <c r="I61" s="95"/>
      <c r="J61" s="95" t="s">
        <v>429</v>
      </c>
    </row>
    <row r="62" spans="1:10" s="23" customFormat="1" ht="21">
      <c r="A62" s="123"/>
      <c r="B62" s="71"/>
      <c r="C62" s="35"/>
      <c r="D62" s="35"/>
      <c r="E62" s="102" t="s">
        <v>513</v>
      </c>
      <c r="F62" s="46">
        <f>F61*F58</f>
        <v>41.227024913433738</v>
      </c>
      <c r="G62" s="103" t="s">
        <v>86</v>
      </c>
      <c r="H62" s="31"/>
      <c r="I62" s="95"/>
      <c r="J62" s="95" t="s">
        <v>432</v>
      </c>
    </row>
    <row r="63" spans="1:10" s="23" customFormat="1" ht="20.25">
      <c r="A63" s="123"/>
      <c r="B63" s="71"/>
      <c r="C63" s="35"/>
      <c r="D63" s="94"/>
      <c r="E63" s="96"/>
      <c r="F63" s="70"/>
      <c r="G63" s="67"/>
      <c r="H63" s="31"/>
      <c r="I63" s="30"/>
    </row>
    <row r="64" spans="1:10" s="23" customFormat="1" ht="20.25">
      <c r="A64" s="123"/>
      <c r="B64" s="71" t="s">
        <v>584</v>
      </c>
      <c r="C64" s="35"/>
      <c r="D64" s="35"/>
      <c r="E64" s="66"/>
      <c r="F64" s="70"/>
      <c r="G64" s="67"/>
      <c r="H64" s="31"/>
      <c r="I64" s="30"/>
    </row>
    <row r="65" spans="1:10" s="23" customFormat="1" ht="20.25">
      <c r="A65" s="123"/>
      <c r="B65" s="71"/>
      <c r="C65" s="36" t="s">
        <v>412</v>
      </c>
      <c r="D65" s="35"/>
      <c r="E65" s="66"/>
      <c r="F65" s="70"/>
      <c r="G65" s="67"/>
      <c r="H65" s="31"/>
      <c r="I65" s="30"/>
    </row>
    <row r="66" spans="1:10" s="23" customFormat="1" ht="20.25">
      <c r="A66" s="123"/>
      <c r="B66" s="71"/>
      <c r="C66" s="94"/>
      <c r="D66" s="94" t="s">
        <v>419</v>
      </c>
      <c r="E66" s="66"/>
      <c r="F66" s="70"/>
      <c r="G66" s="67"/>
      <c r="H66" s="31"/>
      <c r="I66" s="30"/>
    </row>
    <row r="67" spans="1:10" s="23" customFormat="1" ht="21">
      <c r="A67" s="123"/>
      <c r="B67" s="71"/>
      <c r="C67" s="94"/>
      <c r="D67" s="35"/>
      <c r="E67" s="114" t="s">
        <v>420</v>
      </c>
      <c r="F67" s="117">
        <f>Jäitekoormus!F120</f>
        <v>12.475780043184296</v>
      </c>
      <c r="G67" s="97" t="s">
        <v>86</v>
      </c>
      <c r="H67" s="31"/>
      <c r="J67" s="95" t="s">
        <v>423</v>
      </c>
    </row>
    <row r="68" spans="1:10" s="23" customFormat="1" ht="20.25">
      <c r="A68" s="123"/>
      <c r="B68" s="71"/>
      <c r="C68" s="94"/>
      <c r="D68" s="35"/>
      <c r="E68" s="114" t="s">
        <v>581</v>
      </c>
      <c r="F68" s="118">
        <f>Jäitekoormus!F115/1000</f>
        <v>2.7699999999999999E-2</v>
      </c>
      <c r="G68" s="97" t="s">
        <v>51</v>
      </c>
      <c r="H68" s="31"/>
      <c r="J68" s="95" t="s">
        <v>408</v>
      </c>
    </row>
    <row r="69" spans="1:10" s="23" customFormat="1" ht="20.25">
      <c r="A69" s="123"/>
      <c r="B69" s="71"/>
      <c r="C69" s="94"/>
      <c r="D69" s="35"/>
      <c r="E69" s="114" t="s">
        <v>582</v>
      </c>
      <c r="F69" s="70">
        <v>9.81</v>
      </c>
      <c r="G69" s="97" t="s">
        <v>372</v>
      </c>
      <c r="H69" s="31"/>
      <c r="J69" s="95" t="s">
        <v>373</v>
      </c>
    </row>
    <row r="70" spans="1:10" s="23" customFormat="1" ht="20.25">
      <c r="A70" s="123"/>
      <c r="B70" s="71"/>
      <c r="C70" s="94"/>
      <c r="D70" s="35"/>
      <c r="E70" s="114" t="s">
        <v>583</v>
      </c>
      <c r="F70" s="23">
        <v>3.1415999999999999</v>
      </c>
      <c r="G70" s="58"/>
    </row>
    <row r="71" spans="1:10" s="23" customFormat="1" ht="21">
      <c r="A71" s="123"/>
      <c r="B71" s="71"/>
      <c r="C71" s="94"/>
      <c r="D71" s="35"/>
      <c r="E71" s="114" t="s">
        <v>409</v>
      </c>
      <c r="F71" s="70">
        <v>900</v>
      </c>
      <c r="G71" s="97" t="s">
        <v>369</v>
      </c>
      <c r="H71" s="31"/>
      <c r="I71" s="30"/>
      <c r="J71" s="95" t="s">
        <v>370</v>
      </c>
    </row>
    <row r="72" spans="1:10" s="23" customFormat="1" ht="20.25">
      <c r="A72" s="123"/>
      <c r="B72" s="71"/>
      <c r="C72" s="94"/>
      <c r="D72" s="35"/>
      <c r="E72" s="96" t="s">
        <v>427</v>
      </c>
      <c r="F72" s="117">
        <f>'TUULEKOORMUS 1'!F334*'TUULEKOORMUS 1'!F337*'TUULEKOORMUS 1'!F342*1.2</f>
        <v>750.63642571246237</v>
      </c>
      <c r="G72" s="97" t="s">
        <v>76</v>
      </c>
      <c r="H72" s="31"/>
      <c r="I72" s="30"/>
      <c r="J72" s="95" t="s">
        <v>426</v>
      </c>
    </row>
    <row r="73" spans="1:10" s="23" customFormat="1" ht="20.25">
      <c r="A73" s="123"/>
      <c r="B73" s="71"/>
      <c r="C73" s="94"/>
      <c r="D73" s="35"/>
      <c r="E73" s="114" t="s">
        <v>481</v>
      </c>
      <c r="F73" s="119">
        <v>3</v>
      </c>
      <c r="G73" s="97"/>
      <c r="H73" s="31"/>
      <c r="I73" s="30"/>
      <c r="J73" s="120" t="s">
        <v>585</v>
      </c>
    </row>
    <row r="74" spans="1:10" s="23" customFormat="1" ht="20.25">
      <c r="A74" s="123"/>
      <c r="B74" s="71"/>
      <c r="C74" s="94"/>
      <c r="D74" s="35"/>
      <c r="E74" s="66"/>
      <c r="G74" s="67"/>
      <c r="H74" s="31"/>
      <c r="I74" s="30"/>
    </row>
    <row r="75" spans="1:10" s="23" customFormat="1" ht="20.25">
      <c r="A75" s="123"/>
      <c r="B75" s="71"/>
      <c r="C75" s="35"/>
      <c r="D75" s="36" t="s">
        <v>413</v>
      </c>
      <c r="E75" s="66"/>
      <c r="F75" s="70"/>
      <c r="G75" s="67"/>
      <c r="H75" s="31"/>
      <c r="I75" s="30"/>
    </row>
    <row r="76" spans="1:10" s="23" customFormat="1" ht="21">
      <c r="A76" s="123"/>
      <c r="B76" s="71"/>
      <c r="C76" s="35"/>
      <c r="D76" s="94"/>
      <c r="E76" s="114" t="s">
        <v>422</v>
      </c>
      <c r="F76" s="70">
        <f>1.5</f>
        <v>1.5</v>
      </c>
      <c r="G76" s="67"/>
      <c r="H76" s="31"/>
      <c r="I76" s="30"/>
    </row>
    <row r="77" spans="1:10" s="23" customFormat="1" ht="21">
      <c r="A77" s="123"/>
      <c r="B77" s="71"/>
      <c r="C77" s="35"/>
      <c r="D77" s="35"/>
      <c r="E77" s="114" t="s">
        <v>415</v>
      </c>
      <c r="F77" s="70">
        <f>F76*F67</f>
        <v>18.713670064776444</v>
      </c>
      <c r="G77" s="97" t="s">
        <v>86</v>
      </c>
      <c r="H77" s="31"/>
      <c r="I77" s="30"/>
    </row>
    <row r="78" spans="1:10" s="23" customFormat="1" ht="20.25">
      <c r="A78" s="123"/>
      <c r="B78" s="71"/>
      <c r="C78" s="35"/>
      <c r="D78" s="95" t="s">
        <v>424</v>
      </c>
      <c r="E78" s="96"/>
      <c r="F78" s="70"/>
      <c r="G78" s="97"/>
      <c r="H78" s="31"/>
      <c r="I78" s="30"/>
    </row>
    <row r="79" spans="1:10" s="23" customFormat="1" ht="21">
      <c r="A79" s="123"/>
      <c r="B79" s="71"/>
      <c r="C79" s="35"/>
      <c r="D79" s="35"/>
      <c r="E79" s="114" t="s">
        <v>418</v>
      </c>
      <c r="F79" s="90">
        <f>SQRT(F68^2+((4*F77)/(F69*F70*F71)))</f>
        <v>5.8872761861808419E-2</v>
      </c>
      <c r="G79" s="97" t="s">
        <v>51</v>
      </c>
      <c r="H79" s="31" t="str">
        <f>[3]!EQS(F79,"Units= ; EqnPrefix=Valem  ; EqnNo= 0; Multiplication= 1; ShowWorking= 0; EqnStyle= 2; Eqp$H$303_2")</f>
        <v/>
      </c>
      <c r="I79" s="30" t="s">
        <v>669</v>
      </c>
    </row>
    <row r="80" spans="1:10" s="23" customFormat="1" ht="20.25">
      <c r="A80" s="123"/>
      <c r="B80" s="71"/>
      <c r="C80" s="35"/>
      <c r="D80" s="95" t="s">
        <v>425</v>
      </c>
      <c r="E80" s="96"/>
      <c r="F80" s="90"/>
      <c r="G80" s="97"/>
      <c r="H80" s="31"/>
      <c r="I80" s="30"/>
    </row>
    <row r="81" spans="1:10" s="23" customFormat="1" ht="21">
      <c r="A81" s="123"/>
      <c r="B81" s="71"/>
      <c r="C81" s="35"/>
      <c r="D81" s="35"/>
      <c r="E81" s="114" t="s">
        <v>433</v>
      </c>
      <c r="F81" s="70">
        <f>F72*F79</f>
        <v>44.192039535768842</v>
      </c>
      <c r="G81" s="97" t="s">
        <v>86</v>
      </c>
      <c r="H81" s="31" t="str">
        <f>[3]!EQS(F81,"Units= ; EqnPrefix=Valem  ; EqnNo= 0; Multiplication= 1; ShowWorking= 0; EqnStyle= 2; Eqp$H$303_2")</f>
        <v/>
      </c>
      <c r="I81" s="30" t="s">
        <v>670</v>
      </c>
    </row>
    <row r="82" spans="1:10" s="23" customFormat="1" ht="20.25">
      <c r="A82" s="123"/>
      <c r="B82" s="71"/>
      <c r="C82" s="35"/>
      <c r="D82" s="95" t="s">
        <v>430</v>
      </c>
      <c r="F82" s="70"/>
      <c r="G82" s="97"/>
      <c r="H82" s="31"/>
      <c r="I82" s="30"/>
    </row>
    <row r="83" spans="1:10" s="23" customFormat="1" ht="21">
      <c r="A83" s="123"/>
      <c r="B83" s="71"/>
      <c r="C83" s="35"/>
      <c r="D83" s="35"/>
      <c r="E83" s="114" t="s">
        <v>434</v>
      </c>
      <c r="F83" s="70">
        <f>F81*F73</f>
        <v>132.57611860730651</v>
      </c>
      <c r="G83" s="97" t="s">
        <v>86</v>
      </c>
      <c r="H83" s="31" t="str">
        <f>[3]!EQS(F83,"Units= ; EqnPrefix=Valem  ; EqnNo= 0; Multiplication= 1; ShowWorking= 0; EqnStyle= 2; Eqp$H$303_2")</f>
        <v/>
      </c>
      <c r="I83" s="98" t="s">
        <v>673</v>
      </c>
    </row>
    <row r="84" spans="1:10" s="23" customFormat="1" ht="21">
      <c r="A84" s="123"/>
      <c r="B84" s="71"/>
      <c r="C84" s="35"/>
      <c r="D84" s="35"/>
      <c r="E84" s="114" t="s">
        <v>435</v>
      </c>
      <c r="F84" s="117">
        <f>COS(RADIANS(0))^2</f>
        <v>1</v>
      </c>
      <c r="G84" s="67"/>
      <c r="H84" s="31"/>
      <c r="I84" s="95"/>
      <c r="J84" s="95" t="s">
        <v>428</v>
      </c>
    </row>
    <row r="85" spans="1:10" s="23" customFormat="1" ht="21">
      <c r="A85" s="123"/>
      <c r="B85" s="71"/>
      <c r="C85" s="36"/>
      <c r="D85" s="36"/>
      <c r="E85" s="102" t="s">
        <v>512</v>
      </c>
      <c r="F85" s="46">
        <f>F83*F84</f>
        <v>132.57611860730651</v>
      </c>
      <c r="G85" s="67"/>
      <c r="H85" s="31"/>
      <c r="I85" s="95"/>
      <c r="J85" s="95" t="s">
        <v>431</v>
      </c>
    </row>
    <row r="86" spans="1:10" s="23" customFormat="1" ht="21">
      <c r="A86" s="123"/>
      <c r="B86" s="71"/>
      <c r="C86" s="35"/>
      <c r="D86" s="35"/>
      <c r="E86" s="114" t="s">
        <v>436</v>
      </c>
      <c r="F86" s="117">
        <f>COS(RADIANS(8))^2</f>
        <v>0.98063084796915956</v>
      </c>
      <c r="G86" s="67"/>
      <c r="H86" s="31"/>
      <c r="I86" s="95"/>
      <c r="J86" s="95" t="s">
        <v>429</v>
      </c>
    </row>
    <row r="87" spans="1:10" s="23" customFormat="1" ht="21">
      <c r="A87" s="123"/>
      <c r="B87" s="71"/>
      <c r="C87" s="35"/>
      <c r="D87" s="35"/>
      <c r="E87" s="102" t="s">
        <v>513</v>
      </c>
      <c r="F87" s="46">
        <f>F86*F83</f>
        <v>130.00823161034285</v>
      </c>
      <c r="G87" s="67"/>
      <c r="H87" s="31"/>
      <c r="I87" s="95"/>
      <c r="J87" s="95" t="s">
        <v>432</v>
      </c>
    </row>
    <row r="88" spans="1:10" s="23" customFormat="1" ht="20.25">
      <c r="A88" s="123"/>
      <c r="B88" s="71"/>
      <c r="C88" s="35"/>
      <c r="D88" s="35"/>
      <c r="E88" s="96"/>
      <c r="F88" s="70"/>
      <c r="G88" s="67"/>
      <c r="H88" s="31"/>
      <c r="I88" s="95"/>
    </row>
    <row r="89" spans="1:10" s="23" customFormat="1" ht="20.25">
      <c r="A89" s="123"/>
      <c r="B89" s="71"/>
      <c r="C89" s="35"/>
      <c r="D89" s="35"/>
      <c r="E89" s="66"/>
      <c r="F89" s="70"/>
      <c r="G89" s="67"/>
      <c r="H89" s="31"/>
      <c r="I89" s="30"/>
    </row>
    <row r="90" spans="1:10" s="23" customFormat="1" ht="20.25">
      <c r="A90" s="123"/>
      <c r="B90" s="71"/>
      <c r="C90" s="35"/>
      <c r="D90" s="36" t="s">
        <v>414</v>
      </c>
      <c r="E90" s="66"/>
      <c r="F90" s="70"/>
      <c r="G90" s="67"/>
      <c r="H90" s="31"/>
      <c r="I90" s="30"/>
    </row>
    <row r="91" spans="1:10" s="23" customFormat="1" ht="21">
      <c r="A91" s="123"/>
      <c r="B91" s="71"/>
      <c r="C91" s="35"/>
      <c r="D91" s="94"/>
      <c r="E91" s="114" t="s">
        <v>421</v>
      </c>
      <c r="F91" s="70">
        <v>0.35</v>
      </c>
      <c r="G91" s="67"/>
      <c r="H91" s="31"/>
      <c r="I91" s="30"/>
    </row>
    <row r="92" spans="1:10" s="23" customFormat="1" ht="21">
      <c r="A92" s="123"/>
      <c r="B92" s="71"/>
      <c r="C92" s="35"/>
      <c r="D92" s="94"/>
      <c r="E92" s="114" t="s">
        <v>416</v>
      </c>
      <c r="F92" s="70">
        <f>F91*F67</f>
        <v>4.3665230151145034</v>
      </c>
      <c r="G92" s="97" t="s">
        <v>86</v>
      </c>
      <c r="H92" s="31"/>
      <c r="I92" s="30"/>
    </row>
    <row r="93" spans="1:10" s="23" customFormat="1" ht="21">
      <c r="A93" s="123"/>
      <c r="B93" s="71"/>
      <c r="C93" s="35"/>
      <c r="D93" s="94"/>
      <c r="E93" s="114" t="s">
        <v>417</v>
      </c>
      <c r="F93" s="90">
        <f>SQRT(F68^2+(4*F92)/(F69*F70*F71))</f>
        <v>3.7376322551699502E-2</v>
      </c>
      <c r="G93" s="97" t="s">
        <v>51</v>
      </c>
      <c r="H93" s="31"/>
      <c r="I93" s="30"/>
    </row>
    <row r="94" spans="1:10" s="23" customFormat="1" ht="20.25">
      <c r="A94" s="123"/>
      <c r="B94" s="71"/>
      <c r="C94" s="35"/>
      <c r="D94" s="95" t="s">
        <v>425</v>
      </c>
      <c r="E94" s="96"/>
      <c r="F94" s="90"/>
      <c r="G94" s="97"/>
      <c r="H94" s="31"/>
      <c r="I94" s="30"/>
    </row>
    <row r="95" spans="1:10" s="23" customFormat="1" ht="21">
      <c r="A95" s="123"/>
      <c r="B95" s="71"/>
      <c r="C95" s="35"/>
      <c r="D95" s="35"/>
      <c r="E95" s="114" t="s">
        <v>433</v>
      </c>
      <c r="F95" s="70">
        <f>F72*F93</f>
        <v>28.056029166483814</v>
      </c>
      <c r="G95" s="97" t="s">
        <v>86</v>
      </c>
      <c r="H95" s="31" t="str">
        <f>[3]!EQS(F95,"Units= ; EqnPrefix=Valem  ; EqnNo= 0; Multiplication= 1; ShowWorking= 0; EqnStyle= 2; Eqp$H$303_2")</f>
        <v/>
      </c>
      <c r="I95" s="30" t="s">
        <v>671</v>
      </c>
    </row>
    <row r="96" spans="1:10" s="23" customFormat="1" ht="20.25">
      <c r="A96" s="123"/>
      <c r="B96" s="71"/>
      <c r="C96" s="35"/>
      <c r="D96" s="95" t="s">
        <v>430</v>
      </c>
      <c r="F96" s="70"/>
      <c r="G96" s="97"/>
      <c r="H96" s="31"/>
      <c r="I96" s="30"/>
    </row>
    <row r="97" spans="1:10" s="23" customFormat="1" ht="21">
      <c r="A97" s="123"/>
      <c r="B97" s="71"/>
      <c r="C97" s="35"/>
      <c r="D97" s="35"/>
      <c r="E97" s="114" t="s">
        <v>434</v>
      </c>
      <c r="F97" s="70">
        <f>F95*F73</f>
        <v>84.168087499451445</v>
      </c>
      <c r="G97" s="97" t="s">
        <v>86</v>
      </c>
      <c r="H97" s="31" t="str">
        <f>[3]!EQS(F97,"Units= ; EqnPrefix=Valem  ; EqnNo= 0; Multiplication= 1; ShowWorking= 0; EqnStyle= 2; Eqp$H$303_2")</f>
        <v/>
      </c>
      <c r="I97" s="98" t="s">
        <v>673</v>
      </c>
    </row>
    <row r="98" spans="1:10" s="23" customFormat="1" ht="21">
      <c r="A98" s="123"/>
      <c r="B98" s="71"/>
      <c r="C98" s="35"/>
      <c r="D98" s="35"/>
      <c r="E98" s="114" t="s">
        <v>435</v>
      </c>
      <c r="F98" s="117">
        <f>COS(RADIANS(0))^2</f>
        <v>1</v>
      </c>
      <c r="G98" s="97"/>
      <c r="H98" s="31"/>
      <c r="I98" s="95"/>
      <c r="J98" s="95" t="s">
        <v>428</v>
      </c>
    </row>
    <row r="99" spans="1:10" s="23" customFormat="1" ht="21">
      <c r="A99" s="123"/>
      <c r="B99" s="71"/>
      <c r="C99" s="35"/>
      <c r="D99" s="35"/>
      <c r="E99" s="102" t="s">
        <v>512</v>
      </c>
      <c r="F99" s="46">
        <f>F97*F98</f>
        <v>84.168087499451445</v>
      </c>
      <c r="G99" s="103" t="s">
        <v>86</v>
      </c>
      <c r="H99" s="31"/>
      <c r="I99" s="95"/>
      <c r="J99" s="95" t="s">
        <v>431</v>
      </c>
    </row>
    <row r="100" spans="1:10" s="23" customFormat="1" ht="21">
      <c r="A100" s="123"/>
      <c r="B100" s="71"/>
      <c r="C100" s="35"/>
      <c r="D100" s="35"/>
      <c r="E100" s="114" t="s">
        <v>436</v>
      </c>
      <c r="F100" s="117">
        <f>COS(RADIANS(8))^2</f>
        <v>0.98063084796915956</v>
      </c>
      <c r="G100" s="97"/>
      <c r="H100" s="31"/>
      <c r="I100" s="95"/>
      <c r="J100" s="95" t="s">
        <v>429</v>
      </c>
    </row>
    <row r="101" spans="1:10" s="23" customFormat="1" ht="21">
      <c r="A101" s="123"/>
      <c r="B101" s="71"/>
      <c r="C101" s="35"/>
      <c r="D101" s="35"/>
      <c r="E101" s="102" t="s">
        <v>513</v>
      </c>
      <c r="F101" s="46">
        <f>F100*F97</f>
        <v>82.537823016529487</v>
      </c>
      <c r="G101" s="103" t="s">
        <v>86</v>
      </c>
      <c r="H101" s="31"/>
      <c r="I101" s="95"/>
      <c r="J101" s="95" t="s">
        <v>432</v>
      </c>
    </row>
    <row r="103" spans="1:10" s="23" customFormat="1" ht="20.25">
      <c r="A103" s="123"/>
      <c r="B103" s="71" t="s">
        <v>586</v>
      </c>
      <c r="C103" s="35"/>
      <c r="D103" s="35"/>
      <c r="E103" s="66"/>
      <c r="F103" s="70"/>
      <c r="G103" s="67"/>
      <c r="H103" s="31"/>
      <c r="I103" s="30"/>
    </row>
    <row r="104" spans="1:10" s="23" customFormat="1" ht="20.25">
      <c r="A104" s="123"/>
      <c r="B104" s="71"/>
      <c r="C104" s="36" t="s">
        <v>412</v>
      </c>
      <c r="D104" s="35"/>
      <c r="E104" s="66"/>
      <c r="F104" s="70"/>
      <c r="G104" s="67"/>
      <c r="H104" s="31"/>
      <c r="I104" s="30"/>
    </row>
    <row r="105" spans="1:10" s="23" customFormat="1" ht="20.25">
      <c r="A105" s="123"/>
      <c r="B105" s="71"/>
      <c r="C105" s="94"/>
      <c r="D105" s="94" t="s">
        <v>419</v>
      </c>
      <c r="E105" s="66"/>
      <c r="F105" s="70"/>
      <c r="G105" s="67"/>
      <c r="H105" s="31"/>
      <c r="I105" s="30"/>
    </row>
    <row r="106" spans="1:10" s="23" customFormat="1" ht="21">
      <c r="A106" s="123"/>
      <c r="B106" s="71"/>
      <c r="C106" s="94"/>
      <c r="D106" s="35"/>
      <c r="E106" s="114" t="s">
        <v>420</v>
      </c>
      <c r="F106" s="117">
        <f>Jäitekoormus!F134</f>
        <v>12.142202324713148</v>
      </c>
      <c r="G106" s="97" t="s">
        <v>86</v>
      </c>
      <c r="H106" s="31"/>
      <c r="J106" s="95" t="s">
        <v>423</v>
      </c>
    </row>
    <row r="107" spans="1:10" s="23" customFormat="1" ht="20.25">
      <c r="A107" s="123"/>
      <c r="B107" s="71"/>
      <c r="C107" s="94"/>
      <c r="D107" s="35"/>
      <c r="E107" s="114" t="s">
        <v>581</v>
      </c>
      <c r="F107" s="118">
        <f>Jäitekoormus!F129/1000</f>
        <v>1.6E-2</v>
      </c>
      <c r="G107" s="97" t="s">
        <v>51</v>
      </c>
      <c r="H107" s="31"/>
      <c r="J107" s="95" t="s">
        <v>408</v>
      </c>
    </row>
    <row r="108" spans="1:10" s="23" customFormat="1" ht="20.25">
      <c r="A108" s="123"/>
      <c r="B108" s="71"/>
      <c r="C108" s="94"/>
      <c r="D108" s="35"/>
      <c r="E108" s="114" t="s">
        <v>582</v>
      </c>
      <c r="F108" s="70">
        <v>9.81</v>
      </c>
      <c r="G108" s="97" t="s">
        <v>372</v>
      </c>
      <c r="H108" s="31"/>
      <c r="J108" s="95" t="s">
        <v>373</v>
      </c>
    </row>
    <row r="109" spans="1:10" s="23" customFormat="1" ht="20.25">
      <c r="A109" s="123"/>
      <c r="B109" s="71"/>
      <c r="C109" s="94"/>
      <c r="D109" s="35"/>
      <c r="E109" s="114" t="s">
        <v>583</v>
      </c>
      <c r="F109" s="23">
        <v>3.1415999999999999</v>
      </c>
      <c r="G109" s="58"/>
    </row>
    <row r="110" spans="1:10" s="23" customFormat="1" ht="21">
      <c r="A110" s="123"/>
      <c r="B110" s="71"/>
      <c r="C110" s="94"/>
      <c r="D110" s="35"/>
      <c r="E110" s="114" t="s">
        <v>409</v>
      </c>
      <c r="F110" s="70">
        <v>900</v>
      </c>
      <c r="G110" s="97" t="s">
        <v>369</v>
      </c>
      <c r="H110" s="31"/>
      <c r="I110" s="30"/>
      <c r="J110" s="95" t="s">
        <v>370</v>
      </c>
    </row>
    <row r="111" spans="1:10" s="23" customFormat="1" ht="20.25">
      <c r="A111" s="123"/>
      <c r="B111" s="71"/>
      <c r="C111" s="94"/>
      <c r="D111" s="35"/>
      <c r="E111" s="96" t="s">
        <v>427</v>
      </c>
      <c r="F111" s="117">
        <f>'TUULEKOORMUS 1'!F390*'TUULEKOORMUS 1'!F393*'TUULEKOORMUS 1'!F398*1.2</f>
        <v>772.83675827785851</v>
      </c>
      <c r="G111" s="97" t="s">
        <v>76</v>
      </c>
      <c r="H111" s="31"/>
      <c r="I111" s="30"/>
      <c r="J111" s="95" t="s">
        <v>426</v>
      </c>
    </row>
    <row r="112" spans="1:10" s="23" customFormat="1" ht="20.25">
      <c r="A112" s="123"/>
      <c r="B112" s="71"/>
      <c r="C112" s="94"/>
      <c r="D112" s="35"/>
      <c r="E112" s="114" t="s">
        <v>481</v>
      </c>
      <c r="F112" s="119">
        <v>1</v>
      </c>
      <c r="G112" s="97"/>
      <c r="H112" s="31"/>
      <c r="I112" s="30"/>
      <c r="J112" s="120" t="s">
        <v>585</v>
      </c>
    </row>
    <row r="113" spans="1:10" s="23" customFormat="1" ht="20.25">
      <c r="A113" s="123"/>
      <c r="B113" s="71"/>
      <c r="C113" s="94"/>
      <c r="D113" s="35"/>
      <c r="E113" s="66"/>
      <c r="G113" s="67"/>
      <c r="H113" s="31"/>
      <c r="I113" s="30"/>
    </row>
    <row r="114" spans="1:10" s="23" customFormat="1" ht="20.25">
      <c r="A114" s="123"/>
      <c r="B114" s="71"/>
      <c r="C114" s="35"/>
      <c r="D114" s="36" t="s">
        <v>413</v>
      </c>
      <c r="E114" s="66"/>
      <c r="F114" s="70"/>
      <c r="G114" s="67"/>
      <c r="H114" s="31"/>
      <c r="I114" s="30"/>
    </row>
    <row r="115" spans="1:10" s="23" customFormat="1" ht="21">
      <c r="A115" s="123"/>
      <c r="B115" s="71"/>
      <c r="C115" s="35"/>
      <c r="D115" s="94"/>
      <c r="E115" s="114" t="s">
        <v>422</v>
      </c>
      <c r="F115" s="70">
        <f>1.5</f>
        <v>1.5</v>
      </c>
      <c r="G115" s="67"/>
      <c r="H115" s="31"/>
      <c r="I115" s="30"/>
    </row>
    <row r="116" spans="1:10" s="23" customFormat="1" ht="21">
      <c r="A116" s="123"/>
      <c r="B116" s="71"/>
      <c r="C116" s="35"/>
      <c r="D116" s="35"/>
      <c r="E116" s="114" t="s">
        <v>415</v>
      </c>
      <c r="F116" s="70">
        <f>F115*F106</f>
        <v>18.213303487069723</v>
      </c>
      <c r="G116" s="97" t="s">
        <v>86</v>
      </c>
      <c r="H116" s="31"/>
      <c r="I116" s="30"/>
    </row>
    <row r="117" spans="1:10" s="23" customFormat="1" ht="20.25">
      <c r="A117" s="123"/>
      <c r="B117" s="71"/>
      <c r="C117" s="35"/>
      <c r="D117" s="95" t="s">
        <v>424</v>
      </c>
      <c r="E117" s="96"/>
      <c r="F117" s="70"/>
      <c r="G117" s="97"/>
      <c r="H117" s="31"/>
      <c r="I117" s="30"/>
    </row>
    <row r="118" spans="1:10" s="23" customFormat="1" ht="21">
      <c r="A118" s="123"/>
      <c r="B118" s="71"/>
      <c r="C118" s="35"/>
      <c r="D118" s="35"/>
      <c r="E118" s="114" t="s">
        <v>418</v>
      </c>
      <c r="F118" s="90">
        <f>SQRT(F107^2+((4*F116)/(F108*F109*F110)))</f>
        <v>5.3689420354242401E-2</v>
      </c>
      <c r="G118" s="97" t="s">
        <v>51</v>
      </c>
      <c r="H118" s="31" t="str">
        <f>[3]!EQS(F118,"Units= ; EqnPrefix=Valem  ; EqnNo= 0; Multiplication= 1; ShowWorking= 0; EqnStyle= 2; Eqp$H$303_2")</f>
        <v/>
      </c>
      <c r="I118" s="30" t="s">
        <v>669</v>
      </c>
    </row>
    <row r="119" spans="1:10" s="23" customFormat="1" ht="20.25">
      <c r="A119" s="123"/>
      <c r="B119" s="71"/>
      <c r="C119" s="35"/>
      <c r="D119" s="95" t="s">
        <v>425</v>
      </c>
      <c r="E119" s="96"/>
      <c r="F119" s="90"/>
      <c r="G119" s="97"/>
      <c r="H119" s="31"/>
      <c r="I119" s="30"/>
    </row>
    <row r="120" spans="1:10" s="23" customFormat="1" ht="21">
      <c r="A120" s="123"/>
      <c r="B120" s="71"/>
      <c r="C120" s="35"/>
      <c r="D120" s="35"/>
      <c r="E120" s="114" t="s">
        <v>433</v>
      </c>
      <c r="F120" s="70">
        <f>F111*F118</f>
        <v>41.493157580389969</v>
      </c>
      <c r="G120" s="97" t="s">
        <v>86</v>
      </c>
      <c r="H120" s="31" t="str">
        <f>[3]!EQS(F120,"Units= ; EqnPrefix=Valem  ; EqnNo= 0; Multiplication= 1; ShowWorking= 0; EqnStyle= 2; Eqp$H$303_2")</f>
        <v/>
      </c>
      <c r="I120" s="30" t="s">
        <v>670</v>
      </c>
    </row>
    <row r="121" spans="1:10" s="23" customFormat="1" ht="20.25">
      <c r="A121" s="123"/>
      <c r="B121" s="71"/>
      <c r="C121" s="35"/>
      <c r="D121" s="95" t="s">
        <v>430</v>
      </c>
      <c r="F121" s="70"/>
      <c r="G121" s="97"/>
      <c r="H121" s="31"/>
      <c r="I121" s="30"/>
    </row>
    <row r="122" spans="1:10" s="23" customFormat="1" ht="21">
      <c r="A122" s="123"/>
      <c r="B122" s="71"/>
      <c r="C122" s="35"/>
      <c r="D122" s="35"/>
      <c r="E122" s="114" t="s">
        <v>434</v>
      </c>
      <c r="F122" s="70">
        <f>F120*F112</f>
        <v>41.493157580389969</v>
      </c>
      <c r="G122" s="97" t="s">
        <v>86</v>
      </c>
      <c r="H122" s="31" t="str">
        <f>[3]!EQS(F122,"Units= ; EqnPrefix=Valem  ; EqnNo= 0; Multiplication= 1; ShowWorking= 0; EqnStyle= 2; Eqp$H$303_2")</f>
        <v/>
      </c>
      <c r="I122" s="98" t="s">
        <v>673</v>
      </c>
    </row>
    <row r="123" spans="1:10" s="23" customFormat="1" ht="21">
      <c r="A123" s="123"/>
      <c r="B123" s="71"/>
      <c r="C123" s="35"/>
      <c r="D123" s="35"/>
      <c r="E123" s="114" t="s">
        <v>435</v>
      </c>
      <c r="F123" s="117">
        <f>COS(RADIANS(0))^2</f>
        <v>1</v>
      </c>
      <c r="G123" s="67"/>
      <c r="H123" s="31"/>
      <c r="I123" s="95"/>
      <c r="J123" s="95" t="s">
        <v>428</v>
      </c>
    </row>
    <row r="124" spans="1:10" s="23" customFormat="1" ht="21">
      <c r="A124" s="123"/>
      <c r="B124" s="71"/>
      <c r="C124" s="36"/>
      <c r="D124" s="36"/>
      <c r="E124" s="102" t="s">
        <v>512</v>
      </c>
      <c r="F124" s="46">
        <f>F122*F123</f>
        <v>41.493157580389969</v>
      </c>
      <c r="G124" s="67"/>
      <c r="H124" s="31"/>
      <c r="I124" s="95"/>
      <c r="J124" s="95" t="s">
        <v>431</v>
      </c>
    </row>
    <row r="125" spans="1:10" s="23" customFormat="1" ht="21">
      <c r="A125" s="123"/>
      <c r="B125" s="71"/>
      <c r="C125" s="35"/>
      <c r="D125" s="35"/>
      <c r="E125" s="114" t="s">
        <v>436</v>
      </c>
      <c r="F125" s="117">
        <f>COS(RADIANS(8))^2</f>
        <v>0.98063084796915956</v>
      </c>
      <c r="G125" s="67"/>
      <c r="H125" s="31"/>
      <c r="I125" s="95"/>
      <c r="J125" s="95" t="s">
        <v>429</v>
      </c>
    </row>
    <row r="126" spans="1:10" s="23" customFormat="1" ht="21">
      <c r="A126" s="123"/>
      <c r="B126" s="71"/>
      <c r="C126" s="35"/>
      <c r="D126" s="35"/>
      <c r="E126" s="102" t="s">
        <v>513</v>
      </c>
      <c r="F126" s="46">
        <f>F125*F122</f>
        <v>40.689470302975778</v>
      </c>
      <c r="G126" s="67"/>
      <c r="H126" s="31"/>
      <c r="I126" s="95"/>
      <c r="J126" s="95" t="s">
        <v>432</v>
      </c>
    </row>
    <row r="127" spans="1:10" s="23" customFormat="1" ht="20.25">
      <c r="A127" s="123"/>
      <c r="B127" s="71"/>
      <c r="C127" s="35"/>
      <c r="D127" s="35"/>
      <c r="E127" s="96"/>
      <c r="F127" s="70"/>
      <c r="G127" s="67"/>
      <c r="H127" s="31"/>
      <c r="I127" s="95"/>
    </row>
    <row r="128" spans="1:10" s="23" customFormat="1" ht="20.25">
      <c r="A128" s="123"/>
      <c r="B128" s="71"/>
      <c r="C128" s="35"/>
      <c r="D128" s="35"/>
      <c r="E128" s="66"/>
      <c r="F128" s="70"/>
      <c r="G128" s="67"/>
      <c r="H128" s="31"/>
      <c r="I128" s="30"/>
    </row>
    <row r="129" spans="1:10" s="23" customFormat="1" ht="20.25">
      <c r="A129" s="123"/>
      <c r="B129" s="71"/>
      <c r="C129" s="35"/>
      <c r="D129" s="36" t="s">
        <v>414</v>
      </c>
      <c r="E129" s="66"/>
      <c r="F129" s="70"/>
      <c r="G129" s="67"/>
      <c r="H129" s="31"/>
      <c r="I129" s="30"/>
    </row>
    <row r="130" spans="1:10" s="23" customFormat="1" ht="21">
      <c r="A130" s="123"/>
      <c r="B130" s="71"/>
      <c r="C130" s="35"/>
      <c r="D130" s="94"/>
      <c r="E130" s="114" t="s">
        <v>421</v>
      </c>
      <c r="F130" s="70">
        <v>0.35</v>
      </c>
      <c r="G130" s="67"/>
      <c r="H130" s="31"/>
      <c r="I130" s="30"/>
    </row>
    <row r="131" spans="1:10" s="23" customFormat="1" ht="21">
      <c r="A131" s="123"/>
      <c r="B131" s="71"/>
      <c r="C131" s="35"/>
      <c r="D131" s="94"/>
      <c r="E131" s="114" t="s">
        <v>416</v>
      </c>
      <c r="F131" s="70">
        <f>F130*F106</f>
        <v>4.2497708136496017</v>
      </c>
      <c r="G131" s="97" t="s">
        <v>86</v>
      </c>
      <c r="H131" s="31"/>
      <c r="I131" s="30"/>
    </row>
    <row r="132" spans="1:10" s="23" customFormat="1" ht="21">
      <c r="A132" s="123"/>
      <c r="B132" s="71"/>
      <c r="C132" s="35"/>
      <c r="D132" s="94"/>
      <c r="E132" s="114" t="s">
        <v>417</v>
      </c>
      <c r="F132" s="90">
        <f>SQRT(F107^2+(4*F131)/(F108*F109*F110))</f>
        <v>2.9476474803828315E-2</v>
      </c>
      <c r="G132" s="97" t="s">
        <v>51</v>
      </c>
      <c r="H132" s="31"/>
      <c r="I132" s="30"/>
    </row>
    <row r="133" spans="1:10" s="23" customFormat="1" ht="20.25">
      <c r="A133" s="123"/>
      <c r="B133" s="71"/>
      <c r="C133" s="35"/>
      <c r="D133" s="95" t="s">
        <v>425</v>
      </c>
      <c r="E133" s="96"/>
      <c r="F133" s="90"/>
      <c r="G133" s="97"/>
      <c r="H133" s="31"/>
      <c r="I133" s="30"/>
    </row>
    <row r="134" spans="1:10" s="23" customFormat="1" ht="21">
      <c r="A134" s="123"/>
      <c r="B134" s="71"/>
      <c r="C134" s="35"/>
      <c r="D134" s="35"/>
      <c r="E134" s="114" t="s">
        <v>433</v>
      </c>
      <c r="F134" s="70">
        <f>F111*F132</f>
        <v>22.78050323284965</v>
      </c>
      <c r="G134" s="97" t="s">
        <v>86</v>
      </c>
      <c r="H134" s="31" t="str">
        <f>[3]!EQS(F134,"Units= ; EqnPrefix=Valem  ; EqnNo= 0; Multiplication= 1; ShowWorking= 0; EqnStyle= 2; Eqp$H$303_2")</f>
        <v/>
      </c>
      <c r="I134" s="30" t="s">
        <v>671</v>
      </c>
    </row>
    <row r="135" spans="1:10" s="23" customFormat="1" ht="20.25">
      <c r="A135" s="123"/>
      <c r="B135" s="71"/>
      <c r="C135" s="35"/>
      <c r="D135" s="95" t="s">
        <v>430</v>
      </c>
      <c r="F135" s="70"/>
      <c r="G135" s="97"/>
      <c r="H135" s="31"/>
      <c r="I135" s="30"/>
    </row>
    <row r="136" spans="1:10" s="23" customFormat="1" ht="21">
      <c r="A136" s="123"/>
      <c r="B136" s="71"/>
      <c r="C136" s="35"/>
      <c r="D136" s="35"/>
      <c r="E136" s="114" t="s">
        <v>434</v>
      </c>
      <c r="F136" s="70">
        <f>F134*F112</f>
        <v>22.78050323284965</v>
      </c>
      <c r="G136" s="97" t="s">
        <v>86</v>
      </c>
      <c r="H136" s="31" t="str">
        <f>[3]!EQS(F136,"Units= ; EqnPrefix=Valem  ; EqnNo= 0; Multiplication= 1; ShowWorking= 0; EqnStyle= 2; Eqp$H$303_2")</f>
        <v/>
      </c>
      <c r="I136" s="98" t="s">
        <v>673</v>
      </c>
    </row>
    <row r="137" spans="1:10" s="23" customFormat="1" ht="21">
      <c r="A137" s="123"/>
      <c r="B137" s="71"/>
      <c r="C137" s="35"/>
      <c r="D137" s="35"/>
      <c r="E137" s="114" t="s">
        <v>435</v>
      </c>
      <c r="F137" s="117">
        <f>COS(RADIANS(0))^2</f>
        <v>1</v>
      </c>
      <c r="G137" s="97"/>
      <c r="H137" s="31"/>
      <c r="I137" s="95"/>
      <c r="J137" s="95" t="s">
        <v>428</v>
      </c>
    </row>
    <row r="138" spans="1:10" s="23" customFormat="1" ht="21">
      <c r="A138" s="123"/>
      <c r="B138" s="71"/>
      <c r="C138" s="35"/>
      <c r="D138" s="35"/>
      <c r="E138" s="102" t="s">
        <v>512</v>
      </c>
      <c r="F138" s="46">
        <f>F136*F137</f>
        <v>22.78050323284965</v>
      </c>
      <c r="G138" s="103" t="s">
        <v>86</v>
      </c>
      <c r="H138" s="31"/>
      <c r="I138" s="95"/>
      <c r="J138" s="95" t="s">
        <v>431</v>
      </c>
    </row>
    <row r="139" spans="1:10" s="23" customFormat="1" ht="21">
      <c r="A139" s="123"/>
      <c r="B139" s="71"/>
      <c r="C139" s="35"/>
      <c r="D139" s="35"/>
      <c r="E139" s="114" t="s">
        <v>436</v>
      </c>
      <c r="F139" s="117">
        <f>COS(RADIANS(8))^2</f>
        <v>0.98063084796915956</v>
      </c>
      <c r="G139" s="97"/>
      <c r="H139" s="31"/>
      <c r="I139" s="95"/>
      <c r="J139" s="95" t="s">
        <v>429</v>
      </c>
    </row>
    <row r="140" spans="1:10" s="23" customFormat="1" ht="21">
      <c r="A140" s="123"/>
      <c r="B140" s="71"/>
      <c r="C140" s="35"/>
      <c r="D140" s="35"/>
      <c r="E140" s="102" t="s">
        <v>513</v>
      </c>
      <c r="F140" s="46">
        <f>F139*F136</f>
        <v>22.339264202393533</v>
      </c>
      <c r="G140" s="103" t="s">
        <v>86</v>
      </c>
      <c r="H140" s="31"/>
      <c r="I140" s="95"/>
      <c r="J140" s="95" t="s">
        <v>432</v>
      </c>
    </row>
    <row r="141" spans="1:10" s="23" customFormat="1" ht="20.25">
      <c r="A141" s="123"/>
      <c r="B141" s="71"/>
      <c r="C141" s="35"/>
      <c r="D141" s="35"/>
      <c r="E141" s="102"/>
      <c r="F141" s="46"/>
      <c r="G141" s="103"/>
      <c r="H141" s="31"/>
      <c r="I141" s="95"/>
      <c r="J141" s="95"/>
    </row>
    <row r="142" spans="1:10" s="23" customFormat="1" ht="20.25">
      <c r="A142" s="123"/>
      <c r="B142" s="71"/>
      <c r="C142" s="35"/>
      <c r="D142" s="35"/>
      <c r="E142" s="102"/>
      <c r="F142" s="46"/>
      <c r="G142" s="103"/>
      <c r="H142" s="31"/>
      <c r="I142" s="95"/>
      <c r="J142" s="95"/>
    </row>
    <row r="143" spans="1:10" s="23" customFormat="1" ht="20.25">
      <c r="A143" s="123"/>
      <c r="B143" s="71"/>
      <c r="C143" s="35"/>
      <c r="D143" s="35"/>
      <c r="E143" s="102"/>
      <c r="F143" s="46"/>
      <c r="G143" s="103"/>
      <c r="H143" s="31"/>
      <c r="I143" s="95"/>
      <c r="J143" s="95"/>
    </row>
    <row r="144" spans="1:10" s="23" customFormat="1" ht="20.25">
      <c r="A144" s="123"/>
      <c r="B144" s="71"/>
      <c r="C144" s="35"/>
      <c r="D144" s="35"/>
      <c r="E144" s="102"/>
      <c r="F144" s="46"/>
      <c r="G144" s="103"/>
      <c r="H144" s="31"/>
      <c r="I144" s="95"/>
      <c r="J144" s="95"/>
    </row>
    <row r="145" spans="1:12" s="23" customFormat="1" ht="20.25">
      <c r="A145" s="123"/>
      <c r="B145" s="71"/>
      <c r="C145" s="35"/>
      <c r="D145" s="35"/>
      <c r="E145" s="102"/>
      <c r="F145" s="46"/>
      <c r="G145" s="103"/>
      <c r="H145" s="31"/>
      <c r="I145" s="95"/>
      <c r="J145" s="95"/>
    </row>
    <row r="146" spans="1:12" ht="16.5" customHeight="1">
      <c r="C146" t="s">
        <v>406</v>
      </c>
    </row>
    <row r="147" spans="1:12" s="23" customFormat="1" ht="19.5" outlineLevel="1">
      <c r="A147" s="71"/>
      <c r="B147" s="71"/>
      <c r="C147" s="35"/>
      <c r="D147" s="35"/>
      <c r="E147" s="24" t="s">
        <v>42</v>
      </c>
      <c r="F147" s="23">
        <v>21</v>
      </c>
      <c r="G147" s="58" t="s">
        <v>43</v>
      </c>
      <c r="I147" s="23" t="s">
        <v>44</v>
      </c>
    </row>
    <row r="148" spans="1:12" s="23" customFormat="1" ht="19.5" outlineLevel="1">
      <c r="A148" s="71"/>
      <c r="B148" s="71"/>
      <c r="C148" s="35"/>
      <c r="D148" s="35"/>
      <c r="E148" s="24" t="s">
        <v>45</v>
      </c>
      <c r="F148" s="23">
        <f>F147</f>
        <v>21</v>
      </c>
      <c r="G148" s="58" t="s">
        <v>43</v>
      </c>
      <c r="I148" s="23" t="s">
        <v>46</v>
      </c>
    </row>
    <row r="149" spans="1:12" s="23" customFormat="1" ht="18" outlineLevel="1">
      <c r="A149" s="71"/>
      <c r="B149" s="71"/>
      <c r="C149" s="35"/>
      <c r="D149" s="35"/>
      <c r="E149" s="25" t="s">
        <v>47</v>
      </c>
      <c r="F149" s="23">
        <v>1.2250000000000001</v>
      </c>
      <c r="G149" s="58" t="s">
        <v>48</v>
      </c>
      <c r="I149" s="23" t="s">
        <v>49</v>
      </c>
    </row>
    <row r="150" spans="1:12" s="23" customFormat="1" ht="19.5" outlineLevel="1">
      <c r="A150" s="71"/>
      <c r="B150" s="71"/>
      <c r="C150" s="35"/>
      <c r="D150" s="35"/>
      <c r="E150" s="25" t="s">
        <v>58</v>
      </c>
      <c r="F150" s="23">
        <v>0.19</v>
      </c>
      <c r="G150" s="58"/>
      <c r="I150" s="32" t="s">
        <v>59</v>
      </c>
    </row>
    <row r="151" spans="1:12" s="23" customFormat="1" ht="19.5" outlineLevel="1">
      <c r="A151" s="71"/>
      <c r="B151" s="71"/>
      <c r="C151" s="35"/>
      <c r="D151" s="35"/>
      <c r="E151" s="25" t="s">
        <v>60</v>
      </c>
      <c r="F151" s="23">
        <v>0.05</v>
      </c>
      <c r="G151" s="59" t="s">
        <v>51</v>
      </c>
      <c r="I151" s="32" t="s">
        <v>61</v>
      </c>
    </row>
    <row r="152" spans="1:12" s="23" customFormat="1" ht="19.5" outlineLevel="1">
      <c r="A152" s="71"/>
      <c r="B152" s="71"/>
      <c r="C152" s="35"/>
      <c r="D152" s="35"/>
      <c r="E152" s="25" t="s">
        <v>62</v>
      </c>
      <c r="F152" s="23">
        <v>10</v>
      </c>
      <c r="G152" s="59" t="s">
        <v>51</v>
      </c>
      <c r="I152" s="34" t="s">
        <v>63</v>
      </c>
    </row>
    <row r="153" spans="1:12" s="23" customFormat="1" ht="19.5" outlineLevel="1">
      <c r="A153" s="71"/>
      <c r="B153" s="71"/>
      <c r="C153" s="35"/>
      <c r="D153" s="35"/>
      <c r="E153" s="114" t="s">
        <v>502</v>
      </c>
      <c r="F153" s="23">
        <v>1.1499999999999999</v>
      </c>
      <c r="G153" s="58"/>
      <c r="I153" s="109" t="s">
        <v>503</v>
      </c>
    </row>
    <row r="154" spans="1:12" s="23" customFormat="1" ht="18" outlineLevel="1">
      <c r="A154" s="71"/>
      <c r="B154" s="71"/>
      <c r="C154" s="35"/>
      <c r="D154" s="35"/>
      <c r="E154" s="24"/>
      <c r="G154" s="58"/>
    </row>
    <row r="155" spans="1:12" s="23" customFormat="1" ht="18">
      <c r="A155" s="71"/>
      <c r="B155" s="71"/>
      <c r="C155" s="35"/>
      <c r="D155" s="35"/>
      <c r="E155" s="24"/>
      <c r="G155" s="58"/>
    </row>
    <row r="156" spans="1:12" s="23" customFormat="1" ht="18">
      <c r="A156" s="71"/>
      <c r="B156" s="72" t="s">
        <v>53</v>
      </c>
      <c r="C156" s="36"/>
      <c r="D156" s="36"/>
      <c r="E156" s="29"/>
      <c r="F156" s="29"/>
      <c r="G156" s="60"/>
      <c r="H156" s="29"/>
      <c r="I156" s="29"/>
      <c r="J156" s="29"/>
      <c r="K156" s="29"/>
      <c r="L156" s="29"/>
    </row>
    <row r="157" spans="1:12" s="23" customFormat="1" ht="18" outlineLevel="1">
      <c r="A157" s="71"/>
      <c r="B157" s="72"/>
      <c r="C157" s="35" t="s">
        <v>100</v>
      </c>
      <c r="D157" s="36"/>
      <c r="E157" s="29"/>
      <c r="F157" s="29"/>
      <c r="G157" s="60"/>
      <c r="H157" s="29"/>
      <c r="I157" s="29"/>
      <c r="J157" s="29"/>
      <c r="K157" s="29"/>
      <c r="L157" s="29"/>
    </row>
    <row r="158" spans="1:12" s="23" customFormat="1" ht="18" outlineLevel="1">
      <c r="A158" s="71"/>
      <c r="B158" s="71"/>
      <c r="C158" s="38" t="s">
        <v>101</v>
      </c>
      <c r="D158" s="35"/>
      <c r="E158" s="24"/>
      <c r="G158" s="58"/>
      <c r="K158" s="38"/>
    </row>
    <row r="159" spans="1:12" s="23" customFormat="1" ht="18" outlineLevel="1">
      <c r="A159" s="71"/>
      <c r="B159" s="71"/>
      <c r="C159" s="35"/>
      <c r="D159" s="35"/>
      <c r="E159" s="114" t="s">
        <v>54</v>
      </c>
      <c r="F159" s="33">
        <v>36</v>
      </c>
      <c r="G159" s="59" t="s">
        <v>51</v>
      </c>
      <c r="I159" s="32" t="s">
        <v>55</v>
      </c>
    </row>
    <row r="160" spans="1:12" s="23" customFormat="1" ht="18" outlineLevel="1">
      <c r="A160" s="71"/>
      <c r="B160" s="71"/>
      <c r="C160" s="35"/>
      <c r="D160" s="35"/>
      <c r="E160" s="114" t="s">
        <v>514</v>
      </c>
      <c r="F160" s="33">
        <f>0.324+0.02</f>
        <v>0.34400000000000003</v>
      </c>
      <c r="G160" s="59" t="s">
        <v>51</v>
      </c>
      <c r="I160" s="129" t="s">
        <v>610</v>
      </c>
    </row>
    <row r="161" spans="1:13" s="23" customFormat="1" ht="18" outlineLevel="1">
      <c r="A161" s="71"/>
      <c r="B161" s="71"/>
      <c r="C161" s="38" t="s">
        <v>82</v>
      </c>
      <c r="D161" s="38"/>
      <c r="E161" s="28"/>
      <c r="F161" s="27"/>
      <c r="G161" s="59"/>
      <c r="I161" s="32"/>
    </row>
    <row r="162" spans="1:13" s="23" customFormat="1" ht="19.5" outlineLevel="1">
      <c r="A162" s="71"/>
      <c r="B162" s="71"/>
      <c r="C162" s="35"/>
      <c r="D162" s="35"/>
      <c r="E162" s="114" t="s">
        <v>97</v>
      </c>
      <c r="F162" s="45">
        <f>F160*F159</f>
        <v>12.384</v>
      </c>
      <c r="G162" s="61" t="s">
        <v>81</v>
      </c>
      <c r="H162" s="31" t="str">
        <f>[3]!EQS(F162,"Units= ; EqnPrefix=Valem  ; EqnNo= 0; Multiplication= 1; ShowWorking= 1; EqnStyle=2; Eqp$G$17_0")</f>
        <v/>
      </c>
      <c r="I162" s="30" t="s">
        <v>83</v>
      </c>
      <c r="L162" s="26"/>
    </row>
    <row r="163" spans="1:13" s="23" customFormat="1" ht="18" outlineLevel="1">
      <c r="A163" s="71"/>
      <c r="B163" s="71"/>
      <c r="C163" s="35" t="s">
        <v>65</v>
      </c>
      <c r="D163" s="35"/>
      <c r="F163" s="27"/>
      <c r="G163" s="59"/>
      <c r="I163" s="32"/>
    </row>
    <row r="164" spans="1:13" s="23" customFormat="1" ht="16.5" customHeight="1" outlineLevel="1">
      <c r="A164" s="71"/>
      <c r="B164" s="71"/>
      <c r="C164" s="35"/>
      <c r="D164" s="35"/>
      <c r="E164" s="114" t="s">
        <v>57</v>
      </c>
      <c r="F164" s="42">
        <f>F150*LN(F159/F151)*F147</f>
        <v>26.251212335920307</v>
      </c>
      <c r="G164" s="59" t="s">
        <v>43</v>
      </c>
      <c r="H164" s="31" t="str">
        <f>[3]!EQS(F164,"Units= ; EqnPrefix=Valem  ; EqnNo= 0; Multiplication= 1; ShowWorking= 0; EqnStyle= 2; Eqp$H$21_2")</f>
        <v/>
      </c>
      <c r="I164" s="30" t="s">
        <v>611</v>
      </c>
      <c r="J164" s="31"/>
    </row>
    <row r="165" spans="1:13" s="23" customFormat="1" ht="12" customHeight="1" outlineLevel="1">
      <c r="A165" s="71"/>
      <c r="B165" s="71"/>
      <c r="C165" s="35"/>
      <c r="D165" s="35"/>
      <c r="E165" s="28"/>
      <c r="F165" s="42"/>
      <c r="G165" s="59"/>
      <c r="H165" s="31" t="str">
        <f>[3]!EQS(F164,"Units= ; EqnPrefix=Valem  ; EqnNo= 0; Multiplication= 1; ShowWorking= 1; EqnStyle= 2; Eqp$H$21_$H$22_3")</f>
        <v/>
      </c>
      <c r="I165" s="40" t="s">
        <v>64</v>
      </c>
      <c r="J165" s="31"/>
    </row>
    <row r="166" spans="1:13" s="23" customFormat="1" ht="18" outlineLevel="1">
      <c r="A166" s="71"/>
      <c r="B166" s="71"/>
      <c r="C166" s="41" t="s">
        <v>77</v>
      </c>
      <c r="D166" s="41"/>
      <c r="F166" s="42"/>
      <c r="G166" s="59"/>
      <c r="H166" s="31"/>
      <c r="I166" s="40"/>
      <c r="J166" s="31"/>
    </row>
    <row r="167" spans="1:13" s="23" customFormat="1" ht="19.5" outlineLevel="1">
      <c r="A167" s="71"/>
      <c r="B167" s="71"/>
      <c r="C167" s="35"/>
      <c r="D167" s="35"/>
      <c r="E167" s="114" t="s">
        <v>75</v>
      </c>
      <c r="F167" s="42">
        <f>1/2*F149*F164^2</f>
        <v>422.08976632716445</v>
      </c>
      <c r="G167" s="61" t="s">
        <v>76</v>
      </c>
      <c r="H167" s="31" t="str">
        <f>[3]!EQS(F167,"Units= ; EqnPrefix=Valem  ; EqnNo= 0; Multiplication= 1; ShowWorking= 0; EqnStyle= 2; Eqp$G$21_0")</f>
        <v/>
      </c>
      <c r="I167" s="40" t="s">
        <v>616</v>
      </c>
      <c r="J167" s="31"/>
      <c r="M167" s="40"/>
    </row>
    <row r="168" spans="1:13" s="23" customFormat="1" ht="18" outlineLevel="1">
      <c r="A168" s="71"/>
      <c r="B168" s="71"/>
      <c r="C168" s="35"/>
      <c r="D168" s="35"/>
      <c r="E168" s="37"/>
      <c r="F168" s="42"/>
      <c r="G168" s="61"/>
      <c r="H168" s="31" t="str">
        <f>[3]!EQS(F167,"Units= ; EqnPrefix=Valem  ; EqnNo= 0; Multiplication= 1; ShowWorking= 1; EqnStyle= 2; Eqp$G$21_$G$25_1")</f>
        <v/>
      </c>
      <c r="I168" s="40" t="s">
        <v>617</v>
      </c>
      <c r="J168" s="31"/>
    </row>
    <row r="169" spans="1:13" s="23" customFormat="1" ht="18" outlineLevel="1">
      <c r="A169" s="71"/>
      <c r="B169" s="71"/>
      <c r="C169" s="35" t="s">
        <v>79</v>
      </c>
      <c r="D169" s="35"/>
      <c r="E169" s="37"/>
      <c r="F169" s="42"/>
      <c r="G169" s="61"/>
      <c r="I169" s="40"/>
      <c r="J169" s="31"/>
    </row>
    <row r="170" spans="1:13" s="23" customFormat="1" ht="19.5" outlineLevel="1">
      <c r="A170" s="71"/>
      <c r="B170" s="71"/>
      <c r="C170" s="35"/>
      <c r="D170" s="35"/>
      <c r="E170" s="114" t="s">
        <v>80</v>
      </c>
      <c r="F170" s="42">
        <f>(1+2.28/LN(F159/F151))^2</f>
        <v>1.8131807308313552</v>
      </c>
      <c r="G170" s="61"/>
      <c r="H170" s="31" t="str">
        <f>[3]!EQS(F170,"Units= ; EqnPrefix=Valem  ; EqnNo= 0; Multiplication= 1; ShowWorking= 0; EqnStyle= 2; Eqp$G$24_0")</f>
        <v/>
      </c>
      <c r="I170" s="40" t="s">
        <v>612</v>
      </c>
      <c r="J170" s="31"/>
    </row>
    <row r="171" spans="1:13" s="23" customFormat="1" ht="18" outlineLevel="1">
      <c r="A171" s="71"/>
      <c r="B171" s="71"/>
      <c r="C171" s="35"/>
      <c r="D171" s="35"/>
      <c r="E171" s="37"/>
      <c r="F171" s="42"/>
      <c r="G171" s="61"/>
      <c r="H171" s="31" t="str">
        <f>[3]!EQS(F170,"Units= ; EqnPrefix=Valem  ; EqnNo= 0; Multiplication= 1; ShowWorking= 1; EqnStyle= 2; Eqp$G$24_$G$28_1")</f>
        <v/>
      </c>
      <c r="I171" s="40" t="s">
        <v>613</v>
      </c>
      <c r="J171" s="31"/>
    </row>
    <row r="172" spans="1:13" s="23" customFormat="1" ht="18" outlineLevel="1">
      <c r="A172" s="71"/>
      <c r="B172" s="71"/>
      <c r="C172" s="23" t="s">
        <v>50</v>
      </c>
      <c r="E172" s="37"/>
      <c r="F172" s="42"/>
      <c r="G172" s="61"/>
      <c r="J172" s="31"/>
    </row>
    <row r="173" spans="1:13" s="23" customFormat="1" ht="19.5" outlineLevel="1">
      <c r="A173" s="71"/>
      <c r="B173" s="71"/>
      <c r="C173" s="35"/>
      <c r="D173" s="35"/>
      <c r="E173" s="28" t="s">
        <v>52</v>
      </c>
      <c r="F173" s="23">
        <v>1.1499999999999999</v>
      </c>
      <c r="G173" s="58"/>
      <c r="J173" s="31"/>
    </row>
    <row r="174" spans="1:13" s="23" customFormat="1" ht="18" outlineLevel="1">
      <c r="A174" s="71"/>
      <c r="B174" s="71"/>
      <c r="D174" s="130" t="s">
        <v>614</v>
      </c>
      <c r="E174" s="37"/>
      <c r="F174" s="44"/>
      <c r="G174" s="58"/>
      <c r="H174" s="31"/>
      <c r="I174" s="41"/>
      <c r="J174" s="31"/>
    </row>
    <row r="175" spans="1:13" s="23" customFormat="1" ht="19.5" outlineLevel="1">
      <c r="A175" s="71"/>
      <c r="B175" s="71"/>
      <c r="D175" s="35"/>
      <c r="E175" s="131" t="s">
        <v>74</v>
      </c>
      <c r="F175" s="42">
        <v>0.88</v>
      </c>
      <c r="G175" s="58"/>
      <c r="H175" s="31"/>
      <c r="I175" s="129" t="s">
        <v>615</v>
      </c>
      <c r="J175" s="31"/>
    </row>
    <row r="176" spans="1:13" s="23" customFormat="1" ht="18" outlineLevel="1">
      <c r="A176" s="71"/>
      <c r="B176" s="71"/>
      <c r="D176" s="35"/>
      <c r="E176" s="31"/>
      <c r="F176" s="31"/>
      <c r="G176" s="58"/>
      <c r="H176" s="31"/>
      <c r="I176" s="40"/>
      <c r="J176" s="31"/>
    </row>
    <row r="177" spans="1:12" s="23" customFormat="1" ht="18">
      <c r="A177" s="71"/>
      <c r="B177" s="71"/>
      <c r="C177" s="35" t="s">
        <v>89</v>
      </c>
      <c r="D177" s="35"/>
      <c r="G177" s="58"/>
    </row>
    <row r="178" spans="1:12" s="23" customFormat="1" ht="19.5">
      <c r="A178" s="71"/>
      <c r="B178" s="71"/>
      <c r="C178" s="35"/>
      <c r="D178" s="35"/>
      <c r="E178" s="131" t="s">
        <v>85</v>
      </c>
      <c r="F178" s="46">
        <f>F167*F170*F173*F175*F160</f>
        <v>266.43107238692852</v>
      </c>
      <c r="G178" s="61" t="s">
        <v>86</v>
      </c>
      <c r="H178" s="31" t="str">
        <f>[3]!EQS(F178,"Units= ; EqnPrefix=Valem  ; EqnNo= 0; Multiplication= 1; ShowWorking= 0; EqnStyle= 2; Eqp$G$39_0")</f>
        <v/>
      </c>
      <c r="I178" s="30" t="s">
        <v>633</v>
      </c>
    </row>
    <row r="179" spans="1:12" s="23" customFormat="1" ht="18">
      <c r="A179" s="71"/>
      <c r="B179" s="71"/>
      <c r="C179" s="35"/>
      <c r="D179" s="35"/>
      <c r="G179" s="58"/>
      <c r="H179" s="23" t="str">
        <f>[3]!EQS(F178,"Units= ; EqnPrefix=Valem  ; EqnNo= 0; Multiplication= 1; ShowWorking= 1; EqnStyle= 2; Eqp$G$39_$G$40_1")</f>
        <v/>
      </c>
      <c r="I179" s="30" t="s">
        <v>618</v>
      </c>
    </row>
    <row r="180" spans="1:12" s="23" customFormat="1" ht="18">
      <c r="A180" s="71"/>
      <c r="B180" s="71"/>
      <c r="C180" s="35" t="s">
        <v>87</v>
      </c>
      <c r="D180" s="35"/>
      <c r="G180" s="58"/>
    </row>
    <row r="181" spans="1:12" s="23" customFormat="1" ht="19.5">
      <c r="A181" s="71"/>
      <c r="B181" s="71"/>
      <c r="C181" s="35"/>
      <c r="D181" s="35"/>
      <c r="E181" s="114" t="s">
        <v>221</v>
      </c>
      <c r="F181" s="70">
        <f>COS(RADIANS(4))*F178</f>
        <v>265.78205968537281</v>
      </c>
      <c r="G181" s="84" t="s">
        <v>86</v>
      </c>
    </row>
    <row r="182" spans="1:12" s="23" customFormat="1" ht="19.5">
      <c r="A182" s="71"/>
      <c r="B182" s="71"/>
      <c r="C182" s="35"/>
      <c r="D182" s="35"/>
      <c r="E182" s="114" t="s">
        <v>222</v>
      </c>
      <c r="F182" s="70">
        <f>SIN(RADIANS(4))*F178</f>
        <v>18.585292105577928</v>
      </c>
      <c r="G182" s="84" t="s">
        <v>86</v>
      </c>
    </row>
    <row r="183" spans="1:12" s="23" customFormat="1" ht="18">
      <c r="A183" s="71"/>
      <c r="B183" s="71"/>
      <c r="C183" s="35"/>
      <c r="D183" s="35"/>
      <c r="G183" s="58"/>
    </row>
    <row r="184" spans="1:12" s="23" customFormat="1" ht="18">
      <c r="A184" s="71"/>
      <c r="B184" s="72" t="s">
        <v>90</v>
      </c>
      <c r="C184" s="36"/>
      <c r="D184" s="36"/>
      <c r="E184" s="29"/>
      <c r="F184" s="29"/>
      <c r="G184" s="60"/>
      <c r="H184" s="29"/>
      <c r="I184" s="29"/>
      <c r="J184" s="29"/>
      <c r="K184" s="29"/>
      <c r="L184" s="29"/>
    </row>
    <row r="185" spans="1:12" s="23" customFormat="1" ht="18" outlineLevel="1">
      <c r="A185" s="71"/>
      <c r="B185" s="71"/>
      <c r="C185" s="35" t="s">
        <v>93</v>
      </c>
      <c r="D185" s="35"/>
      <c r="E185" s="24"/>
      <c r="G185" s="58"/>
    </row>
    <row r="186" spans="1:12" s="23" customFormat="1" ht="18" outlineLevel="1">
      <c r="A186" s="71"/>
      <c r="B186" s="71"/>
      <c r="C186" s="35"/>
      <c r="D186" s="35"/>
      <c r="E186" s="114" t="s">
        <v>517</v>
      </c>
      <c r="F186" s="33">
        <v>14</v>
      </c>
      <c r="G186" s="59" t="s">
        <v>51</v>
      </c>
      <c r="I186" s="38" t="s">
        <v>91</v>
      </c>
    </row>
    <row r="187" spans="1:12" s="23" customFormat="1" ht="18" outlineLevel="1">
      <c r="A187" s="71"/>
      <c r="B187" s="71"/>
      <c r="C187" s="35"/>
      <c r="D187" s="35"/>
      <c r="E187" s="114" t="s">
        <v>514</v>
      </c>
      <c r="F187" s="33">
        <f>0.273+0.02</f>
        <v>0.29300000000000004</v>
      </c>
      <c r="G187" s="59" t="s">
        <v>51</v>
      </c>
      <c r="I187" s="129" t="s">
        <v>620</v>
      </c>
    </row>
    <row r="188" spans="1:12" s="23" customFormat="1" ht="18" outlineLevel="1">
      <c r="A188" s="71"/>
      <c r="B188" s="71"/>
      <c r="C188" s="35"/>
      <c r="D188" s="35"/>
      <c r="E188" s="114" t="s">
        <v>249</v>
      </c>
      <c r="F188" s="33">
        <v>15.5</v>
      </c>
      <c r="G188" s="61" t="s">
        <v>51</v>
      </c>
      <c r="I188" s="38" t="s">
        <v>94</v>
      </c>
    </row>
    <row r="189" spans="1:12" s="23" customFormat="1" ht="18" outlineLevel="1">
      <c r="A189" s="71"/>
      <c r="B189" s="71"/>
      <c r="C189" s="38" t="s">
        <v>99</v>
      </c>
      <c r="D189" s="38"/>
      <c r="E189" s="28"/>
      <c r="F189" s="27"/>
      <c r="G189" s="59"/>
      <c r="I189" s="32"/>
    </row>
    <row r="190" spans="1:12" s="23" customFormat="1" ht="19.5" outlineLevel="1">
      <c r="A190" s="71"/>
      <c r="B190" s="71"/>
      <c r="C190" s="35"/>
      <c r="D190" s="35"/>
      <c r="E190" s="114" t="s">
        <v>140</v>
      </c>
      <c r="F190" s="45">
        <f>F187*F188</f>
        <v>4.541500000000001</v>
      </c>
      <c r="G190" s="61" t="s">
        <v>81</v>
      </c>
      <c r="H190" s="31" t="str">
        <f>[3]!EQS(F190,"Units= ; EqnPrefix=Valem  ; EqnNo= 0; Multiplication= 1; ShowWorking= 1; EqnStyle=2; Eqp$G$17_0")</f>
        <v/>
      </c>
      <c r="I190" s="30" t="s">
        <v>619</v>
      </c>
    </row>
    <row r="191" spans="1:12" s="23" customFormat="1" ht="18" outlineLevel="1">
      <c r="A191" s="71"/>
      <c r="B191" s="71"/>
      <c r="C191" s="35" t="s">
        <v>65</v>
      </c>
      <c r="D191" s="35"/>
      <c r="F191" s="27"/>
      <c r="G191" s="59"/>
      <c r="I191" s="32"/>
    </row>
    <row r="192" spans="1:12" s="23" customFormat="1" ht="18" outlineLevel="1">
      <c r="A192" s="71"/>
      <c r="B192" s="71"/>
      <c r="C192" s="35"/>
      <c r="D192" s="35"/>
      <c r="E192" s="28"/>
      <c r="F192" s="27"/>
      <c r="G192" s="59"/>
      <c r="I192" s="32"/>
    </row>
    <row r="193" spans="1:10" s="23" customFormat="1" ht="18" outlineLevel="1">
      <c r="A193" s="71"/>
      <c r="B193" s="71"/>
      <c r="C193" s="35"/>
      <c r="D193" s="35"/>
      <c r="G193" s="58"/>
    </row>
    <row r="194" spans="1:10" s="23" customFormat="1" ht="16.5" customHeight="1" outlineLevel="1">
      <c r="A194" s="71"/>
      <c r="B194" s="71"/>
      <c r="C194" s="35"/>
      <c r="D194" s="35"/>
      <c r="E194" s="114" t="s">
        <v>57</v>
      </c>
      <c r="F194" s="42">
        <f>F150*LN(F186/F151)*F147</f>
        <v>22.482810516645301</v>
      </c>
      <c r="G194" s="59" t="s">
        <v>43</v>
      </c>
      <c r="H194" s="31" t="str">
        <f>[3]!EQS(F194,"Units= ; EqnPrefix=Valem  ; EqnNo= 0; Multiplication= 1; ShowWorking= 0; EqnStyle= 2; Eqp$H$54_2")</f>
        <v/>
      </c>
      <c r="I194" s="40" t="s">
        <v>621</v>
      </c>
      <c r="J194" s="31"/>
    </row>
    <row r="195" spans="1:10" s="23" customFormat="1" ht="12" customHeight="1" outlineLevel="1">
      <c r="A195" s="71"/>
      <c r="B195" s="71"/>
      <c r="C195" s="35"/>
      <c r="D195" s="35"/>
      <c r="E195" s="28"/>
      <c r="F195" s="42"/>
      <c r="G195" s="59"/>
      <c r="H195" s="31" t="str">
        <f>[3]!EQS(F194,"Units= ; EqnPrefix=Valem  ; EqnNo= 0; Multiplication= 1; ShowWorking= 1; EqnStyle= 2; Eqp$H$54_$H$55_3")</f>
        <v/>
      </c>
      <c r="I195" s="40" t="s">
        <v>102</v>
      </c>
      <c r="J195" s="31"/>
    </row>
    <row r="196" spans="1:10" s="23" customFormat="1" ht="18" outlineLevel="1">
      <c r="A196" s="71"/>
      <c r="B196" s="71"/>
      <c r="C196" s="41" t="s">
        <v>77</v>
      </c>
      <c r="D196" s="41"/>
      <c r="F196" s="42"/>
      <c r="G196" s="59"/>
      <c r="H196" s="31"/>
      <c r="I196" s="40"/>
      <c r="J196" s="31"/>
    </row>
    <row r="197" spans="1:10" s="23" customFormat="1" ht="19.5" outlineLevel="1">
      <c r="A197" s="71"/>
      <c r="B197" s="71"/>
      <c r="C197" s="35"/>
      <c r="D197" s="35"/>
      <c r="E197" s="114" t="s">
        <v>75</v>
      </c>
      <c r="F197" s="42">
        <f>1/2*F149*F194^2</f>
        <v>309.60452084551815</v>
      </c>
      <c r="G197" s="61" t="s">
        <v>76</v>
      </c>
      <c r="H197" s="31" t="str">
        <f>[3]!EQS(F197,"Units= ; EqnPrefix=Valem  ; EqnNo= 0; Multiplication= 1; ShowWorking= 0; EqnStyle= 2; Eqp$G$21_0")</f>
        <v/>
      </c>
      <c r="I197" s="40" t="s">
        <v>616</v>
      </c>
      <c r="J197" s="31"/>
    </row>
    <row r="198" spans="1:10" s="23" customFormat="1" ht="18" outlineLevel="1">
      <c r="A198" s="71"/>
      <c r="B198" s="71"/>
      <c r="C198" s="35"/>
      <c r="D198" s="35"/>
      <c r="E198" s="37"/>
      <c r="F198" s="42"/>
      <c r="G198" s="61"/>
      <c r="H198" s="31" t="str">
        <f>[3]!EQS(F197,"Units= ; EqnPrefix=Valem  ; EqnNo= 0; Multiplication= 1; ShowWorking= 1; EqnStyle= 2; Eqp$G$21_$G$25_1")</f>
        <v/>
      </c>
      <c r="I198" s="40" t="s">
        <v>622</v>
      </c>
      <c r="J198" s="31"/>
    </row>
    <row r="199" spans="1:10" s="23" customFormat="1" ht="18" outlineLevel="1">
      <c r="A199" s="71"/>
      <c r="B199" s="71"/>
      <c r="C199" s="35" t="s">
        <v>79</v>
      </c>
      <c r="D199" s="35"/>
      <c r="E199" s="37"/>
      <c r="F199" s="42"/>
      <c r="G199" s="61"/>
      <c r="I199" s="40"/>
      <c r="J199" s="31"/>
    </row>
    <row r="200" spans="1:10" s="23" customFormat="1" ht="19.5" outlineLevel="1">
      <c r="A200" s="71"/>
      <c r="B200" s="71"/>
      <c r="C200" s="35"/>
      <c r="D200" s="35"/>
      <c r="E200" s="114" t="s">
        <v>80</v>
      </c>
      <c r="F200" s="42">
        <f>(1+2.28/LN(F186/F151))^2</f>
        <v>1.9729829854343099</v>
      </c>
      <c r="G200" s="61"/>
      <c r="H200" s="31" t="str">
        <f>[3]!EQS(F200,"Units= ; EqnPrefix=Valem  ; EqnNo= 0; Multiplication= 1; ShowWorking= 0; EqnStyle= 2; Eqp$G$24_0")</f>
        <v/>
      </c>
      <c r="I200" s="40" t="s">
        <v>623</v>
      </c>
      <c r="J200" s="31"/>
    </row>
    <row r="201" spans="1:10" s="23" customFormat="1" ht="18" outlineLevel="1">
      <c r="A201" s="71"/>
      <c r="B201" s="71"/>
      <c r="C201" s="35"/>
      <c r="D201" s="35"/>
      <c r="E201" s="37"/>
      <c r="F201" s="42"/>
      <c r="G201" s="61"/>
      <c r="H201" s="31" t="str">
        <f>[3]!EQS(F200,"Units= ; EqnPrefix=Valem  ; EqnNo= 0; Multiplication= 1; ShowWorking= 1; EqnStyle= 2; Eqp$G$24_$G$28_1")</f>
        <v/>
      </c>
      <c r="I201" s="40" t="s">
        <v>624</v>
      </c>
      <c r="J201" s="31"/>
    </row>
    <row r="202" spans="1:10" s="23" customFormat="1" ht="18" outlineLevel="1">
      <c r="A202" s="71"/>
      <c r="B202" s="71"/>
      <c r="C202" s="23" t="s">
        <v>50</v>
      </c>
      <c r="E202" s="37"/>
      <c r="F202" s="42"/>
      <c r="G202" s="61"/>
      <c r="J202" s="31"/>
    </row>
    <row r="203" spans="1:10" s="23" customFormat="1" ht="19.5" outlineLevel="1">
      <c r="A203" s="71"/>
      <c r="B203" s="71"/>
      <c r="C203" s="35"/>
      <c r="D203" s="35"/>
      <c r="E203" s="28" t="s">
        <v>52</v>
      </c>
      <c r="F203" s="23">
        <v>1.1499999999999999</v>
      </c>
      <c r="G203" s="58"/>
      <c r="J203" s="31"/>
    </row>
    <row r="204" spans="1:10" s="23" customFormat="1" ht="18" outlineLevel="1">
      <c r="A204" s="71"/>
      <c r="B204" s="71"/>
      <c r="D204" s="130" t="s">
        <v>634</v>
      </c>
      <c r="E204" s="37"/>
      <c r="F204" s="44"/>
      <c r="G204" s="58"/>
      <c r="H204" s="31"/>
      <c r="I204" s="41"/>
      <c r="J204" s="31"/>
    </row>
    <row r="205" spans="1:10" s="23" customFormat="1" ht="19.5" outlineLevel="1">
      <c r="A205" s="71"/>
      <c r="B205" s="71"/>
      <c r="C205" s="35"/>
      <c r="D205" s="35"/>
      <c r="E205" s="131" t="s">
        <v>138</v>
      </c>
      <c r="F205" s="127">
        <v>1.88</v>
      </c>
      <c r="G205" s="58"/>
      <c r="H205" s="31"/>
      <c r="I205" s="129" t="s">
        <v>615</v>
      </c>
      <c r="J205" s="31"/>
    </row>
    <row r="206" spans="1:10" s="23" customFormat="1" ht="18" outlineLevel="1">
      <c r="A206" s="71"/>
      <c r="B206" s="71"/>
      <c r="C206" s="35"/>
      <c r="D206" s="35"/>
      <c r="E206" s="31"/>
      <c r="F206" s="31"/>
      <c r="G206" s="58"/>
      <c r="H206" s="31"/>
      <c r="I206" s="40"/>
      <c r="J206" s="31"/>
    </row>
    <row r="207" spans="1:10" s="23" customFormat="1" ht="18" outlineLevel="1">
      <c r="A207" s="71"/>
      <c r="B207" s="71"/>
      <c r="C207" s="35" t="s">
        <v>104</v>
      </c>
      <c r="D207" s="35"/>
      <c r="E207" s="31"/>
      <c r="F207" s="31"/>
      <c r="G207" s="58"/>
      <c r="H207" s="31"/>
      <c r="I207" s="40"/>
      <c r="J207" s="31"/>
    </row>
    <row r="208" spans="1:10" s="23" customFormat="1" ht="19.5" outlineLevel="1">
      <c r="A208" s="71"/>
      <c r="B208" s="71"/>
      <c r="C208" s="35"/>
      <c r="D208" s="35"/>
      <c r="E208" s="132" t="s">
        <v>105</v>
      </c>
      <c r="F208" s="133">
        <f>COS(RADIANS(86))^2</f>
        <v>4.8659656292148329E-3</v>
      </c>
      <c r="G208" s="58"/>
      <c r="H208" s="31" t="str">
        <f>[3]!EQS(F208,"Units= ; EqnPrefix=Valem  ; EqnNo= 0; Multiplication= 1; ShowWorking= 0; EqnStyle= 2; Eqp$H$75_2")</f>
        <v/>
      </c>
      <c r="I208" s="40" t="s">
        <v>626</v>
      </c>
      <c r="J208" s="31"/>
    </row>
    <row r="209" spans="1:12" s="23" customFormat="1" ht="18">
      <c r="A209" s="71"/>
      <c r="B209" s="71"/>
      <c r="C209" s="35" t="s">
        <v>103</v>
      </c>
      <c r="D209" s="35"/>
      <c r="G209" s="58"/>
    </row>
    <row r="210" spans="1:12" s="23" customFormat="1" ht="19.5">
      <c r="A210" s="71"/>
      <c r="B210" s="71"/>
      <c r="C210" s="35"/>
      <c r="D210" s="35"/>
      <c r="E210" s="131" t="s">
        <v>137</v>
      </c>
      <c r="F210" s="46">
        <f>F197*F200*F203*F205*F187*F208</f>
        <v>1.8828814662393241</v>
      </c>
      <c r="G210" s="61" t="s">
        <v>86</v>
      </c>
      <c r="H210" s="31" t="str">
        <f>[3]!EQS(F210,"Units= ; EqnPrefix=Valem  ; EqnNo= 0; Multiplication= 1; ShowWorking= 0; EqnStyle= 2; Eqp$G$39_0")</f>
        <v/>
      </c>
      <c r="I210" s="30" t="s">
        <v>625</v>
      </c>
    </row>
    <row r="211" spans="1:12" s="23" customFormat="1" ht="18">
      <c r="A211" s="71"/>
      <c r="B211" s="71"/>
      <c r="C211" s="35"/>
      <c r="D211" s="35"/>
      <c r="G211" s="58"/>
      <c r="H211" s="23" t="str">
        <f>[3]!EQS(F210,"Units= ; EqnPrefix=Valem  ; EqnNo= 0; Multiplication= 1; ShowWorking= 1; EqnStyle= 2; Eqp$G$39_$G$40_1")</f>
        <v/>
      </c>
      <c r="I211" s="30" t="s">
        <v>635</v>
      </c>
    </row>
    <row r="212" spans="1:12" s="23" customFormat="1" ht="18">
      <c r="A212" s="71"/>
      <c r="B212" s="71"/>
      <c r="C212" s="35"/>
      <c r="D212" s="35"/>
      <c r="G212" s="58"/>
    </row>
    <row r="213" spans="1:12" s="23" customFormat="1" ht="18">
      <c r="A213" s="71"/>
      <c r="B213" s="71"/>
      <c r="C213" s="35"/>
      <c r="D213" s="35"/>
      <c r="G213" s="58"/>
    </row>
    <row r="214" spans="1:12" s="23" customFormat="1" ht="18">
      <c r="A214" s="71"/>
      <c r="B214" s="73" t="s">
        <v>107</v>
      </c>
      <c r="C214" s="36"/>
      <c r="D214" s="36"/>
      <c r="E214" s="29"/>
      <c r="F214" s="29"/>
      <c r="G214" s="60"/>
      <c r="H214" s="29"/>
      <c r="I214" s="29"/>
      <c r="J214" s="29"/>
      <c r="K214" s="29"/>
      <c r="L214" s="29"/>
    </row>
    <row r="215" spans="1:12" s="23" customFormat="1" ht="18" outlineLevel="1">
      <c r="A215" s="71"/>
      <c r="B215" s="71"/>
      <c r="C215" s="35" t="s">
        <v>108</v>
      </c>
      <c r="D215" s="35"/>
      <c r="E215" s="24"/>
      <c r="G215" s="58"/>
    </row>
    <row r="216" spans="1:12" s="23" customFormat="1" ht="18" outlineLevel="1">
      <c r="A216" s="71"/>
      <c r="B216" s="71"/>
      <c r="C216" s="35"/>
      <c r="D216" s="35"/>
      <c r="E216" s="114" t="s">
        <v>517</v>
      </c>
      <c r="F216" s="33">
        <v>28</v>
      </c>
      <c r="G216" s="59" t="s">
        <v>51</v>
      </c>
      <c r="I216" s="38" t="s">
        <v>109</v>
      </c>
    </row>
    <row r="217" spans="1:12" s="23" customFormat="1" ht="18" outlineLevel="1">
      <c r="A217" s="71"/>
      <c r="B217" s="71"/>
      <c r="C217" s="35"/>
      <c r="D217" s="35"/>
      <c r="E217" s="114" t="s">
        <v>242</v>
      </c>
      <c r="F217" s="33">
        <f>0.22+0.02</f>
        <v>0.24</v>
      </c>
      <c r="G217" s="59" t="s">
        <v>51</v>
      </c>
      <c r="I217" s="38" t="s">
        <v>110</v>
      </c>
    </row>
    <row r="218" spans="1:12" s="23" customFormat="1" ht="18" outlineLevel="1">
      <c r="A218" s="71"/>
      <c r="B218" s="71"/>
      <c r="C218" s="35"/>
      <c r="D218" s="35"/>
      <c r="E218" s="114" t="s">
        <v>249</v>
      </c>
      <c r="F218" s="33">
        <v>23</v>
      </c>
      <c r="G218" s="61" t="s">
        <v>51</v>
      </c>
      <c r="I218" s="38" t="s">
        <v>94</v>
      </c>
    </row>
    <row r="219" spans="1:12" s="23" customFormat="1" ht="18" outlineLevel="1">
      <c r="A219" s="71"/>
      <c r="B219" s="71"/>
      <c r="C219" s="38" t="s">
        <v>99</v>
      </c>
      <c r="D219" s="38"/>
      <c r="E219" s="28"/>
      <c r="F219" s="27"/>
      <c r="G219" s="59"/>
      <c r="I219" s="32"/>
    </row>
    <row r="220" spans="1:12" s="23" customFormat="1" ht="19.5" outlineLevel="1">
      <c r="A220" s="71"/>
      <c r="B220" s="71"/>
      <c r="C220" s="35"/>
      <c r="D220" s="35"/>
      <c r="E220" s="114" t="s">
        <v>98</v>
      </c>
      <c r="F220" s="45">
        <f>F217*F218</f>
        <v>5.52</v>
      </c>
      <c r="G220" s="61" t="s">
        <v>81</v>
      </c>
      <c r="H220" s="31" t="str">
        <f>[3]!EQS(F220,"Units= ; EqnPrefix=Valem  ; EqnNo= 0; Multiplication= 1; ShowWorking= 1; EqnStyle=2; Eqp$G$17_0")</f>
        <v/>
      </c>
      <c r="I220" s="30" t="s">
        <v>636</v>
      </c>
    </row>
    <row r="221" spans="1:12" s="23" customFormat="1" ht="18" outlineLevel="1">
      <c r="A221" s="71"/>
      <c r="B221" s="71"/>
      <c r="C221" s="48" t="s">
        <v>112</v>
      </c>
      <c r="D221" s="35"/>
      <c r="E221" s="37"/>
      <c r="F221" s="45"/>
      <c r="G221" s="61"/>
      <c r="H221" s="31"/>
      <c r="I221" s="30"/>
    </row>
    <row r="222" spans="1:12" s="23" customFormat="1" ht="18" outlineLevel="1">
      <c r="A222" s="71"/>
      <c r="B222" s="71"/>
      <c r="C222" s="35" t="s">
        <v>65</v>
      </c>
      <c r="D222" s="35"/>
      <c r="F222" s="27"/>
      <c r="G222" s="59"/>
      <c r="I222" s="32"/>
    </row>
    <row r="223" spans="1:12" s="23" customFormat="1" ht="18" outlineLevel="1">
      <c r="A223" s="71"/>
      <c r="B223" s="71"/>
      <c r="C223" s="35"/>
      <c r="D223" s="35"/>
      <c r="E223" s="28"/>
      <c r="F223" s="27"/>
      <c r="G223" s="59"/>
      <c r="I223" s="32"/>
    </row>
    <row r="224" spans="1:12" s="23" customFormat="1" ht="18" outlineLevel="1">
      <c r="A224" s="71"/>
      <c r="B224" s="71"/>
      <c r="C224" s="35"/>
      <c r="D224" s="35"/>
      <c r="G224" s="58"/>
    </row>
    <row r="225" spans="1:17" s="23" customFormat="1" ht="16.5" customHeight="1" outlineLevel="1">
      <c r="A225" s="71"/>
      <c r="B225" s="71"/>
      <c r="C225" s="35"/>
      <c r="D225" s="35"/>
      <c r="E225" s="114" t="s">
        <v>57</v>
      </c>
      <c r="F225" s="42">
        <f>F150*LN(F216/F151)*F147</f>
        <v>25.248467767079489</v>
      </c>
      <c r="G225" s="59" t="s">
        <v>43</v>
      </c>
      <c r="H225" s="31" t="str">
        <f>[3]!EQS(F225,"Units= ; EqnPrefix=Valem  ; EqnNo= 0; Multiplication= 1; ShowWorking= 0; EqnStyle= 2; Eqp$H$54_2")</f>
        <v/>
      </c>
      <c r="I225" s="40" t="s">
        <v>621</v>
      </c>
      <c r="J225" s="31"/>
    </row>
    <row r="226" spans="1:17" s="23" customFormat="1" ht="12" customHeight="1" outlineLevel="1">
      <c r="A226" s="71"/>
      <c r="B226" s="71"/>
      <c r="C226" s="35"/>
      <c r="D226" s="35"/>
      <c r="E226" s="28"/>
      <c r="F226" s="42"/>
      <c r="G226" s="59"/>
      <c r="H226" s="31" t="str">
        <f>[3]!EQS(F225,"Units= ; EqnPrefix=Valem  ; EqnNo= 0; Multiplication= 1; ShowWorking= 1; EqnStyle= 2; Eqp$H$54_$H$55_3")</f>
        <v/>
      </c>
      <c r="I226" s="40" t="s">
        <v>111</v>
      </c>
      <c r="J226" s="31"/>
    </row>
    <row r="227" spans="1:17" s="23" customFormat="1" ht="18" outlineLevel="1">
      <c r="A227" s="71"/>
      <c r="B227" s="71"/>
      <c r="C227" s="41" t="s">
        <v>77</v>
      </c>
      <c r="D227" s="41"/>
      <c r="F227" s="42"/>
      <c r="G227" s="59"/>
      <c r="H227" s="31"/>
      <c r="I227" s="40"/>
      <c r="J227" s="31"/>
    </row>
    <row r="228" spans="1:17" s="23" customFormat="1" ht="19.5" outlineLevel="1">
      <c r="A228" s="71"/>
      <c r="B228" s="71"/>
      <c r="C228" s="35"/>
      <c r="D228" s="35"/>
      <c r="E228" s="114" t="s">
        <v>75</v>
      </c>
      <c r="F228" s="42">
        <f>1/2*F149*F225^2</f>
        <v>390.45963880846682</v>
      </c>
      <c r="G228" s="61" t="s">
        <v>76</v>
      </c>
      <c r="H228" s="31" t="str">
        <f>[3]!EQS(F228,"Units= ; EqnPrefix=Valem  ; EqnNo= 0; Multiplication= 1; ShowWorking= 0; EqnStyle= 2; Eqp$G$21_0")</f>
        <v/>
      </c>
      <c r="I228" s="40" t="s">
        <v>616</v>
      </c>
      <c r="J228" s="31"/>
    </row>
    <row r="229" spans="1:17" s="23" customFormat="1" ht="18" outlineLevel="1">
      <c r="A229" s="71"/>
      <c r="B229" s="71"/>
      <c r="C229" s="35"/>
      <c r="D229" s="35"/>
      <c r="E229" s="37"/>
      <c r="F229" s="42"/>
      <c r="G229" s="61"/>
      <c r="H229" s="31" t="str">
        <f>[3]!EQS(F228,"Units= ; EqnPrefix=Valem  ; EqnNo= 0; Multiplication= 1; ShowWorking= 1; EqnStyle= 2; Eqp$G$21_$G$25_1")</f>
        <v/>
      </c>
      <c r="I229" s="40" t="s">
        <v>637</v>
      </c>
      <c r="J229" s="31"/>
    </row>
    <row r="230" spans="1:17" s="23" customFormat="1" ht="18" outlineLevel="1">
      <c r="A230" s="71"/>
      <c r="B230" s="71"/>
      <c r="C230" s="35" t="s">
        <v>79</v>
      </c>
      <c r="D230" s="35"/>
      <c r="E230" s="37"/>
      <c r="F230" s="42"/>
      <c r="G230" s="61"/>
      <c r="I230" s="40"/>
      <c r="J230" s="31"/>
    </row>
    <row r="231" spans="1:17" s="23" customFormat="1" ht="19.5" outlineLevel="1">
      <c r="A231" s="71"/>
      <c r="B231" s="71"/>
      <c r="C231" s="35"/>
      <c r="D231" s="35"/>
      <c r="E231" s="114" t="s">
        <v>80</v>
      </c>
      <c r="F231" s="42">
        <f>(1+2.28/LN(F216/F151))^2</f>
        <v>1.8504351691877789</v>
      </c>
      <c r="G231" s="61"/>
      <c r="H231" s="31" t="str">
        <f>[3]!EQS(F231,"Units= ; EqnPrefix=Valem  ; EqnNo= 0; Multiplication= 1; ShowWorking= 0; EqnStyle= 2; Eqp$G$24_0")</f>
        <v/>
      </c>
      <c r="I231" s="40" t="s">
        <v>623</v>
      </c>
      <c r="J231" s="31"/>
    </row>
    <row r="232" spans="1:17" s="23" customFormat="1" ht="18" outlineLevel="1">
      <c r="A232" s="71"/>
      <c r="B232" s="71"/>
      <c r="C232" s="35"/>
      <c r="D232" s="35"/>
      <c r="E232" s="37"/>
      <c r="F232" s="42"/>
      <c r="G232" s="61"/>
      <c r="H232" s="31" t="str">
        <f>[3]!EQS(F231,"Units= ; EqnPrefix=Valem  ; EqnNo= 0; Multiplication= 1; ShowWorking= 1; EqnStyle= 2; Eqp$G$24_$G$28_1")</f>
        <v/>
      </c>
      <c r="I232" s="40" t="s">
        <v>638</v>
      </c>
      <c r="J232" s="31"/>
    </row>
    <row r="233" spans="1:17" s="23" customFormat="1" ht="18" outlineLevel="1">
      <c r="A233" s="71"/>
      <c r="B233" s="71"/>
      <c r="C233" s="23" t="s">
        <v>50</v>
      </c>
      <c r="E233" s="37"/>
      <c r="F233" s="42"/>
      <c r="G233" s="61"/>
      <c r="J233" s="31"/>
    </row>
    <row r="234" spans="1:17" s="23" customFormat="1" ht="19.5" outlineLevel="1">
      <c r="A234" s="71"/>
      <c r="B234" s="71"/>
      <c r="C234" s="35"/>
      <c r="D234" s="35"/>
      <c r="E234" s="28" t="s">
        <v>52</v>
      </c>
      <c r="F234" s="23">
        <v>1.1499999999999999</v>
      </c>
      <c r="G234" s="58"/>
      <c r="J234" s="31"/>
    </row>
    <row r="235" spans="1:17" s="23" customFormat="1" ht="18" outlineLevel="1">
      <c r="A235" s="71"/>
      <c r="B235" s="71"/>
      <c r="C235" s="48" t="s">
        <v>120</v>
      </c>
      <c r="D235" s="35"/>
      <c r="E235" s="31"/>
      <c r="F235" s="50"/>
      <c r="G235" s="58"/>
      <c r="H235" s="31"/>
      <c r="I235" s="40"/>
      <c r="J235" s="31"/>
    </row>
    <row r="236" spans="1:17" s="23" customFormat="1" ht="19.5" outlineLevel="1">
      <c r="A236" s="71"/>
      <c r="B236" s="71"/>
      <c r="C236" s="35"/>
      <c r="D236" s="35"/>
      <c r="E236" s="131" t="s">
        <v>114</v>
      </c>
      <c r="F236" s="134">
        <v>1.75</v>
      </c>
      <c r="G236" s="58"/>
      <c r="H236" s="31"/>
      <c r="I236" s="23">
        <v>1.75</v>
      </c>
      <c r="J236" s="23">
        <v>1.84</v>
      </c>
      <c r="K236" s="23">
        <v>2</v>
      </c>
      <c r="L236" s="129" t="s">
        <v>639</v>
      </c>
    </row>
    <row r="237" spans="1:17" s="23" customFormat="1" ht="18" outlineLevel="1">
      <c r="A237" s="71"/>
      <c r="B237" s="71"/>
      <c r="C237" s="35"/>
      <c r="D237" s="35"/>
      <c r="E237" s="31"/>
      <c r="F237" s="50"/>
      <c r="G237" s="58"/>
      <c r="H237" s="31"/>
      <c r="I237" s="23">
        <v>1.68</v>
      </c>
      <c r="J237" s="46">
        <f>(J236-I236)/(K236-I236)*(K237-I237)+I237</f>
        <v>1.752</v>
      </c>
      <c r="K237" s="23">
        <v>1.88</v>
      </c>
      <c r="Q237" s="70"/>
    </row>
    <row r="238" spans="1:17" s="23" customFormat="1" ht="18" outlineLevel="1">
      <c r="A238" s="71"/>
      <c r="B238" s="71"/>
      <c r="C238" s="35" t="s">
        <v>104</v>
      </c>
      <c r="D238" s="35"/>
      <c r="E238" s="31"/>
      <c r="F238" s="31"/>
      <c r="G238" s="58"/>
      <c r="H238" s="31"/>
      <c r="I238" s="40"/>
      <c r="J238" s="31"/>
    </row>
    <row r="239" spans="1:17" s="23" customFormat="1" ht="19.5" outlineLevel="1">
      <c r="A239" s="71"/>
      <c r="B239" s="71"/>
      <c r="C239" s="35"/>
      <c r="D239" s="35"/>
      <c r="E239" s="132" t="s">
        <v>105</v>
      </c>
      <c r="F239" s="125">
        <f>COS(RADIANS(86))^2</f>
        <v>4.8659656292148329E-3</v>
      </c>
      <c r="G239" s="58"/>
      <c r="H239" s="31" t="str">
        <f>[3]!EQS(F239,"Units= ; EqnPrefix=Valem  ; EqnNo= 0; Multiplication= 1; ShowWorking= 0; EqnStyle= 2; Eqp$H$75_2")</f>
        <v/>
      </c>
      <c r="I239" s="40" t="s">
        <v>626</v>
      </c>
      <c r="J239" s="31"/>
    </row>
    <row r="240" spans="1:17" s="23" customFormat="1" ht="18" outlineLevel="1">
      <c r="A240" s="71"/>
      <c r="B240" s="71"/>
      <c r="C240" s="48" t="s">
        <v>122</v>
      </c>
      <c r="D240" s="35"/>
      <c r="G240" s="58"/>
    </row>
    <row r="241" spans="1:12" s="23" customFormat="1" ht="19.5">
      <c r="A241" s="71"/>
      <c r="B241" s="71"/>
      <c r="C241" s="35"/>
      <c r="D241" s="35"/>
      <c r="E241" s="131" t="s">
        <v>136</v>
      </c>
      <c r="F241" s="46">
        <f>F228*F231*F234*F236*F217*F239</f>
        <v>1.6981114483347088</v>
      </c>
      <c r="G241" s="61" t="s">
        <v>86</v>
      </c>
      <c r="H241" s="31" t="str">
        <f>[3]!EQS(F241,"Units= ; EqnPrefix=Valem  ; EqnNo= 0; Multiplication= 1; ShowWorking= 0; EqnStyle= 2; Eqp$G$39_0")</f>
        <v/>
      </c>
      <c r="I241" s="30" t="s">
        <v>628</v>
      </c>
    </row>
    <row r="242" spans="1:12" s="23" customFormat="1" ht="18">
      <c r="A242" s="71"/>
      <c r="B242" s="71"/>
      <c r="C242" s="35"/>
      <c r="D242" s="35"/>
      <c r="G242" s="58"/>
      <c r="H242" s="23" t="str">
        <f>[3]!EQS(F241,"Units= ; EqnPrefix=Valem  ; EqnNo= 0; Multiplication= 1; ShowWorking= 1; EqnStyle= 2; Eqp$G$39_$G$40_1")</f>
        <v/>
      </c>
      <c r="I242" s="30" t="s">
        <v>648</v>
      </c>
    </row>
    <row r="243" spans="1:12" s="23" customFormat="1" ht="18">
      <c r="A243" s="71"/>
      <c r="B243" s="71"/>
      <c r="C243" s="35"/>
      <c r="D243" s="35"/>
      <c r="G243" s="58"/>
    </row>
    <row r="244" spans="1:12" s="23" customFormat="1" ht="18">
      <c r="A244" s="71"/>
      <c r="B244" s="71"/>
      <c r="C244" s="35"/>
      <c r="D244" s="35"/>
      <c r="G244" s="58"/>
    </row>
    <row r="245" spans="1:12" s="23" customFormat="1" ht="18">
      <c r="A245" s="71"/>
      <c r="B245" s="73" t="s">
        <v>123</v>
      </c>
      <c r="C245" s="36"/>
      <c r="D245" s="36"/>
      <c r="E245" s="29"/>
      <c r="F245" s="29"/>
      <c r="G245" s="60"/>
      <c r="H245" s="29"/>
      <c r="I245" s="29"/>
      <c r="J245" s="29"/>
      <c r="K245" s="29"/>
      <c r="L245" s="29"/>
    </row>
    <row r="246" spans="1:12" s="23" customFormat="1" ht="18" outlineLevel="1">
      <c r="A246" s="71"/>
      <c r="B246" s="71"/>
      <c r="C246" s="57" t="s">
        <v>141</v>
      </c>
      <c r="D246" s="35"/>
      <c r="E246" s="24"/>
      <c r="G246" s="58"/>
    </row>
    <row r="247" spans="1:12" s="23" customFormat="1" ht="18" outlineLevel="1">
      <c r="A247" s="71"/>
      <c r="B247" s="71"/>
      <c r="C247" s="35"/>
      <c r="D247" s="35"/>
      <c r="E247" s="114" t="s">
        <v>517</v>
      </c>
      <c r="F247" s="33">
        <v>36</v>
      </c>
      <c r="G247" s="59" t="s">
        <v>51</v>
      </c>
      <c r="I247" s="38" t="s">
        <v>109</v>
      </c>
    </row>
    <row r="248" spans="1:12" s="23" customFormat="1" ht="18" outlineLevel="1">
      <c r="A248" s="71"/>
      <c r="B248" s="71"/>
      <c r="C248" s="35"/>
      <c r="D248" s="35"/>
      <c r="E248" s="114" t="s">
        <v>242</v>
      </c>
      <c r="F248" s="33">
        <v>0.25</v>
      </c>
      <c r="G248" s="59" t="s">
        <v>51</v>
      </c>
    </row>
    <row r="249" spans="1:12" s="23" customFormat="1" ht="18" outlineLevel="1">
      <c r="A249" s="71"/>
      <c r="B249" s="71"/>
      <c r="C249" s="35"/>
      <c r="D249" s="35"/>
      <c r="E249" s="114" t="s">
        <v>516</v>
      </c>
      <c r="F249" s="33">
        <v>0.25</v>
      </c>
      <c r="G249" s="62" t="s">
        <v>51</v>
      </c>
      <c r="I249" s="54" t="s">
        <v>124</v>
      </c>
    </row>
    <row r="250" spans="1:12" s="23" customFormat="1" ht="18" outlineLevel="1">
      <c r="A250" s="71"/>
      <c r="B250" s="71"/>
      <c r="C250" s="35"/>
      <c r="D250" s="35"/>
      <c r="E250" s="114" t="s">
        <v>249</v>
      </c>
      <c r="F250" s="33">
        <v>23</v>
      </c>
      <c r="G250" s="61" t="s">
        <v>51</v>
      </c>
      <c r="I250" s="38" t="s">
        <v>94</v>
      </c>
    </row>
    <row r="251" spans="1:12" s="23" customFormat="1" ht="18" outlineLevel="1">
      <c r="A251" s="71"/>
      <c r="B251" s="71"/>
      <c r="C251" s="38" t="s">
        <v>99</v>
      </c>
      <c r="D251" s="38"/>
      <c r="E251" s="28"/>
      <c r="F251" s="27"/>
      <c r="G251" s="59"/>
      <c r="I251" s="32"/>
    </row>
    <row r="252" spans="1:12" s="23" customFormat="1" ht="19.5" outlineLevel="1">
      <c r="A252" s="71"/>
      <c r="B252" s="71"/>
      <c r="C252" s="35"/>
      <c r="D252" s="35"/>
      <c r="E252" s="114" t="s">
        <v>98</v>
      </c>
      <c r="F252" s="45">
        <f>F248*F250</f>
        <v>5.75</v>
      </c>
      <c r="G252" s="61" t="s">
        <v>81</v>
      </c>
      <c r="H252" s="31" t="str">
        <f>[3]!EQS(F252,"Units= ; EqnPrefix=Valem  ; EqnNo= 0; Multiplication= 1; ShowWorking= 1; EqnStyle=2; Eqp$G$17_0")</f>
        <v/>
      </c>
      <c r="I252" s="30" t="s">
        <v>127</v>
      </c>
    </row>
    <row r="253" spans="1:12" s="23" customFormat="1" ht="18" outlineLevel="1">
      <c r="A253" s="71"/>
      <c r="B253" s="71"/>
      <c r="C253" s="57" t="s">
        <v>165</v>
      </c>
      <c r="D253" s="35"/>
      <c r="E253" s="37"/>
      <c r="F253" s="45"/>
      <c r="G253" s="61"/>
      <c r="H253" s="31"/>
      <c r="I253" s="30"/>
    </row>
    <row r="254" spans="1:12" s="23" customFormat="1" ht="19.5" outlineLevel="1">
      <c r="A254" s="71"/>
      <c r="B254" s="71"/>
      <c r="C254" s="48"/>
      <c r="D254" s="35"/>
      <c r="E254" s="114" t="s">
        <v>125</v>
      </c>
      <c r="F254" s="45">
        <f>F249*F248</f>
        <v>6.25E-2</v>
      </c>
      <c r="G254" s="61" t="s">
        <v>81</v>
      </c>
      <c r="H254" s="31" t="str">
        <f>[3]!EQS(F254,"Units= ; EqnPrefix=Valem  ; EqnNo= 0; Multiplication= 1; ShowWorking= 1; EqnStyle= 2; Eqp$H$137_2")</f>
        <v/>
      </c>
      <c r="I254" s="30" t="s">
        <v>128</v>
      </c>
    </row>
    <row r="255" spans="1:12" s="23" customFormat="1" ht="18" outlineLevel="1">
      <c r="A255" s="71"/>
      <c r="B255" s="71"/>
      <c r="C255" s="35" t="s">
        <v>65</v>
      </c>
      <c r="D255" s="35"/>
      <c r="F255" s="27"/>
      <c r="G255" s="59"/>
      <c r="I255" s="32"/>
    </row>
    <row r="256" spans="1:12" s="23" customFormat="1" ht="18" outlineLevel="1">
      <c r="A256" s="71"/>
      <c r="B256" s="71"/>
      <c r="C256" s="35"/>
      <c r="D256" s="35"/>
      <c r="E256" s="28"/>
      <c r="F256" s="27"/>
      <c r="G256" s="59"/>
      <c r="I256" s="32"/>
    </row>
    <row r="257" spans="1:13" s="23" customFormat="1" ht="18" outlineLevel="1">
      <c r="A257" s="71"/>
      <c r="B257" s="71"/>
      <c r="C257" s="35"/>
      <c r="D257" s="35"/>
      <c r="G257" s="58"/>
    </row>
    <row r="258" spans="1:13" s="23" customFormat="1" ht="19.5" outlineLevel="1">
      <c r="A258" s="71"/>
      <c r="B258" s="71"/>
      <c r="C258" s="35"/>
      <c r="D258" s="35"/>
      <c r="E258" s="114" t="s">
        <v>57</v>
      </c>
      <c r="F258" s="42">
        <f>F150*LN(F247/F151)*F147</f>
        <v>26.251212335920307</v>
      </c>
      <c r="G258" s="59" t="s">
        <v>43</v>
      </c>
      <c r="H258" s="31" t="str">
        <f>[3]!EQS(F258,"Units= ; EqnPrefix=Valem  ; EqnNo= 0; Multiplication= 1; ShowWorking= 0; EqnStyle= 2; Eqp$H$54_2")</f>
        <v/>
      </c>
      <c r="I258" s="40" t="s">
        <v>621</v>
      </c>
      <c r="J258" s="31"/>
    </row>
    <row r="259" spans="1:13" s="23" customFormat="1" ht="18" outlineLevel="1">
      <c r="A259" s="71"/>
      <c r="B259" s="71"/>
      <c r="C259" s="35"/>
      <c r="D259" s="35"/>
      <c r="E259" s="28"/>
      <c r="F259" s="42"/>
      <c r="G259" s="59"/>
      <c r="H259" s="31" t="str">
        <f>[3]!EQS(F258,"Units= ; EqnPrefix=Valem  ; EqnNo= 0; Multiplication= 1; ShowWorking= 1; EqnStyle= 2; Eqp$H$54_$H$55_3")</f>
        <v/>
      </c>
      <c r="I259" s="40" t="s">
        <v>64</v>
      </c>
      <c r="J259" s="31"/>
    </row>
    <row r="260" spans="1:13" s="23" customFormat="1" ht="18" outlineLevel="1">
      <c r="A260" s="71"/>
      <c r="B260" s="71"/>
      <c r="C260" s="41" t="s">
        <v>77</v>
      </c>
      <c r="D260" s="41"/>
      <c r="F260" s="42"/>
      <c r="G260" s="59"/>
      <c r="H260" s="31"/>
      <c r="I260" s="40"/>
      <c r="J260" s="31"/>
    </row>
    <row r="261" spans="1:13" s="23" customFormat="1" ht="19.5" outlineLevel="1">
      <c r="A261" s="71"/>
      <c r="B261" s="71"/>
      <c r="C261" s="35"/>
      <c r="D261" s="35"/>
      <c r="E261" s="114" t="s">
        <v>75</v>
      </c>
      <c r="F261" s="42">
        <f>1/2*F149*F258^2</f>
        <v>422.08976632716445</v>
      </c>
      <c r="G261" s="61" t="s">
        <v>76</v>
      </c>
      <c r="H261" s="31" t="str">
        <f>[3]!EQS(F261,"Units= ; EqnPrefix=Valem  ; EqnNo= 0; Multiplication= 1; ShowWorking= 0; EqnStyle= 2; Eqp$G$21_0")</f>
        <v/>
      </c>
      <c r="I261" s="40" t="s">
        <v>616</v>
      </c>
      <c r="J261" s="31"/>
    </row>
    <row r="262" spans="1:13" s="23" customFormat="1" ht="18" outlineLevel="1">
      <c r="A262" s="71"/>
      <c r="B262" s="71"/>
      <c r="C262" s="35"/>
      <c r="D262" s="35"/>
      <c r="E262" s="37"/>
      <c r="F262" s="42"/>
      <c r="G262" s="61"/>
      <c r="H262" s="31" t="str">
        <f>[3]!EQS(F261,"Units= ; EqnPrefix=Valem  ; EqnNo= 0; Multiplication= 1; ShowWorking= 1; EqnStyle= 2; Eqp$G$21_$G$25_1")</f>
        <v/>
      </c>
      <c r="I262" s="40" t="s">
        <v>617</v>
      </c>
      <c r="J262" s="31"/>
    </row>
    <row r="263" spans="1:13" s="23" customFormat="1" ht="18" outlineLevel="1">
      <c r="A263" s="71"/>
      <c r="B263" s="71"/>
      <c r="C263" s="35" t="s">
        <v>79</v>
      </c>
      <c r="D263" s="35"/>
      <c r="E263" s="37"/>
      <c r="F263" s="42"/>
      <c r="G263" s="61"/>
      <c r="I263" s="40"/>
      <c r="J263" s="31"/>
    </row>
    <row r="264" spans="1:13" s="23" customFormat="1" ht="19.5" outlineLevel="1">
      <c r="A264" s="71"/>
      <c r="B264" s="71"/>
      <c r="C264" s="35"/>
      <c r="D264" s="35"/>
      <c r="E264" s="114" t="s">
        <v>80</v>
      </c>
      <c r="F264" s="42">
        <f>(1+2.28/LN(F247/F151))^2</f>
        <v>1.8131807308313552</v>
      </c>
      <c r="G264" s="61"/>
      <c r="H264" s="31" t="str">
        <f>[3]!EQS(F264,"Units= ; EqnPrefix=Valem  ; EqnNo= 0; Multiplication= 1; ShowWorking= 0; EqnStyle= 2; Eqp$G$24_0")</f>
        <v/>
      </c>
      <c r="I264" s="40" t="s">
        <v>623</v>
      </c>
      <c r="J264" s="31"/>
    </row>
    <row r="265" spans="1:13" s="23" customFormat="1" ht="18" outlineLevel="1">
      <c r="A265" s="71"/>
      <c r="B265" s="71"/>
      <c r="C265" s="35"/>
      <c r="D265" s="35"/>
      <c r="E265" s="37"/>
      <c r="F265" s="42"/>
      <c r="G265" s="61"/>
      <c r="H265" s="31" t="str">
        <f>[3]!EQS(F264,"Units= ; EqnPrefix=Valem  ; EqnNo= 0; Multiplication= 1; ShowWorking= 1; EqnStyle= 2; Eqp$G$24_$G$28_1")</f>
        <v/>
      </c>
      <c r="I265" s="40" t="s">
        <v>613</v>
      </c>
      <c r="J265" s="31"/>
    </row>
    <row r="266" spans="1:13" s="23" customFormat="1" ht="18" outlineLevel="1">
      <c r="A266" s="71"/>
      <c r="B266" s="71"/>
      <c r="C266" s="23" t="s">
        <v>50</v>
      </c>
      <c r="E266" s="37"/>
      <c r="F266" s="42"/>
      <c r="G266" s="61"/>
      <c r="J266" s="31"/>
    </row>
    <row r="267" spans="1:13" s="23" customFormat="1" ht="19.5" outlineLevel="1">
      <c r="A267" s="71"/>
      <c r="B267" s="71"/>
      <c r="C267" s="35"/>
      <c r="D267" s="35"/>
      <c r="E267" s="28" t="s">
        <v>52</v>
      </c>
      <c r="F267" s="23">
        <v>1.1499999999999999</v>
      </c>
      <c r="G267" s="58"/>
      <c r="J267" s="31"/>
    </row>
    <row r="268" spans="1:13" s="23" customFormat="1" ht="18" outlineLevel="1">
      <c r="A268" s="71"/>
      <c r="B268" s="71"/>
      <c r="C268" s="57" t="s">
        <v>145</v>
      </c>
      <c r="D268" s="35"/>
      <c r="E268" s="31"/>
      <c r="F268" s="50"/>
      <c r="G268" s="58"/>
      <c r="H268" s="31"/>
      <c r="I268" s="40"/>
      <c r="J268" s="31"/>
    </row>
    <row r="269" spans="1:13" s="23" customFormat="1" ht="19.5" outlineLevel="1">
      <c r="A269" s="71"/>
      <c r="B269" s="71"/>
      <c r="C269" s="35"/>
      <c r="D269" s="35"/>
      <c r="E269" s="131" t="s">
        <v>149</v>
      </c>
      <c r="F269" s="134">
        <v>1.58</v>
      </c>
      <c r="G269" s="58"/>
      <c r="H269" s="31"/>
      <c r="I269" s="131" t="s">
        <v>640</v>
      </c>
      <c r="J269" s="23">
        <v>1.5</v>
      </c>
      <c r="K269" s="23">
        <v>1.62</v>
      </c>
      <c r="L269" s="23">
        <v>1.75</v>
      </c>
      <c r="M269" s="129" t="s">
        <v>639</v>
      </c>
    </row>
    <row r="270" spans="1:13" s="23" customFormat="1" ht="19.5" outlineLevel="1">
      <c r="A270" s="71"/>
      <c r="B270" s="71"/>
      <c r="C270" s="35"/>
      <c r="D270" s="35"/>
      <c r="E270" s="31"/>
      <c r="F270" s="50"/>
      <c r="G270" s="58"/>
      <c r="H270" s="31"/>
      <c r="I270" s="131" t="s">
        <v>641</v>
      </c>
      <c r="J270" s="23">
        <v>1.48</v>
      </c>
      <c r="K270" s="46">
        <f>(K269-J269)/(L269-J269)*(L270-J270)+J270</f>
        <v>1.5760000000000001</v>
      </c>
      <c r="L270" s="23">
        <v>1.68</v>
      </c>
    </row>
    <row r="271" spans="1:13" s="23" customFormat="1" ht="18" outlineLevel="1">
      <c r="A271" s="71"/>
      <c r="B271" s="71"/>
      <c r="C271" s="57" t="s">
        <v>146</v>
      </c>
      <c r="D271" s="35"/>
      <c r="E271" s="31"/>
      <c r="F271" s="50"/>
      <c r="G271" s="58"/>
      <c r="H271" s="31"/>
      <c r="J271" s="40"/>
      <c r="K271" s="31"/>
    </row>
    <row r="272" spans="1:13" s="23" customFormat="1" ht="19.5" outlineLevel="1">
      <c r="A272" s="71"/>
      <c r="B272" s="71"/>
      <c r="C272" s="57"/>
      <c r="D272" s="35"/>
      <c r="E272" s="131" t="s">
        <v>150</v>
      </c>
      <c r="F272" s="134">
        <v>1.75</v>
      </c>
      <c r="G272" s="58"/>
      <c r="H272" s="31"/>
      <c r="I272" s="131" t="s">
        <v>640</v>
      </c>
      <c r="J272" s="23">
        <v>1.75</v>
      </c>
      <c r="K272" s="23">
        <v>1.84</v>
      </c>
      <c r="L272" s="23">
        <v>2</v>
      </c>
      <c r="M272" s="129" t="s">
        <v>639</v>
      </c>
    </row>
    <row r="273" spans="1:12" s="23" customFormat="1" ht="19.5" outlineLevel="1">
      <c r="A273" s="71"/>
      <c r="B273" s="71"/>
      <c r="C273" s="35"/>
      <c r="D273" s="35"/>
      <c r="E273" s="31"/>
      <c r="F273" s="50"/>
      <c r="G273" s="58"/>
      <c r="H273" s="31"/>
      <c r="I273" s="131" t="s">
        <v>641</v>
      </c>
      <c r="J273" s="23">
        <v>1.68</v>
      </c>
      <c r="K273" s="46">
        <f>(K272-J272)/(L272-J272)*(L273-J273)+J273</f>
        <v>1.752</v>
      </c>
      <c r="L273" s="23">
        <v>1.88</v>
      </c>
    </row>
    <row r="274" spans="1:12" s="23" customFormat="1" ht="18" outlineLevel="1">
      <c r="A274" s="71"/>
      <c r="B274" s="71"/>
      <c r="C274" s="57" t="s">
        <v>134</v>
      </c>
      <c r="D274" s="35"/>
      <c r="E274" s="31"/>
      <c r="F274" s="31"/>
      <c r="G274" s="58"/>
      <c r="H274" s="31"/>
      <c r="I274" s="40"/>
      <c r="J274" s="31"/>
    </row>
    <row r="275" spans="1:12" s="23" customFormat="1" ht="19.5" outlineLevel="1">
      <c r="A275" s="71"/>
      <c r="B275" s="71"/>
      <c r="C275" s="35"/>
      <c r="D275" s="35"/>
      <c r="E275" s="132" t="s">
        <v>155</v>
      </c>
      <c r="F275" s="125">
        <f>COS(RADIANS(86))^2</f>
        <v>4.8659656292148329E-3</v>
      </c>
      <c r="G275" s="58"/>
      <c r="H275" s="31" t="str">
        <f>[3]!EQS(F275,"Units= ; EqnPrefix=Valem  ; EqnNo= 0; Multiplication= 1; ShowWorking= 0; EqnStyle= 2; Eqp$H$75_2")</f>
        <v/>
      </c>
      <c r="I275" s="40" t="s">
        <v>626</v>
      </c>
      <c r="J275" s="31"/>
    </row>
    <row r="276" spans="1:12" s="23" customFormat="1" ht="18" outlineLevel="1">
      <c r="A276" s="71"/>
      <c r="B276" s="71"/>
      <c r="C276" s="57" t="s">
        <v>151</v>
      </c>
      <c r="D276" s="35"/>
      <c r="E276" s="55"/>
      <c r="F276" s="53"/>
      <c r="G276" s="58"/>
      <c r="H276" s="31"/>
      <c r="I276" s="40"/>
      <c r="J276" s="31"/>
    </row>
    <row r="277" spans="1:12" s="23" customFormat="1" ht="19.5" outlineLevel="1">
      <c r="A277" s="71"/>
      <c r="B277" s="71"/>
      <c r="C277" s="35"/>
      <c r="D277" s="35"/>
      <c r="E277" s="132" t="s">
        <v>156</v>
      </c>
      <c r="F277" s="125">
        <f>COS(RADIANS(4))^2</f>
        <v>0.99513403437078507</v>
      </c>
      <c r="G277" s="58"/>
      <c r="H277" s="31" t="str">
        <f>[3]!EQS(F277,"Units= ; EqnPrefix=Valem  ; EqnNo= 0; Multiplication= 1; ShowWorking= 0; EqnStyle= 2; Eqp$H$75_2")</f>
        <v/>
      </c>
      <c r="I277" s="40" t="s">
        <v>627</v>
      </c>
      <c r="J277" s="31"/>
    </row>
    <row r="278" spans="1:12" s="23" customFormat="1" ht="18">
      <c r="A278" s="71"/>
      <c r="B278" s="71"/>
      <c r="C278" s="57" t="s">
        <v>135</v>
      </c>
      <c r="D278" s="35"/>
      <c r="G278" s="58"/>
    </row>
    <row r="279" spans="1:12" s="23" customFormat="1" ht="19.5">
      <c r="A279" s="71"/>
      <c r="B279" s="71"/>
      <c r="C279" s="35"/>
      <c r="D279" s="35"/>
      <c r="E279" s="114" t="s">
        <v>152</v>
      </c>
      <c r="F279" s="46">
        <f>F261*F264*F267*F269*F248*F275</f>
        <v>1.6916475756868032</v>
      </c>
      <c r="G279" s="61" t="s">
        <v>86</v>
      </c>
      <c r="H279" s="31" t="str">
        <f>[3]!EQS(F279,"Units= ; EqnPrefix=Valem  ; EqnNo= 0; Multiplication= 1; ShowWorking= 0; EqnStyle= 2; Eqp$G$39_0")</f>
        <v/>
      </c>
      <c r="I279" s="30" t="s">
        <v>629</v>
      </c>
    </row>
    <row r="280" spans="1:12" s="23" customFormat="1" ht="18">
      <c r="A280" s="71"/>
      <c r="B280" s="71"/>
      <c r="C280" s="35"/>
      <c r="D280" s="35"/>
      <c r="G280" s="58"/>
      <c r="H280" s="23" t="str">
        <f>[3]!EQS(F279,"Units= ; EqnPrefix=Valem  ; EqnNo= 0; Multiplication= 1; ShowWorking= 1; EqnStyle= 2; Eqp$G$39_$G$40_1")</f>
        <v/>
      </c>
      <c r="I280" s="30" t="s">
        <v>649</v>
      </c>
    </row>
    <row r="281" spans="1:12" s="23" customFormat="1" ht="18">
      <c r="A281" s="71"/>
      <c r="B281" s="71"/>
      <c r="C281" s="57" t="s">
        <v>158</v>
      </c>
      <c r="D281" s="35"/>
      <c r="G281" s="58"/>
    </row>
    <row r="282" spans="1:12" s="23" customFormat="1" ht="19.5">
      <c r="A282" s="71"/>
      <c r="B282" s="71"/>
      <c r="C282" s="35"/>
      <c r="D282" s="35"/>
      <c r="E282" s="114" t="s">
        <v>153</v>
      </c>
      <c r="F282" s="46">
        <f>F261*F264*F267*F272*F249*F248*F277</f>
        <v>95.795123981266286</v>
      </c>
      <c r="G282" s="62" t="s">
        <v>154</v>
      </c>
      <c r="H282" s="31" t="str">
        <f>[3]!EQS(F282,"Units= ; EqnPrefix=Valem  ; EqnNo= 0; Multiplication= 1; ShowWorking= 0; EqnStyle= 2; Eqp$G$39_0")</f>
        <v/>
      </c>
      <c r="I282" s="30" t="s">
        <v>630</v>
      </c>
    </row>
    <row r="283" spans="1:12" s="23" customFormat="1" ht="18">
      <c r="A283" s="71"/>
      <c r="B283" s="71"/>
      <c r="C283" s="35"/>
      <c r="D283" s="35"/>
      <c r="G283" s="58"/>
      <c r="H283" s="23" t="str">
        <f>[3]!EQS(F282,"Units= ; EqnPrefix=Valem  ; EqnNo= 0; Multiplication= 1; ShowWorking= 1; EqnStyle= 2; Eqp$G$39_$G$40_1")</f>
        <v/>
      </c>
      <c r="I283" s="30" t="s">
        <v>650</v>
      </c>
    </row>
    <row r="284" spans="1:12" s="23" customFormat="1" ht="18">
      <c r="A284" s="71"/>
      <c r="B284" s="73" t="s">
        <v>159</v>
      </c>
      <c r="C284" s="36"/>
      <c r="D284" s="36"/>
      <c r="E284" s="29"/>
      <c r="F284" s="29"/>
      <c r="G284" s="60"/>
      <c r="H284" s="29"/>
      <c r="I284" s="29"/>
      <c r="J284" s="29"/>
      <c r="K284" s="29"/>
      <c r="L284" s="29"/>
    </row>
    <row r="285" spans="1:12" s="23" customFormat="1" ht="18" outlineLevel="1">
      <c r="A285" s="71"/>
      <c r="B285" s="71"/>
      <c r="C285" s="57" t="s">
        <v>160</v>
      </c>
      <c r="D285" s="35"/>
      <c r="E285" s="24"/>
      <c r="G285" s="58"/>
    </row>
    <row r="286" spans="1:12" s="23" customFormat="1" ht="18" outlineLevel="1">
      <c r="A286" s="71"/>
      <c r="B286" s="71"/>
      <c r="C286" s="35"/>
      <c r="D286" s="35"/>
      <c r="E286" s="114" t="s">
        <v>517</v>
      </c>
      <c r="F286" s="33">
        <v>41</v>
      </c>
      <c r="G286" s="59" t="s">
        <v>51</v>
      </c>
      <c r="I286" s="38" t="s">
        <v>109</v>
      </c>
    </row>
    <row r="287" spans="1:12" s="23" customFormat="1" ht="18" outlineLevel="1">
      <c r="A287" s="71"/>
      <c r="B287" s="71"/>
      <c r="C287" s="35"/>
      <c r="D287" s="35"/>
      <c r="E287" s="114" t="s">
        <v>242</v>
      </c>
      <c r="F287" s="33">
        <f>0.25+0.02</f>
        <v>0.27</v>
      </c>
      <c r="G287" s="59" t="s">
        <v>51</v>
      </c>
    </row>
    <row r="288" spans="1:12" s="23" customFormat="1" ht="18" outlineLevel="1">
      <c r="A288" s="71"/>
      <c r="B288" s="71"/>
      <c r="C288" s="35"/>
      <c r="D288" s="35"/>
      <c r="E288" s="114" t="s">
        <v>516</v>
      </c>
      <c r="F288" s="33">
        <f>0.15+0.2</f>
        <v>0.35</v>
      </c>
      <c r="G288" s="62" t="s">
        <v>51</v>
      </c>
      <c r="I288" s="54" t="s">
        <v>124</v>
      </c>
    </row>
    <row r="289" spans="1:10" s="23" customFormat="1" ht="18" outlineLevel="1">
      <c r="A289" s="71"/>
      <c r="B289" s="71"/>
      <c r="C289" s="35"/>
      <c r="D289" s="35"/>
      <c r="E289" s="114" t="s">
        <v>249</v>
      </c>
      <c r="F289" s="33">
        <v>5</v>
      </c>
      <c r="G289" s="61" t="s">
        <v>51</v>
      </c>
      <c r="I289" s="38" t="s">
        <v>94</v>
      </c>
    </row>
    <row r="290" spans="1:10" s="23" customFormat="1" ht="18" outlineLevel="1">
      <c r="A290" s="71"/>
      <c r="B290" s="71"/>
      <c r="C290" s="38" t="s">
        <v>99</v>
      </c>
      <c r="D290" s="38"/>
      <c r="E290" s="28"/>
      <c r="F290" s="27"/>
      <c r="G290" s="59"/>
      <c r="I290" s="32"/>
    </row>
    <row r="291" spans="1:10" s="23" customFormat="1" ht="19.5" outlineLevel="1">
      <c r="A291" s="71"/>
      <c r="B291" s="71"/>
      <c r="C291" s="35"/>
      <c r="D291" s="35"/>
      <c r="E291" s="114" t="s">
        <v>98</v>
      </c>
      <c r="F291" s="45">
        <f>F288*F289</f>
        <v>1.75</v>
      </c>
      <c r="G291" s="61" t="s">
        <v>81</v>
      </c>
      <c r="H291" s="31" t="str">
        <f>[3]!EQS(F291,"Units= ; EqnPrefix=Valem  ; EqnNo= 0; Multiplication= 1; ShowWorking= 1; EqnStyle=2; Eqp$G$17_0")</f>
        <v/>
      </c>
      <c r="I291" s="30" t="s">
        <v>643</v>
      </c>
    </row>
    <row r="292" spans="1:10" s="23" customFormat="1" ht="18" outlineLevel="1">
      <c r="A292" s="71"/>
      <c r="B292" s="71"/>
      <c r="C292" s="57" t="s">
        <v>165</v>
      </c>
      <c r="D292" s="35"/>
      <c r="E292" s="37"/>
      <c r="F292" s="45"/>
      <c r="G292" s="61"/>
      <c r="H292" s="31"/>
      <c r="I292" s="30"/>
    </row>
    <row r="293" spans="1:10" s="23" customFormat="1" ht="19.5" outlineLevel="1">
      <c r="A293" s="71"/>
      <c r="B293" s="71"/>
      <c r="C293" s="48"/>
      <c r="D293" s="35"/>
      <c r="E293" s="114" t="s">
        <v>125</v>
      </c>
      <c r="F293" s="45">
        <f>F289*F287</f>
        <v>1.35</v>
      </c>
      <c r="G293" s="61" t="s">
        <v>81</v>
      </c>
      <c r="H293" s="31" t="str">
        <f>[3]!EQS(F293,"Units= ; EqnPrefix=Valem  ; EqnNo= 0; Multiplication= 1; ShowWorking= 1; EqnStyle= 2; Eqp$H$137_2")</f>
        <v/>
      </c>
      <c r="I293" s="30" t="s">
        <v>642</v>
      </c>
    </row>
    <row r="294" spans="1:10" s="23" customFormat="1" ht="18" outlineLevel="1">
      <c r="A294" s="71"/>
      <c r="B294" s="71"/>
      <c r="C294" s="35" t="s">
        <v>65</v>
      </c>
      <c r="D294" s="35"/>
      <c r="F294" s="27"/>
      <c r="G294" s="59"/>
      <c r="I294" s="32"/>
    </row>
    <row r="295" spans="1:10" s="23" customFormat="1" ht="18" outlineLevel="1">
      <c r="A295" s="71"/>
      <c r="B295" s="71"/>
      <c r="C295" s="35"/>
      <c r="D295" s="35"/>
      <c r="E295" s="28"/>
      <c r="F295" s="27"/>
      <c r="G295" s="59"/>
      <c r="I295" s="32"/>
    </row>
    <row r="296" spans="1:10" s="23" customFormat="1" ht="18" outlineLevel="1">
      <c r="A296" s="71"/>
      <c r="B296" s="71"/>
      <c r="C296" s="35"/>
      <c r="D296" s="35"/>
      <c r="G296" s="58"/>
    </row>
    <row r="297" spans="1:10" s="23" customFormat="1" ht="19.5" outlineLevel="1">
      <c r="A297" s="71"/>
      <c r="B297" s="71"/>
      <c r="C297" s="35"/>
      <c r="D297" s="35"/>
      <c r="E297" s="114" t="s">
        <v>57</v>
      </c>
      <c r="F297" s="42">
        <f>F150*LN(F286/F151)*F147</f>
        <v>26.770124317630611</v>
      </c>
      <c r="G297" s="59" t="s">
        <v>43</v>
      </c>
      <c r="H297" s="31" t="str">
        <f>[3]!EQS(F297,"Units= ; EqnPrefix=Valem  ; EqnNo= 0; Multiplication= 1; ShowWorking= 0; EqnStyle= 2; Eqp$H$54_2")</f>
        <v/>
      </c>
      <c r="I297" s="40" t="s">
        <v>621</v>
      </c>
      <c r="J297" s="31"/>
    </row>
    <row r="298" spans="1:10" s="23" customFormat="1" ht="18" outlineLevel="1">
      <c r="A298" s="71"/>
      <c r="B298" s="71"/>
      <c r="C298" s="35"/>
      <c r="D298" s="35"/>
      <c r="E298" s="28"/>
      <c r="F298" s="42"/>
      <c r="G298" s="59"/>
      <c r="H298" s="31" t="str">
        <f>[3]!EQS(F297,"Units= ; EqnPrefix=Valem  ; EqnNo= 0; Multiplication= 1; ShowWorking= 1; EqnStyle= 2; Eqp$H$54_$H$55_3")</f>
        <v/>
      </c>
      <c r="I298" s="40" t="s">
        <v>161</v>
      </c>
      <c r="J298" s="31"/>
    </row>
    <row r="299" spans="1:10" s="23" customFormat="1" ht="18" outlineLevel="1">
      <c r="A299" s="71"/>
      <c r="B299" s="71"/>
      <c r="C299" s="41" t="s">
        <v>77</v>
      </c>
      <c r="D299" s="41"/>
      <c r="F299" s="42"/>
      <c r="G299" s="59"/>
      <c r="H299" s="31"/>
      <c r="I299" s="40"/>
      <c r="J299" s="31"/>
    </row>
    <row r="300" spans="1:10" s="23" customFormat="1" ht="19.5" outlineLevel="1">
      <c r="A300" s="71"/>
      <c r="B300" s="71"/>
      <c r="C300" s="35"/>
      <c r="D300" s="35"/>
      <c r="E300" s="114" t="s">
        <v>75</v>
      </c>
      <c r="F300" s="42">
        <f>1/2*F149*F297^2</f>
        <v>438.94172803860613</v>
      </c>
      <c r="G300" s="61" t="s">
        <v>76</v>
      </c>
      <c r="H300" s="31" t="str">
        <f>[3]!EQS(F300,"Units= ; EqnPrefix=Valem  ; EqnNo= 0; Multiplication= 1; ShowWorking= 0; EqnStyle= 2; Eqp$G$21_0")</f>
        <v/>
      </c>
      <c r="I300" s="40" t="s">
        <v>616</v>
      </c>
      <c r="J300" s="31"/>
    </row>
    <row r="301" spans="1:10" s="23" customFormat="1" ht="18" outlineLevel="1">
      <c r="A301" s="71"/>
      <c r="B301" s="71"/>
      <c r="C301" s="35"/>
      <c r="D301" s="35"/>
      <c r="E301" s="37"/>
      <c r="F301" s="42"/>
      <c r="G301" s="61"/>
      <c r="H301" s="31" t="str">
        <f>[3]!EQS(F300,"Units= ; EqnPrefix=Valem  ; EqnNo= 0; Multiplication= 1; ShowWorking= 1; EqnStyle= 2; Eqp$G$21_$G$25_1")</f>
        <v/>
      </c>
      <c r="I301" s="40" t="s">
        <v>644</v>
      </c>
      <c r="J301" s="31"/>
    </row>
    <row r="302" spans="1:10" s="23" customFormat="1" ht="18" outlineLevel="1">
      <c r="A302" s="71"/>
      <c r="B302" s="71"/>
      <c r="C302" s="35" t="s">
        <v>79</v>
      </c>
      <c r="D302" s="35"/>
      <c r="E302" s="37"/>
      <c r="F302" s="42"/>
      <c r="G302" s="61"/>
      <c r="I302" s="40"/>
      <c r="J302" s="31"/>
    </row>
    <row r="303" spans="1:10" s="23" customFormat="1" ht="19.5" outlineLevel="1">
      <c r="A303" s="71"/>
      <c r="B303" s="71"/>
      <c r="C303" s="35"/>
      <c r="D303" s="35"/>
      <c r="E303" s="114" t="s">
        <v>80</v>
      </c>
      <c r="F303" s="42">
        <f>(1+2.28/LN(F286/F151))^2</f>
        <v>1.7951352851913878</v>
      </c>
      <c r="G303" s="61"/>
      <c r="H303" s="31" t="str">
        <f>[3]!EQS(F303,"Units= ; EqnPrefix=Valem  ; EqnNo= 0; Multiplication= 1; ShowWorking= 0; EqnStyle= 2; Eqp$G$24_0")</f>
        <v/>
      </c>
      <c r="I303" s="40" t="s">
        <v>623</v>
      </c>
      <c r="J303" s="31"/>
    </row>
    <row r="304" spans="1:10" s="23" customFormat="1" ht="18" outlineLevel="1">
      <c r="A304" s="71"/>
      <c r="B304" s="71"/>
      <c r="C304" s="35"/>
      <c r="D304" s="35"/>
      <c r="E304" s="37"/>
      <c r="F304" s="42"/>
      <c r="G304" s="61"/>
      <c r="H304" s="31" t="str">
        <f>[3]!EQS(F303,"Units= ; EqnPrefix=Valem  ; EqnNo= 0; Multiplication= 1; ShowWorking= 1; EqnStyle= 2; Eqp$G$24_$G$28_1")</f>
        <v/>
      </c>
      <c r="I304" s="40" t="s">
        <v>645</v>
      </c>
      <c r="J304" s="31"/>
    </row>
    <row r="305" spans="1:13" s="23" customFormat="1" ht="18" outlineLevel="1">
      <c r="A305" s="71"/>
      <c r="B305" s="71"/>
      <c r="C305" s="23" t="s">
        <v>50</v>
      </c>
      <c r="E305" s="37"/>
      <c r="F305" s="42"/>
      <c r="G305" s="61"/>
      <c r="J305" s="31"/>
    </row>
    <row r="306" spans="1:13" s="23" customFormat="1" ht="19.5" outlineLevel="1">
      <c r="A306" s="71"/>
      <c r="B306" s="71"/>
      <c r="C306" s="35"/>
      <c r="D306" s="35"/>
      <c r="E306" s="28" t="s">
        <v>52</v>
      </c>
      <c r="F306" s="23">
        <v>1.1499999999999999</v>
      </c>
      <c r="G306" s="58"/>
      <c r="J306" s="31"/>
    </row>
    <row r="307" spans="1:13" s="23" customFormat="1" ht="18" outlineLevel="1">
      <c r="A307" s="71"/>
      <c r="B307" s="71"/>
      <c r="C307" s="57" t="s">
        <v>145</v>
      </c>
      <c r="D307" s="35"/>
      <c r="E307" s="31"/>
      <c r="F307" s="50"/>
      <c r="G307" s="58"/>
      <c r="H307" s="31"/>
      <c r="I307" s="40"/>
      <c r="J307" s="31"/>
    </row>
    <row r="308" spans="1:13" s="23" customFormat="1" ht="19.5" outlineLevel="1">
      <c r="A308" s="71"/>
      <c r="B308" s="71"/>
      <c r="C308" s="35"/>
      <c r="D308" s="35"/>
      <c r="E308" s="131" t="s">
        <v>170</v>
      </c>
      <c r="F308" s="134">
        <v>1.5</v>
      </c>
      <c r="G308" s="58"/>
      <c r="H308" s="31"/>
      <c r="I308" s="131" t="s">
        <v>640</v>
      </c>
      <c r="J308" s="23">
        <v>1.5</v>
      </c>
      <c r="K308" s="23">
        <v>1.53</v>
      </c>
      <c r="L308" s="23">
        <v>1.75</v>
      </c>
      <c r="M308" s="129" t="s">
        <v>639</v>
      </c>
    </row>
    <row r="309" spans="1:13" s="23" customFormat="1" ht="19.5" outlineLevel="1">
      <c r="A309" s="71"/>
      <c r="B309" s="71"/>
      <c r="C309" s="35"/>
      <c r="D309" s="35"/>
      <c r="E309" s="31"/>
      <c r="F309" s="50"/>
      <c r="G309" s="58"/>
      <c r="H309" s="31"/>
      <c r="I309" s="131" t="s">
        <v>641</v>
      </c>
      <c r="J309" s="23">
        <v>1.48</v>
      </c>
      <c r="K309" s="46">
        <f>(K308-J308)/(L308-J308)*(L309-J309)+J309</f>
        <v>1.504</v>
      </c>
      <c r="L309" s="23">
        <v>1.68</v>
      </c>
    </row>
    <row r="310" spans="1:13" s="23" customFormat="1" ht="18" outlineLevel="1">
      <c r="A310" s="71"/>
      <c r="B310" s="71"/>
      <c r="C310" s="57" t="s">
        <v>146</v>
      </c>
      <c r="D310" s="35"/>
      <c r="E310" s="31"/>
      <c r="F310" s="50"/>
      <c r="G310" s="58"/>
      <c r="H310" s="31"/>
      <c r="J310" s="40"/>
      <c r="K310" s="31"/>
    </row>
    <row r="311" spans="1:13" s="23" customFormat="1" ht="19.5" outlineLevel="1">
      <c r="A311" s="71"/>
      <c r="B311" s="71"/>
      <c r="C311" s="57"/>
      <c r="D311" s="35"/>
      <c r="E311" s="131" t="s">
        <v>171</v>
      </c>
      <c r="F311" s="134">
        <v>1.5</v>
      </c>
      <c r="G311" s="58"/>
      <c r="H311" s="31"/>
      <c r="I311" s="131" t="s">
        <v>640</v>
      </c>
      <c r="J311" s="23">
        <v>1.75</v>
      </c>
      <c r="K311" s="23">
        <v>1.53</v>
      </c>
      <c r="L311" s="23">
        <v>2</v>
      </c>
      <c r="M311" s="129" t="s">
        <v>639</v>
      </c>
    </row>
    <row r="312" spans="1:13" s="23" customFormat="1" ht="19.5" outlineLevel="1">
      <c r="A312" s="71"/>
      <c r="B312" s="71"/>
      <c r="C312" s="35"/>
      <c r="D312" s="35"/>
      <c r="E312" s="31"/>
      <c r="F312" s="50"/>
      <c r="G312" s="58"/>
      <c r="H312" s="31"/>
      <c r="I312" s="131" t="s">
        <v>641</v>
      </c>
      <c r="J312" s="23">
        <v>1.68</v>
      </c>
      <c r="K312" s="46">
        <f>(K311-J311)/(L311-J311)*(L312-J312)+J312</f>
        <v>1.504</v>
      </c>
      <c r="L312" s="23">
        <v>1.88</v>
      </c>
    </row>
    <row r="313" spans="1:13" s="23" customFormat="1" ht="18" outlineLevel="1">
      <c r="A313" s="71"/>
      <c r="B313" s="71"/>
      <c r="C313" s="57" t="s">
        <v>134</v>
      </c>
      <c r="D313" s="35"/>
      <c r="E313" s="31"/>
      <c r="F313" s="31"/>
      <c r="G313" s="58"/>
      <c r="H313" s="31"/>
      <c r="I313" s="40"/>
      <c r="J313" s="31"/>
    </row>
    <row r="314" spans="1:13" s="23" customFormat="1" ht="19.5" outlineLevel="1">
      <c r="A314" s="71"/>
      <c r="B314" s="71"/>
      <c r="C314" s="35"/>
      <c r="D314" s="35"/>
      <c r="E314" s="132" t="s">
        <v>155</v>
      </c>
      <c r="F314" s="125">
        <f>COS(RADIANS(86))^2</f>
        <v>4.8659656292148329E-3</v>
      </c>
      <c r="G314" s="58"/>
      <c r="H314" s="31" t="str">
        <f>[3]!EQS(F314,"Units= ; EqnPrefix=Valem  ; EqnNo= 0; Multiplication= 1; ShowWorking= 0; EqnStyle= 2; Eqp$H$75_2")</f>
        <v/>
      </c>
      <c r="I314" s="40" t="s">
        <v>626</v>
      </c>
      <c r="J314" s="31"/>
    </row>
    <row r="315" spans="1:13" s="23" customFormat="1" ht="18" outlineLevel="1">
      <c r="A315" s="71"/>
      <c r="B315" s="71"/>
      <c r="C315" s="57" t="s">
        <v>151</v>
      </c>
      <c r="D315" s="35"/>
      <c r="E315" s="55"/>
      <c r="F315" s="53"/>
      <c r="G315" s="58"/>
      <c r="H315" s="31"/>
      <c r="I315" s="40"/>
      <c r="J315" s="31"/>
    </row>
    <row r="316" spans="1:13" s="23" customFormat="1" ht="19.5" outlineLevel="1">
      <c r="A316" s="71"/>
      <c r="B316" s="71"/>
      <c r="C316" s="35"/>
      <c r="D316" s="35"/>
      <c r="E316" s="132" t="s">
        <v>156</v>
      </c>
      <c r="F316" s="125">
        <f>COS(RADIANS(4))^2</f>
        <v>0.99513403437078507</v>
      </c>
      <c r="G316" s="58"/>
      <c r="H316" s="31" t="str">
        <f>[3]!EQS(F316,"Units= ; EqnPrefix=Valem  ; EqnNo= 0; Multiplication= 1; ShowWorking= 0; EqnStyle= 2; Eqp$H$75_2")</f>
        <v/>
      </c>
      <c r="I316" s="40" t="s">
        <v>627</v>
      </c>
      <c r="J316" s="31"/>
    </row>
    <row r="317" spans="1:13" s="23" customFormat="1" ht="18">
      <c r="A317" s="71"/>
      <c r="B317" s="71"/>
      <c r="C317" s="57" t="s">
        <v>173</v>
      </c>
      <c r="D317" s="35"/>
      <c r="G317" s="58"/>
    </row>
    <row r="318" spans="1:13" s="23" customFormat="1" ht="19.5">
      <c r="A318" s="71"/>
      <c r="B318" s="71"/>
      <c r="C318" s="35"/>
      <c r="D318" s="35"/>
      <c r="E318" s="114" t="s">
        <v>152</v>
      </c>
      <c r="F318" s="46">
        <f>F300*F303*F306*F308*F288*F314</f>
        <v>2.3148893307125165</v>
      </c>
      <c r="G318" s="61" t="s">
        <v>86</v>
      </c>
      <c r="H318" s="31" t="str">
        <f>[3]!EQS(F318,"Units= ; EqnPrefix=Valem  ; EqnNo= 0; Multiplication= 1; ShowWorking= 0; EqnStyle= 2; Eqp$G$39_0")</f>
        <v/>
      </c>
      <c r="I318" s="30" t="s">
        <v>631</v>
      </c>
    </row>
    <row r="319" spans="1:13" s="23" customFormat="1" ht="18">
      <c r="A319" s="71"/>
      <c r="B319" s="71"/>
      <c r="C319" s="35"/>
      <c r="D319" s="35"/>
      <c r="G319" s="58"/>
      <c r="H319" s="23" t="str">
        <f>[3]!EQS(F318,"Units= ; EqnPrefix=Valem  ; EqnNo= 0; Multiplication= 1; ShowWorking= 1; EqnStyle= 2; Eqp$G$39_$G$40_1")</f>
        <v/>
      </c>
      <c r="I319" s="30" t="s">
        <v>646</v>
      </c>
    </row>
    <row r="320" spans="1:13" s="23" customFormat="1" ht="18">
      <c r="A320" s="71"/>
      <c r="B320" s="71"/>
      <c r="C320" s="57" t="s">
        <v>174</v>
      </c>
      <c r="D320" s="35"/>
      <c r="G320" s="58"/>
    </row>
    <row r="321" spans="1:10" s="23" customFormat="1" ht="19.5">
      <c r="A321" s="71"/>
      <c r="B321" s="71"/>
      <c r="C321" s="35"/>
      <c r="D321" s="35"/>
      <c r="E321" s="114" t="s">
        <v>153</v>
      </c>
      <c r="F321" s="46">
        <f>F300*F303*F306*F311*F287*F316</f>
        <v>365.20649769611936</v>
      </c>
      <c r="G321" s="62" t="s">
        <v>86</v>
      </c>
      <c r="H321" s="31" t="str">
        <f>[3]!EQS(F321,"Units= ; EqnPrefix=Valem  ; EqnNo= 0; Multiplication= 1; ShowWorking= 0; EqnStyle= 2; Eqp$G$39_0")</f>
        <v/>
      </c>
      <c r="I321" s="30" t="s">
        <v>632</v>
      </c>
    </row>
    <row r="322" spans="1:10" s="23" customFormat="1" ht="18">
      <c r="A322" s="71"/>
      <c r="B322" s="71"/>
      <c r="C322" s="35"/>
      <c r="D322" s="35"/>
      <c r="G322" s="58"/>
      <c r="H322" s="23" t="str">
        <f>[3]!EQS(F321,"Units= ; EqnPrefix=Valem  ; EqnNo= 0; Multiplication= 1; ShowWorking= 1; EqnStyle= 2; Eqp$G$39_$G$40_1")</f>
        <v/>
      </c>
      <c r="I322" s="30" t="s">
        <v>647</v>
      </c>
    </row>
    <row r="323" spans="1:10" s="23" customFormat="1" ht="18">
      <c r="A323" s="71"/>
      <c r="B323" s="71"/>
      <c r="C323" s="35"/>
      <c r="D323" s="35"/>
      <c r="G323" s="58"/>
    </row>
    <row r="324" spans="1:10" s="23" customFormat="1" ht="20.25">
      <c r="A324" s="123"/>
      <c r="B324" s="71" t="s">
        <v>682</v>
      </c>
      <c r="C324" s="35"/>
      <c r="D324" s="35"/>
      <c r="E324" s="66"/>
      <c r="F324" s="70"/>
      <c r="G324" s="67"/>
      <c r="H324" s="31"/>
      <c r="I324" s="30"/>
    </row>
    <row r="325" spans="1:10" s="23" customFormat="1" ht="20.25">
      <c r="A325" s="123"/>
      <c r="B325" s="71"/>
      <c r="C325" s="36" t="s">
        <v>412</v>
      </c>
      <c r="D325" s="35"/>
      <c r="E325" s="66"/>
      <c r="F325" s="70"/>
      <c r="G325" s="67"/>
      <c r="H325" s="31"/>
      <c r="I325" s="30"/>
    </row>
    <row r="326" spans="1:10" s="23" customFormat="1" ht="20.25">
      <c r="A326" s="123"/>
      <c r="B326" s="71"/>
      <c r="C326" s="94"/>
      <c r="D326" s="94" t="s">
        <v>419</v>
      </c>
      <c r="E326" s="66"/>
      <c r="F326" s="70"/>
      <c r="G326" s="67"/>
      <c r="H326" s="31"/>
      <c r="I326" s="30"/>
    </row>
    <row r="327" spans="1:10" s="23" customFormat="1" ht="21">
      <c r="A327" s="123"/>
      <c r="B327" s="71"/>
      <c r="C327" s="94"/>
      <c r="D327" s="35"/>
      <c r="E327" s="135" t="s">
        <v>420</v>
      </c>
      <c r="F327" s="117">
        <f>Jäitekoormus!F76</f>
        <v>11.428248816311019</v>
      </c>
      <c r="G327" s="97" t="s">
        <v>86</v>
      </c>
      <c r="H327" s="31"/>
      <c r="J327" s="95" t="s">
        <v>423</v>
      </c>
    </row>
    <row r="328" spans="1:10" s="23" customFormat="1" ht="20.25">
      <c r="A328" s="123"/>
      <c r="B328" s="71"/>
      <c r="C328" s="94"/>
      <c r="D328" s="35"/>
      <c r="E328" s="135" t="s">
        <v>407</v>
      </c>
      <c r="F328" s="118">
        <f>Jäitekoormus!F71</f>
        <v>2.01E-2</v>
      </c>
      <c r="G328" s="97" t="s">
        <v>51</v>
      </c>
      <c r="H328" s="31"/>
      <c r="J328" s="95" t="s">
        <v>408</v>
      </c>
    </row>
    <row r="329" spans="1:10" s="23" customFormat="1" ht="20.25">
      <c r="A329" s="123"/>
      <c r="B329" s="71"/>
      <c r="C329" s="94"/>
      <c r="D329" s="35"/>
      <c r="E329" s="135" t="s">
        <v>371</v>
      </c>
      <c r="F329" s="70">
        <v>9.81</v>
      </c>
      <c r="G329" s="97" t="s">
        <v>372</v>
      </c>
      <c r="H329" s="31"/>
      <c r="J329" s="95" t="s">
        <v>373</v>
      </c>
    </row>
    <row r="330" spans="1:10" s="23" customFormat="1" ht="20.25">
      <c r="A330" s="123"/>
      <c r="B330" s="71"/>
      <c r="C330" s="94"/>
      <c r="D330" s="35"/>
      <c r="E330" s="135" t="s">
        <v>411</v>
      </c>
      <c r="F330" s="23">
        <v>3.1415999999999999</v>
      </c>
      <c r="G330" s="58"/>
    </row>
    <row r="331" spans="1:10" s="23" customFormat="1" ht="21">
      <c r="A331" s="123"/>
      <c r="B331" s="71"/>
      <c r="C331" s="94"/>
      <c r="D331" s="35"/>
      <c r="E331" s="135" t="s">
        <v>409</v>
      </c>
      <c r="F331" s="70">
        <v>900</v>
      </c>
      <c r="G331" s="97" t="s">
        <v>369</v>
      </c>
      <c r="H331" s="31"/>
      <c r="I331" s="30"/>
      <c r="J331" s="95" t="s">
        <v>370</v>
      </c>
    </row>
    <row r="332" spans="1:10" s="23" customFormat="1" ht="20.25">
      <c r="A332" s="123"/>
      <c r="B332" s="71"/>
      <c r="C332" s="94"/>
      <c r="D332" s="35"/>
      <c r="E332" s="96" t="s">
        <v>427</v>
      </c>
      <c r="F332" s="117">
        <f>'TUULEKOORMUS 1'!F240*'TUULEKOORMUS 1'!F243*'TUULEKOORMUS 1'!F246*1.2</f>
        <v>1056.148542760023</v>
      </c>
      <c r="G332" s="97" t="s">
        <v>76</v>
      </c>
      <c r="H332" s="31"/>
      <c r="I332" s="30"/>
      <c r="J332" s="95" t="s">
        <v>426</v>
      </c>
    </row>
    <row r="333" spans="1:10" s="23" customFormat="1" ht="20.25">
      <c r="A333" s="123"/>
      <c r="B333" s="71"/>
      <c r="C333" s="94"/>
      <c r="D333" s="35"/>
      <c r="E333" s="135" t="s">
        <v>672</v>
      </c>
      <c r="F333" s="119">
        <v>1</v>
      </c>
      <c r="G333" s="97"/>
      <c r="H333" s="31"/>
      <c r="I333" s="30"/>
      <c r="J333" s="120" t="s">
        <v>585</v>
      </c>
    </row>
    <row r="334" spans="1:10" s="23" customFormat="1" ht="20.25">
      <c r="A334" s="123"/>
      <c r="B334" s="71"/>
      <c r="C334" s="94"/>
      <c r="D334" s="35"/>
      <c r="E334" s="66"/>
      <c r="G334" s="67"/>
      <c r="H334" s="31"/>
      <c r="I334" s="30"/>
    </row>
    <row r="335" spans="1:10" s="23" customFormat="1" ht="20.25">
      <c r="A335" s="123"/>
      <c r="B335" s="71"/>
      <c r="C335" s="35"/>
      <c r="D335" s="36" t="s">
        <v>413</v>
      </c>
      <c r="E335" s="66"/>
      <c r="F335" s="70"/>
      <c r="G335" s="67"/>
      <c r="H335" s="31"/>
      <c r="I335" s="30"/>
    </row>
    <row r="336" spans="1:10" s="23" customFormat="1" ht="21">
      <c r="A336" s="123"/>
      <c r="B336" s="71"/>
      <c r="C336" s="35"/>
      <c r="D336" s="94"/>
      <c r="E336" s="135" t="s">
        <v>422</v>
      </c>
      <c r="F336" s="70">
        <f>1.5</f>
        <v>1.5</v>
      </c>
      <c r="G336" s="67"/>
      <c r="H336" s="31"/>
      <c r="I336" s="30"/>
    </row>
    <row r="337" spans="1:10" s="23" customFormat="1" ht="21">
      <c r="A337" s="123"/>
      <c r="B337" s="71"/>
      <c r="C337" s="35"/>
      <c r="D337" s="35"/>
      <c r="E337" s="135" t="s">
        <v>415</v>
      </c>
      <c r="F337" s="70">
        <f>F336*F327</f>
        <v>17.142373224466528</v>
      </c>
      <c r="G337" s="97" t="s">
        <v>86</v>
      </c>
      <c r="H337" s="31"/>
      <c r="I337" s="30"/>
    </row>
    <row r="338" spans="1:10" s="23" customFormat="1" ht="20.25">
      <c r="A338" s="123"/>
      <c r="B338" s="71"/>
      <c r="C338" s="35"/>
      <c r="D338" s="95" t="s">
        <v>424</v>
      </c>
      <c r="E338" s="96"/>
      <c r="F338" s="70"/>
      <c r="G338" s="97"/>
      <c r="H338" s="31"/>
      <c r="I338" s="30"/>
    </row>
    <row r="339" spans="1:10" s="23" customFormat="1" ht="21">
      <c r="A339" s="123"/>
      <c r="B339" s="71"/>
      <c r="C339" s="35"/>
      <c r="D339" s="35"/>
      <c r="E339" s="135" t="s">
        <v>418</v>
      </c>
      <c r="F339" s="90">
        <f>SQRT(F328^2+((4*F337)/(F329*F330*F331)))</f>
        <v>5.3629508846544494E-2</v>
      </c>
      <c r="G339" s="97" t="s">
        <v>51</v>
      </c>
      <c r="H339" s="31" t="str">
        <f>[3]!EQS(F339,"Units= ; EqnPrefix=Valem  ; EqnNo= 0; Multiplication= 1; ShowWorking= 0; EqnStyle= 2; Eqp$H$303_2")</f>
        <v/>
      </c>
      <c r="I339" s="30" t="s">
        <v>669</v>
      </c>
    </row>
    <row r="340" spans="1:10" s="23" customFormat="1" ht="20.25">
      <c r="A340" s="123"/>
      <c r="B340" s="71"/>
      <c r="C340" s="35"/>
      <c r="D340" s="95" t="s">
        <v>425</v>
      </c>
      <c r="E340" s="96"/>
      <c r="F340" s="90"/>
      <c r="G340" s="97"/>
      <c r="H340" s="31"/>
      <c r="I340" s="30"/>
    </row>
    <row r="341" spans="1:10" s="23" customFormat="1" ht="21">
      <c r="A341" s="123"/>
      <c r="B341" s="71"/>
      <c r="C341" s="35"/>
      <c r="D341" s="35"/>
      <c r="E341" s="135" t="s">
        <v>433</v>
      </c>
      <c r="F341" s="70">
        <f>F332*F339</f>
        <v>56.640727617213727</v>
      </c>
      <c r="G341" s="97" t="s">
        <v>86</v>
      </c>
      <c r="H341" s="31" t="str">
        <f>[3]!EQS(F341,"Units= ; EqnPrefix=Valem  ; EqnNo= 0; Multiplication= 1; ShowWorking= 0; EqnStyle= 2; Eqp$H$303_2")</f>
        <v/>
      </c>
      <c r="I341" s="30" t="s">
        <v>670</v>
      </c>
    </row>
    <row r="342" spans="1:10" s="23" customFormat="1" ht="20.25">
      <c r="A342" s="123"/>
      <c r="B342" s="71"/>
      <c r="C342" s="35"/>
      <c r="D342" s="95" t="s">
        <v>430</v>
      </c>
      <c r="F342" s="70"/>
      <c r="G342" s="97"/>
      <c r="H342" s="31"/>
      <c r="I342" s="30"/>
    </row>
    <row r="343" spans="1:10" s="23" customFormat="1" ht="21">
      <c r="A343" s="123"/>
      <c r="B343" s="71"/>
      <c r="C343" s="35"/>
      <c r="D343" s="35"/>
      <c r="E343" s="135" t="s">
        <v>434</v>
      </c>
      <c r="F343" s="70">
        <f>F341*F333</f>
        <v>56.640727617213727</v>
      </c>
      <c r="G343" s="97" t="s">
        <v>86</v>
      </c>
      <c r="H343" s="31" t="str">
        <f>[3]!EQS(F343,"Units= ; EqnPrefix=Valem  ; EqnNo= 0; Multiplication= 1; ShowWorking= 0; EqnStyle= 2; Eqp$H$303_2")</f>
        <v/>
      </c>
      <c r="I343" s="98" t="s">
        <v>673</v>
      </c>
    </row>
    <row r="344" spans="1:10" s="23" customFormat="1" ht="21">
      <c r="A344" s="123"/>
      <c r="B344" s="71"/>
      <c r="C344" s="35"/>
      <c r="D344" s="35"/>
      <c r="E344" s="135" t="s">
        <v>678</v>
      </c>
      <c r="F344" s="117">
        <f>'TUULEKOORMUS 1'!F255</f>
        <v>0.43041344951996724</v>
      </c>
      <c r="G344" s="67"/>
      <c r="H344" s="31"/>
      <c r="I344" s="95"/>
      <c r="J344" s="136" t="s">
        <v>674</v>
      </c>
    </row>
    <row r="345" spans="1:10" s="23" customFormat="1" ht="21">
      <c r="A345" s="123"/>
      <c r="B345" s="71"/>
      <c r="C345" s="36"/>
      <c r="D345" s="36"/>
      <c r="E345" s="102" t="s">
        <v>681</v>
      </c>
      <c r="F345" s="46">
        <f>F343*F344</f>
        <v>24.378930957045835</v>
      </c>
      <c r="G345" s="67"/>
      <c r="H345" s="31"/>
      <c r="I345" s="95"/>
      <c r="J345" s="136" t="s">
        <v>675</v>
      </c>
    </row>
    <row r="346" spans="1:10" s="23" customFormat="1" ht="21">
      <c r="A346" s="123"/>
      <c r="B346" s="71"/>
      <c r="C346" s="35"/>
      <c r="D346" s="35"/>
      <c r="E346" s="135" t="s">
        <v>679</v>
      </c>
      <c r="F346" s="117">
        <f>'TUULEKOORMUS 1'!F257</f>
        <v>0.56958655048003271</v>
      </c>
      <c r="G346" s="67"/>
      <c r="H346" s="31"/>
      <c r="I346" s="95"/>
      <c r="J346" s="136" t="s">
        <v>676</v>
      </c>
    </row>
    <row r="347" spans="1:10" s="23" customFormat="1" ht="21">
      <c r="A347" s="123"/>
      <c r="B347" s="71"/>
      <c r="C347" s="35"/>
      <c r="D347" s="35"/>
      <c r="E347" s="102" t="s">
        <v>680</v>
      </c>
      <c r="F347" s="46">
        <f>F346*F343</f>
        <v>32.261796660167889</v>
      </c>
      <c r="G347" s="67"/>
      <c r="H347" s="31"/>
      <c r="I347" s="95"/>
      <c r="J347" s="136" t="s">
        <v>677</v>
      </c>
    </row>
    <row r="348" spans="1:10" s="23" customFormat="1" ht="20.25">
      <c r="A348" s="123"/>
      <c r="B348" s="71"/>
      <c r="C348" s="35"/>
      <c r="D348" s="35"/>
      <c r="E348" s="96"/>
      <c r="F348" s="70"/>
      <c r="G348" s="67"/>
      <c r="H348" s="31"/>
      <c r="I348" s="95"/>
    </row>
    <row r="349" spans="1:10" s="23" customFormat="1" ht="20.25">
      <c r="A349" s="123"/>
      <c r="B349" s="71"/>
      <c r="C349" s="35"/>
      <c r="D349" s="35"/>
      <c r="E349" s="66"/>
      <c r="F349" s="70"/>
      <c r="G349" s="67"/>
      <c r="H349" s="31"/>
      <c r="I349" s="30"/>
    </row>
    <row r="350" spans="1:10" s="23" customFormat="1" ht="20.25">
      <c r="A350" s="123"/>
      <c r="B350" s="71"/>
      <c r="C350" s="35"/>
      <c r="D350" s="36" t="s">
        <v>414</v>
      </c>
      <c r="E350" s="66"/>
      <c r="F350" s="70"/>
      <c r="G350" s="67"/>
      <c r="H350" s="31"/>
      <c r="I350" s="30"/>
    </row>
    <row r="351" spans="1:10" s="23" customFormat="1" ht="21">
      <c r="A351" s="123"/>
      <c r="B351" s="71"/>
      <c r="C351" s="35"/>
      <c r="D351" s="94"/>
      <c r="E351" s="135" t="s">
        <v>421</v>
      </c>
      <c r="F351" s="70">
        <v>0.35</v>
      </c>
      <c r="G351" s="67"/>
      <c r="H351" s="31"/>
      <c r="I351" s="30"/>
    </row>
    <row r="352" spans="1:10" s="23" customFormat="1" ht="21">
      <c r="A352" s="123"/>
      <c r="B352" s="71"/>
      <c r="C352" s="35"/>
      <c r="D352" s="94"/>
      <c r="E352" s="135" t="s">
        <v>416</v>
      </c>
      <c r="F352" s="70">
        <f>F351*F327</f>
        <v>3.9998870857088562</v>
      </c>
      <c r="G352" s="97" t="s">
        <v>86</v>
      </c>
      <c r="H352" s="31"/>
      <c r="I352" s="30"/>
    </row>
    <row r="353" spans="1:10" s="23" customFormat="1" ht="21">
      <c r="A353" s="123"/>
      <c r="B353" s="71"/>
      <c r="C353" s="35"/>
      <c r="D353" s="94"/>
      <c r="E353" s="135" t="s">
        <v>417</v>
      </c>
      <c r="F353" s="90">
        <f>SQRT(F328^2+(4*F352)/(F329*F330*F331))</f>
        <v>3.1318311754121933E-2</v>
      </c>
      <c r="G353" s="97" t="s">
        <v>51</v>
      </c>
      <c r="H353" s="31"/>
      <c r="I353" s="30"/>
    </row>
    <row r="354" spans="1:10" s="23" customFormat="1" ht="20.25">
      <c r="A354" s="123"/>
      <c r="B354" s="71"/>
      <c r="C354" s="35"/>
      <c r="D354" s="95" t="s">
        <v>425</v>
      </c>
      <c r="E354" s="96"/>
      <c r="F354" s="90"/>
      <c r="G354" s="97"/>
      <c r="H354" s="31"/>
      <c r="I354" s="30"/>
    </row>
    <row r="355" spans="1:10" s="23" customFormat="1" ht="21">
      <c r="A355" s="123"/>
      <c r="B355" s="71"/>
      <c r="C355" s="35"/>
      <c r="D355" s="35"/>
      <c r="E355" s="135" t="s">
        <v>433</v>
      </c>
      <c r="F355" s="70">
        <f>F332*F353</f>
        <v>33.076789320819977</v>
      </c>
      <c r="G355" s="97" t="s">
        <v>86</v>
      </c>
      <c r="H355" s="31" t="str">
        <f>[3]!EQS(F355,"Units= ; EqnPrefix=Valem  ; EqnNo= 0; Multiplication= 1; ShowWorking= 0; EqnStyle= 2; Eqp$H$303_2")</f>
        <v/>
      </c>
      <c r="I355" s="30" t="s">
        <v>671</v>
      </c>
    </row>
    <row r="356" spans="1:10" s="23" customFormat="1" ht="20.25">
      <c r="A356" s="123"/>
      <c r="B356" s="71"/>
      <c r="C356" s="35"/>
      <c r="D356" s="95" t="s">
        <v>430</v>
      </c>
      <c r="F356" s="70"/>
      <c r="G356" s="97"/>
      <c r="H356" s="31"/>
      <c r="I356" s="30"/>
    </row>
    <row r="357" spans="1:10" s="23" customFormat="1" ht="21">
      <c r="A357" s="123"/>
      <c r="B357" s="71"/>
      <c r="C357" s="35"/>
      <c r="D357" s="35"/>
      <c r="E357" s="135" t="s">
        <v>434</v>
      </c>
      <c r="F357" s="70">
        <f>F355*F333</f>
        <v>33.076789320819977</v>
      </c>
      <c r="G357" s="97" t="s">
        <v>86</v>
      </c>
      <c r="H357" s="31" t="str">
        <f>[3]!EQS(F357,"Units= ; EqnPrefix=Valem  ; EqnNo= 0; Multiplication= 1; ShowWorking= 0; EqnStyle= 2; Eqp$H$303_2")</f>
        <v/>
      </c>
      <c r="I357" s="98" t="s">
        <v>673</v>
      </c>
    </row>
    <row r="358" spans="1:10" s="23" customFormat="1" ht="21">
      <c r="A358" s="123"/>
      <c r="B358" s="71"/>
      <c r="C358" s="35"/>
      <c r="D358" s="35"/>
      <c r="E358" s="135" t="s">
        <v>678</v>
      </c>
      <c r="F358" s="117">
        <f>'TUULEKOORMUS 1'!F255</f>
        <v>0.43041344951996724</v>
      </c>
      <c r="G358" s="97"/>
      <c r="H358" s="31"/>
      <c r="I358" s="95"/>
      <c r="J358" s="136" t="s">
        <v>674</v>
      </c>
    </row>
    <row r="359" spans="1:10" s="23" customFormat="1" ht="21">
      <c r="A359" s="123"/>
      <c r="B359" s="71"/>
      <c r="C359" s="35"/>
      <c r="D359" s="35"/>
      <c r="E359" s="102" t="s">
        <v>681</v>
      </c>
      <c r="F359" s="46">
        <f>F357*F358</f>
        <v>14.236694990619341</v>
      </c>
      <c r="G359" s="103" t="s">
        <v>86</v>
      </c>
      <c r="H359" s="31"/>
      <c r="I359" s="95"/>
      <c r="J359" s="136" t="s">
        <v>675</v>
      </c>
    </row>
    <row r="360" spans="1:10" s="23" customFormat="1" ht="21">
      <c r="A360" s="123"/>
      <c r="B360" s="71"/>
      <c r="C360" s="35"/>
      <c r="D360" s="35"/>
      <c r="E360" s="135" t="s">
        <v>679</v>
      </c>
      <c r="F360" s="117">
        <f>'TUULEKOORMUS 1'!F257</f>
        <v>0.56958655048003271</v>
      </c>
      <c r="G360" s="97"/>
      <c r="H360" s="31"/>
      <c r="I360" s="95"/>
      <c r="J360" s="136" t="s">
        <v>676</v>
      </c>
    </row>
    <row r="361" spans="1:10" s="23" customFormat="1" ht="21">
      <c r="A361" s="123"/>
      <c r="B361" s="71"/>
      <c r="C361" s="35"/>
      <c r="D361" s="35"/>
      <c r="E361" s="102" t="s">
        <v>680</v>
      </c>
      <c r="F361" s="46">
        <f>F360*F357</f>
        <v>18.840094330200635</v>
      </c>
      <c r="G361" s="103" t="s">
        <v>86</v>
      </c>
      <c r="H361" s="31"/>
      <c r="I361" s="95"/>
      <c r="J361" s="136" t="s">
        <v>677</v>
      </c>
    </row>
  </sheetData>
  <pageMargins left="0.7" right="0.7" top="0.75" bottom="0.75" header="0.3" footer="0.3"/>
  <pageSetup paperSize="9" orientation="portrait" horizontalDpi="300" verticalDpi="0" copies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5</vt:i4>
      </vt:variant>
    </vt:vector>
  </HeadingPairs>
  <TitlesOfParts>
    <vt:vector size="22" baseType="lpstr">
      <vt:lpstr>~#temp</vt:lpstr>
      <vt:lpstr>Omakaal</vt:lpstr>
      <vt:lpstr>TUULEKOORMUS 1</vt:lpstr>
      <vt:lpstr>TUULEKOORMUS 2</vt:lpstr>
      <vt:lpstr>TUULEKOORMUS 2(vana)</vt:lpstr>
      <vt:lpstr>TUULEKOORMUS 3 (vana)</vt:lpstr>
      <vt:lpstr>TUULEKOORMUS 3</vt:lpstr>
      <vt:lpstr>Jäitekoormus</vt:lpstr>
      <vt:lpstr>Tuul 1+jää</vt:lpstr>
      <vt:lpstr>Tuul 2+jää</vt:lpstr>
      <vt:lpstr>Tuul 3+jää</vt:lpstr>
      <vt:lpstr>Koormuste koondtabel</vt:lpstr>
      <vt:lpstr>KOMBINATSIOONID</vt:lpstr>
      <vt:lpstr>mudeli kontroll</vt:lpstr>
      <vt:lpstr>Varraste kontroll</vt:lpstr>
      <vt:lpstr>Ristlõiked</vt:lpstr>
      <vt:lpstr>Sõlmede dimensioneerimine</vt:lpstr>
      <vt:lpstr>T1_nimi</vt:lpstr>
      <vt:lpstr>T2_nimi</vt:lpstr>
      <vt:lpstr>T3_nimi</vt:lpstr>
      <vt:lpstr>Tabel_1</vt:lpstr>
      <vt:lpstr>tabel_2</vt:lpstr>
    </vt:vector>
  </TitlesOfParts>
  <Company>Ramboll Finland Oy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Indrek Jaadla</dc:creator>
  <cp:lastModifiedBy>erik</cp:lastModifiedBy>
  <cp:lastPrinted>2013-04-04T12:18:09Z</cp:lastPrinted>
  <dcterms:created xsi:type="dcterms:W3CDTF">2013-03-05T08:54:45Z</dcterms:created>
  <dcterms:modified xsi:type="dcterms:W3CDTF">2013-04-30T09:57:29Z</dcterms:modified>
</cp:coreProperties>
</file>