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rinterSettings/printerSettings4.bin" ContentType="application/vnd.openxmlformats-officedocument.spreadsheetml.printerSettings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rinterSettings/printerSettings6.bin" ContentType="application/vnd.openxmlformats-officedocument.spreadsheetml.printerSettings"/>
  <Override PartName="/xl/drawings/drawing6.xml" ContentType="application/vnd.openxmlformats-officedocument.drawing+xml"/>
  <Override PartName="/xl/printerSettings/printerSettings7.bin" ContentType="application/vnd.openxmlformats-officedocument.spreadsheetml.printerSettings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printerSettings/printerSettings8.bin" ContentType="application/vnd.openxmlformats-officedocument.spreadsheetml.printerSettings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printerSettings/printerSettings9.bin" ContentType="application/vnd.openxmlformats-officedocument.spreadsheetml.printerSettings"/>
  <Override PartName="/xl/comments9.xml" ContentType="application/vnd.openxmlformats-officedocument.spreadsheetml.comments+xml"/>
  <Override PartName="/xl/printerSettings/printerSettings10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2.xml" ContentType="application/vnd.openxmlformats-officedocument.drawing+xml"/>
  <Override PartName="/xl/printerSettings/printerSettings1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6980" windowHeight="12840" tabRatio="955" firstSheet="1" activeTab="3"/>
  </bookViews>
  <sheets>
    <sheet name="~#temp" sheetId="6" state="hidden" r:id="rId1"/>
    <sheet name="Omakaal" sheetId="7" r:id="rId2"/>
    <sheet name="TUULEKOORMUS 1" sheetId="5" r:id="rId3"/>
    <sheet name="TUULEKOORMUS 2" sheetId="15" r:id="rId4"/>
    <sheet name="TUULEKOORMUS 2(vana)" sheetId="8" state="hidden" r:id="rId5"/>
    <sheet name="TUULEKOORMUS 3 (vana)" sheetId="9" state="hidden" r:id="rId6"/>
    <sheet name="TUULEKOORMUS 3" sheetId="16" r:id="rId7"/>
    <sheet name="Jäitekoormus" sheetId="12" r:id="rId8"/>
    <sheet name="Tuul 1+jää" sheetId="13" r:id="rId9"/>
    <sheet name="Tuul 2+jää" sheetId="14" r:id="rId10"/>
    <sheet name="Tuul 3+jää" sheetId="17" r:id="rId11"/>
    <sheet name="Koormuste koondtabel" sheetId="11" r:id="rId12"/>
    <sheet name="KOMBINATSIOONID" sheetId="4" r:id="rId13"/>
    <sheet name="mudeli kontroll" sheetId="18" r:id="rId14"/>
    <sheet name="Varraste kontroll" sheetId="19" r:id="rId15"/>
    <sheet name="Ristlõiked" sheetId="21" r:id="rId16"/>
    <sheet name="Sõlmede dimensioneerimine" sheetId="20" r:id="rId17"/>
  </sheets>
  <externalReferences>
    <externalReference r:id="rId18"/>
    <externalReference r:id="rId19"/>
    <externalReference r:id="rId20"/>
  </externalReferences>
  <definedNames>
    <definedName name="nurkterased" localSheetId="7">[1]Ristlõiked!$A$5:$A$38</definedName>
    <definedName name="nurkterased" localSheetId="2">[1]Ristlõiked!$A$5:$A$38</definedName>
    <definedName name="nurkterased" localSheetId="3">[1]Ristlõiked!$A$5:$A$38</definedName>
    <definedName name="nurkterased" localSheetId="4">[1]Ristlõiked!$A$5:$A$38</definedName>
    <definedName name="nurkterased" localSheetId="6">[1]Ristlõiked!$A$5:$A$38</definedName>
    <definedName name="nurkterased" localSheetId="5">[1]Ristlõiked!$A$5:$A$38</definedName>
    <definedName name="nurkterased">[2]Ristlõiked!$A$5:$A$38</definedName>
    <definedName name="T1_nimi">Ristlõiked!$A$4:$A$21</definedName>
    <definedName name="T2_nimi">Ristlõiked!$A$26:$A$36</definedName>
    <definedName name="T3_nimi">Ristlõiked!$A$46:$A$50</definedName>
    <definedName name="Tabel_1">Ristlõiked!$A$4:$L$21</definedName>
    <definedName name="tabel_2">Ristlõiked!$A$26:$L$36</definedName>
    <definedName name="tabel1" localSheetId="7">[1]Ristlõiked!$A$5:$Q$38</definedName>
    <definedName name="tabel1" localSheetId="2">[1]Ristlõiked!$A$5:$Q$38</definedName>
    <definedName name="tabel1" localSheetId="3">[1]Ristlõiked!$A$5:$Q$38</definedName>
    <definedName name="tabel1" localSheetId="4">[1]Ristlõiked!$A$5:$Q$38</definedName>
    <definedName name="tabel1" localSheetId="6">[1]Ristlõiked!$A$5:$Q$38</definedName>
    <definedName name="tabel1" localSheetId="5">[1]Ristlõiked!$A$5:$Q$38</definedName>
    <definedName name="tabel1">[2]Ristlõiked!$A$5:$Q$38</definedName>
    <definedName name="tombetugevused" localSheetId="7">[1]Ristlõiked!$A$53:$E$56</definedName>
    <definedName name="tombetugevused" localSheetId="2">[1]Ristlõiked!$A$53:$E$56</definedName>
    <definedName name="tombetugevused" localSheetId="3">[1]Ristlõiked!$A$53:$E$56</definedName>
    <definedName name="tombetugevused" localSheetId="4">[1]Ristlõiked!$A$53:$E$56</definedName>
    <definedName name="tombetugevused" localSheetId="6">[1]Ristlõiked!$A$53:$E$56</definedName>
    <definedName name="tombetugevused" localSheetId="5">[1]Ristlõiked!$A$53:$E$56</definedName>
    <definedName name="tombetugevused">[2]Ristlõiked!$A$53:$E$56</definedName>
    <definedName name="tugevusklass" localSheetId="7">[1]Ristlõiked!$A$45:$A$48</definedName>
    <definedName name="tugevusklass" localSheetId="2">[1]Ristlõiked!$A$45:$A$48</definedName>
    <definedName name="tugevusklass" localSheetId="3">[1]Ristlõiked!$A$45:$A$48</definedName>
    <definedName name="tugevusklass" localSheetId="4">[1]Ristlõiked!$A$45:$A$48</definedName>
    <definedName name="tugevusklass" localSheetId="6">[1]Ristlõiked!$A$45:$A$48</definedName>
    <definedName name="tugevusklass" localSheetId="5">[1]Ristlõiked!$A$45:$A$48</definedName>
    <definedName name="tugevusklass">[2]Ristlõiked!$A$45:$A$48</definedName>
    <definedName name="voolavuspiirid" localSheetId="7">[1]Ristlõiked!$A$45:$E$48</definedName>
    <definedName name="voolavuspiirid" localSheetId="2">[1]Ristlõiked!$A$45:$E$48</definedName>
    <definedName name="voolavuspiirid" localSheetId="3">[1]Ristlõiked!$A$45:$E$48</definedName>
    <definedName name="voolavuspiirid" localSheetId="4">[1]Ristlõiked!$A$45:$E$48</definedName>
    <definedName name="voolavuspiirid" localSheetId="6">[1]Ristlõiked!$A$45:$E$48</definedName>
    <definedName name="voolavuspiirid" localSheetId="5">[1]Ristlõiked!$A$45:$E$48</definedName>
    <definedName name="voolavuspiirid">[2]Ristlõiked!$A$45:$E$48</definedName>
  </definedNames>
  <calcPr calcId="145621"/>
  <fileRecoveryPr repairLoad="1"/>
</workbook>
</file>

<file path=xl/calcChain.xml><?xml version="1.0" encoding="utf-8"?>
<calcChain xmlns="http://schemas.openxmlformats.org/spreadsheetml/2006/main">
  <c r="E220" i="19" l="1"/>
  <c r="E217" i="19"/>
  <c r="E211" i="19"/>
  <c r="E207" i="19"/>
  <c r="E209" i="19" s="1"/>
  <c r="E212" i="19" s="1"/>
  <c r="E215" i="19" s="1"/>
  <c r="E216" i="19" s="1"/>
  <c r="E219" i="19" s="1"/>
  <c r="E221" i="19" s="1"/>
  <c r="H221" i="19" s="1"/>
  <c r="E176" i="19"/>
  <c r="E179" i="19"/>
  <c r="E181" i="19" s="1"/>
  <c r="E178" i="19"/>
  <c r="E208" i="19" s="1"/>
  <c r="E177" i="19"/>
  <c r="E170" i="19"/>
  <c r="E169" i="19"/>
  <c r="E180" i="19" s="1"/>
  <c r="E164" i="19"/>
  <c r="E162" i="19"/>
  <c r="E195" i="19"/>
  <c r="E194" i="19"/>
  <c r="E193" i="19"/>
  <c r="E196" i="19"/>
  <c r="E197" i="19"/>
  <c r="E187" i="19"/>
  <c r="E186" i="19"/>
  <c r="E185" i="19"/>
  <c r="E188" i="19"/>
  <c r="E189" i="19" s="1"/>
  <c r="G208" i="19"/>
  <c r="G219" i="19"/>
  <c r="G216" i="19"/>
  <c r="G178" i="19"/>
  <c r="G196" i="19"/>
  <c r="G212" i="19"/>
  <c r="G207" i="19"/>
  <c r="G177" i="19"/>
  <c r="G218" i="19"/>
  <c r="G215" i="19"/>
  <c r="G180" i="19"/>
  <c r="G181" i="19"/>
  <c r="G217" i="19"/>
  <c r="G209" i="19"/>
  <c r="G179" i="19"/>
  <c r="G188" i="19"/>
  <c r="I197" i="19" l="1"/>
  <c r="E200" i="19"/>
  <c r="E127" i="19"/>
  <c r="G139" i="19"/>
  <c r="G138" i="19"/>
  <c r="G125" i="19"/>
  <c r="G135" i="19"/>
  <c r="G141" i="19"/>
  <c r="G124" i="19"/>
  <c r="G134" i="19"/>
  <c r="G142" i="19"/>
  <c r="I189" i="19" l="1"/>
  <c r="E120" i="19"/>
  <c r="E107" i="19"/>
  <c r="G116" i="19"/>
  <c r="G119" i="19"/>
  <c r="G118" i="19"/>
  <c r="G112" i="19"/>
  <c r="G115" i="19"/>
  <c r="G109" i="19"/>
  <c r="G97" i="19"/>
  <c r="G117" i="19"/>
  <c r="G98" i="19"/>
  <c r="G107" i="19"/>
  <c r="E97" i="19" l="1"/>
  <c r="A27" i="21"/>
  <c r="A28" i="21"/>
  <c r="A29" i="21"/>
  <c r="A30" i="21"/>
  <c r="A31" i="21"/>
  <c r="A32" i="21"/>
  <c r="A33" i="21"/>
  <c r="A34" i="21"/>
  <c r="A35" i="21"/>
  <c r="A36" i="21"/>
  <c r="A26" i="21"/>
  <c r="E57" i="19"/>
  <c r="E50" i="19"/>
  <c r="G71" i="19"/>
  <c r="G64" i="19"/>
  <c r="G45" i="19"/>
  <c r="G72" i="19"/>
  <c r="G49" i="19"/>
  <c r="G46" i="19"/>
  <c r="G69" i="19"/>
  <c r="G68" i="19"/>
  <c r="G65" i="19"/>
  <c r="L166" i="19" l="1"/>
  <c r="E91" i="19"/>
  <c r="E124" i="19" s="1"/>
  <c r="E128" i="19" s="1"/>
  <c r="E90" i="19"/>
  <c r="E117" i="19" s="1"/>
  <c r="E89" i="19"/>
  <c r="E111" i="19" s="1"/>
  <c r="E93" i="19"/>
  <c r="E88" i="19"/>
  <c r="E92" i="19"/>
  <c r="E108" i="19" s="1"/>
  <c r="E109" i="19" s="1"/>
  <c r="E41" i="19"/>
  <c r="G42" i="19"/>
  <c r="G37" i="19"/>
  <c r="G39" i="19"/>
  <c r="E112" i="19" l="1"/>
  <c r="E98" i="19"/>
  <c r="E99" i="19" s="1"/>
  <c r="I99" i="19" s="1"/>
  <c r="E37" i="19"/>
  <c r="E28" i="19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4" i="21"/>
  <c r="G54" i="19"/>
  <c r="G55" i="19"/>
  <c r="G48" i="19"/>
  <c r="G28" i="19"/>
  <c r="G29" i="19"/>
  <c r="G47" i="19"/>
  <c r="E115" i="19" l="1"/>
  <c r="E116" i="19" s="1"/>
  <c r="E119" i="19" s="1"/>
  <c r="E21" i="19"/>
  <c r="E22" i="19"/>
  <c r="E47" i="19" s="1"/>
  <c r="E24" i="19"/>
  <c r="E38" i="19" s="1"/>
  <c r="E39" i="19" s="1"/>
  <c r="E42" i="19" s="1"/>
  <c r="E45" i="19" s="1"/>
  <c r="E46" i="19" s="1"/>
  <c r="E23" i="19"/>
  <c r="E54" i="19" s="1"/>
  <c r="E58" i="19" s="1"/>
  <c r="E20" i="19"/>
  <c r="E29" i="19" s="1"/>
  <c r="E30" i="19" s="1"/>
  <c r="I30" i="19" s="1"/>
  <c r="R12" i="18"/>
  <c r="R11" i="18"/>
  <c r="L12" i="18"/>
  <c r="L11" i="18"/>
  <c r="L13" i="18"/>
  <c r="E13" i="18"/>
  <c r="E12" i="18"/>
  <c r="E11" i="18"/>
  <c r="L18" i="18"/>
  <c r="E16" i="18"/>
  <c r="K24" i="18"/>
  <c r="P20" i="18"/>
  <c r="Q20" i="18" s="1"/>
  <c r="J20" i="18"/>
  <c r="K20" i="18" s="1"/>
  <c r="C20" i="18"/>
  <c r="D20" i="18" s="1"/>
  <c r="R10" i="18"/>
  <c r="R17" i="18" s="1"/>
  <c r="L10" i="18"/>
  <c r="L17" i="18" s="1"/>
  <c r="E10" i="18"/>
  <c r="E19" i="18" s="1"/>
  <c r="H338" i="17"/>
  <c r="H336" i="17"/>
  <c r="H340" i="17"/>
  <c r="H53" i="13"/>
  <c r="H93" i="12"/>
  <c r="H54" i="13"/>
  <c r="H354" i="17"/>
  <c r="H65" i="12"/>
  <c r="H121" i="12"/>
  <c r="H64" i="12"/>
  <c r="H352" i="17"/>
  <c r="H40" i="13"/>
  <c r="E20" i="18" l="1"/>
  <c r="E15" i="18"/>
  <c r="R13" i="18"/>
  <c r="L20" i="18"/>
  <c r="E17" i="18"/>
  <c r="E49" i="19"/>
  <c r="E64" i="19" s="1"/>
  <c r="E121" i="19"/>
  <c r="H121" i="19" s="1"/>
  <c r="E135" i="19"/>
  <c r="E136" i="19" s="1"/>
  <c r="E138" i="19" s="1"/>
  <c r="E139" i="19" s="1"/>
  <c r="E134" i="19"/>
  <c r="R20" i="18"/>
  <c r="K25" i="18" s="1"/>
  <c r="R16" i="18"/>
  <c r="R15" i="18"/>
  <c r="E18" i="18"/>
  <c r="L16" i="18"/>
  <c r="R18" i="18"/>
  <c r="L19" i="18"/>
  <c r="R19" i="18"/>
  <c r="L15" i="18"/>
  <c r="K23" i="18"/>
  <c r="F333" i="17"/>
  <c r="F325" i="17"/>
  <c r="F325" i="14"/>
  <c r="H336" i="14"/>
  <c r="H354" i="14"/>
  <c r="H340" i="14"/>
  <c r="H338" i="14"/>
  <c r="H352" i="14"/>
  <c r="E65" i="19" l="1"/>
  <c r="E66" i="19" s="1"/>
  <c r="E51" i="19"/>
  <c r="H51" i="19" s="1"/>
  <c r="E141" i="19"/>
  <c r="H143" i="19" s="1"/>
  <c r="F333" i="14"/>
  <c r="F328" i="13"/>
  <c r="H343" i="13"/>
  <c r="H355" i="13"/>
  <c r="H357" i="13"/>
  <c r="H341" i="13"/>
  <c r="H339" i="13"/>
  <c r="E68" i="19" l="1"/>
  <c r="E69" i="19" s="1"/>
  <c r="E71" i="19" s="1"/>
  <c r="H73" i="19" s="1"/>
  <c r="F336" i="13"/>
  <c r="F312" i="17"/>
  <c r="F310" i="17"/>
  <c r="F273" i="17"/>
  <c r="F271" i="17"/>
  <c r="F235" i="17"/>
  <c r="F204" i="17"/>
  <c r="K308" i="17"/>
  <c r="K305" i="17"/>
  <c r="F299" i="17"/>
  <c r="F293" i="17"/>
  <c r="F296" i="17" s="1"/>
  <c r="F287" i="17"/>
  <c r="F284" i="17"/>
  <c r="F283" i="17"/>
  <c r="H296" i="17"/>
  <c r="H312" i="17"/>
  <c r="H279" i="17"/>
  <c r="H278" i="17"/>
  <c r="H293" i="17"/>
  <c r="H310" i="17"/>
  <c r="H317" i="17"/>
  <c r="H287" i="17"/>
  <c r="H297" i="17"/>
  <c r="H318" i="17"/>
  <c r="H299" i="17"/>
  <c r="H314" i="17"/>
  <c r="H300" i="17"/>
  <c r="H294" i="17"/>
  <c r="H289" i="17"/>
  <c r="H315" i="17"/>
  <c r="F314" i="17" l="1"/>
  <c r="K39" i="11" s="1"/>
  <c r="N39" i="11" s="1"/>
  <c r="F317" i="17"/>
  <c r="K40" i="11" s="1"/>
  <c r="N40" i="11" s="1"/>
  <c r="F289" i="17"/>
  <c r="K269" i="17"/>
  <c r="K266" i="17"/>
  <c r="F260" i="17"/>
  <c r="F254" i="17"/>
  <c r="F257" i="17" s="1"/>
  <c r="H258" i="17"/>
  <c r="H257" i="17"/>
  <c r="H273" i="17"/>
  <c r="H260" i="17"/>
  <c r="H254" i="17"/>
  <c r="H271" i="17"/>
  <c r="H275" i="17"/>
  <c r="H255" i="17"/>
  <c r="H276" i="17"/>
  <c r="H261" i="17"/>
  <c r="H250" i="17"/>
  <c r="F278" i="17" l="1"/>
  <c r="K27" i="11" s="1"/>
  <c r="N27" i="11" s="1"/>
  <c r="F275" i="17"/>
  <c r="K26" i="11" s="1"/>
  <c r="N26" i="11" s="1"/>
  <c r="F250" i="17"/>
  <c r="F248" i="17"/>
  <c r="J233" i="17"/>
  <c r="F227" i="17"/>
  <c r="F221" i="17"/>
  <c r="F224" i="17" s="1"/>
  <c r="H237" i="17"/>
  <c r="H238" i="17"/>
  <c r="H221" i="17"/>
  <c r="H235" i="17"/>
  <c r="H216" i="17"/>
  <c r="H227" i="17"/>
  <c r="H225" i="17"/>
  <c r="H228" i="17"/>
  <c r="H248" i="17"/>
  <c r="H222" i="17"/>
  <c r="H224" i="17"/>
  <c r="F237" i="17" l="1"/>
  <c r="K14" i="11" s="1"/>
  <c r="N14" i="11" s="1"/>
  <c r="F216" i="17"/>
  <c r="F213" i="17"/>
  <c r="F196" i="17"/>
  <c r="F190" i="17"/>
  <c r="F193" i="17" s="1"/>
  <c r="H204" i="17"/>
  <c r="H197" i="17"/>
  <c r="H186" i="17"/>
  <c r="H191" i="17"/>
  <c r="H190" i="17"/>
  <c r="H206" i="17"/>
  <c r="H196" i="17"/>
  <c r="H207" i="17"/>
  <c r="H194" i="17"/>
  <c r="H193" i="17"/>
  <c r="F183" i="17" l="1"/>
  <c r="F186" i="17" s="1"/>
  <c r="H175" i="17"/>
  <c r="H174" i="17"/>
  <c r="F206" i="17" l="1"/>
  <c r="K12" i="11" s="1"/>
  <c r="N12" i="11" s="1"/>
  <c r="F166" i="17"/>
  <c r="F160" i="17"/>
  <c r="F163" i="17" s="1"/>
  <c r="H158" i="17"/>
  <c r="H163" i="17"/>
  <c r="H161" i="17"/>
  <c r="H167" i="17"/>
  <c r="H166" i="17"/>
  <c r="H160" i="17"/>
  <c r="H164" i="17"/>
  <c r="F156" i="17" l="1"/>
  <c r="F174" i="17" s="1"/>
  <c r="F144" i="17"/>
  <c r="F313" i="14"/>
  <c r="F311" i="14"/>
  <c r="F274" i="14"/>
  <c r="F272" i="14"/>
  <c r="F236" i="14"/>
  <c r="F205" i="14"/>
  <c r="H318" i="14"/>
  <c r="H316" i="14"/>
  <c r="H313" i="14"/>
  <c r="H319" i="14"/>
  <c r="H311" i="14"/>
  <c r="H315" i="14"/>
  <c r="K8" i="11" l="1"/>
  <c r="N8" i="11" s="1"/>
  <c r="F177" i="17"/>
  <c r="K9" i="11" s="1"/>
  <c r="N9" i="11" s="1"/>
  <c r="F178" i="17"/>
  <c r="K10" i="11" s="1"/>
  <c r="N10" i="11" s="1"/>
  <c r="F158" i="17"/>
  <c r="K309" i="14"/>
  <c r="K306" i="14"/>
  <c r="F300" i="14"/>
  <c r="F294" i="14"/>
  <c r="F297" i="14" s="1"/>
  <c r="F285" i="14"/>
  <c r="F284" i="14"/>
  <c r="H279" i="14"/>
  <c r="H300" i="14"/>
  <c r="H288" i="14"/>
  <c r="H297" i="14"/>
  <c r="H294" i="14"/>
  <c r="H290" i="14"/>
  <c r="H295" i="14"/>
  <c r="H280" i="14"/>
  <c r="H301" i="14"/>
  <c r="H298" i="14"/>
  <c r="F315" i="14" l="1"/>
  <c r="J39" i="11" s="1"/>
  <c r="M39" i="11" s="1"/>
  <c r="F288" i="14"/>
  <c r="F290" i="14"/>
  <c r="F318" i="14"/>
  <c r="J40" i="11" s="1"/>
  <c r="M40" i="11" s="1"/>
  <c r="K270" i="14"/>
  <c r="K267" i="14"/>
  <c r="F261" i="14"/>
  <c r="F255" i="14"/>
  <c r="F258" i="14" s="1"/>
  <c r="H272" i="14"/>
  <c r="H258" i="14"/>
  <c r="H274" i="14"/>
  <c r="H262" i="14"/>
  <c r="H256" i="14"/>
  <c r="H261" i="14"/>
  <c r="H277" i="14"/>
  <c r="H259" i="14"/>
  <c r="H255" i="14"/>
  <c r="H251" i="14"/>
  <c r="H276" i="14"/>
  <c r="F279" i="14" l="1"/>
  <c r="J27" i="11" s="1"/>
  <c r="M27" i="11" s="1"/>
  <c r="F276" i="14"/>
  <c r="J26" i="11" s="1"/>
  <c r="M26" i="11" s="1"/>
  <c r="F251" i="14"/>
  <c r="F249" i="14"/>
  <c r="J234" i="14"/>
  <c r="F228" i="14"/>
  <c r="F222" i="14"/>
  <c r="F225" i="14" s="1"/>
  <c r="H223" i="14"/>
  <c r="H226" i="14"/>
  <c r="H236" i="14"/>
  <c r="H229" i="14"/>
  <c r="H222" i="14"/>
  <c r="H228" i="14"/>
  <c r="H225" i="14"/>
  <c r="H217" i="14"/>
  <c r="H239" i="14"/>
  <c r="H238" i="14"/>
  <c r="H249" i="14"/>
  <c r="F238" i="14" l="1"/>
  <c r="J14" i="11" s="1"/>
  <c r="M14" i="11" s="1"/>
  <c r="F217" i="14"/>
  <c r="F214" i="14"/>
  <c r="F197" i="14"/>
  <c r="F191" i="14"/>
  <c r="F194" i="14" s="1"/>
  <c r="H187" i="14"/>
  <c r="H191" i="14"/>
  <c r="H207" i="14"/>
  <c r="H205" i="14"/>
  <c r="H194" i="14"/>
  <c r="H197" i="14"/>
  <c r="H195" i="14"/>
  <c r="H198" i="14"/>
  <c r="H208" i="14"/>
  <c r="H192" i="14"/>
  <c r="F184" i="14" l="1"/>
  <c r="F207" i="14" s="1"/>
  <c r="J12" i="11" s="1"/>
  <c r="M12" i="11" s="1"/>
  <c r="F167" i="14"/>
  <c r="F161" i="14"/>
  <c r="F164" i="14" s="1"/>
  <c r="H167" i="14"/>
  <c r="H162" i="14"/>
  <c r="H168" i="14"/>
  <c r="H175" i="14"/>
  <c r="H165" i="14"/>
  <c r="H176" i="14"/>
  <c r="H161" i="14"/>
  <c r="H164" i="14"/>
  <c r="H159" i="14"/>
  <c r="F187" i="14" l="1"/>
  <c r="F157" i="14"/>
  <c r="F175" i="14" s="1"/>
  <c r="F145" i="14"/>
  <c r="F303" i="13"/>
  <c r="K312" i="13"/>
  <c r="K309" i="13"/>
  <c r="F297" i="13"/>
  <c r="F300" i="13" s="1"/>
  <c r="F288" i="13"/>
  <c r="F287" i="13"/>
  <c r="K273" i="13"/>
  <c r="K270" i="13"/>
  <c r="F264" i="13"/>
  <c r="F258" i="13"/>
  <c r="F261" i="13" s="1"/>
  <c r="J237" i="13"/>
  <c r="F231" i="13"/>
  <c r="F225" i="13"/>
  <c r="F228" i="13" s="1"/>
  <c r="F217" i="13"/>
  <c r="F200" i="13"/>
  <c r="F194" i="13"/>
  <c r="F197" i="13" s="1"/>
  <c r="F187" i="13"/>
  <c r="F170" i="13"/>
  <c r="F164" i="13"/>
  <c r="F167" i="13" s="1"/>
  <c r="F160" i="13"/>
  <c r="H164" i="13"/>
  <c r="H318" i="13"/>
  <c r="H319" i="13"/>
  <c r="H316" i="13"/>
  <c r="H322" i="13"/>
  <c r="H321" i="13"/>
  <c r="F178" i="14" l="1"/>
  <c r="J9" i="11" s="1"/>
  <c r="M9" i="11" s="1"/>
  <c r="J8" i="11"/>
  <c r="M8" i="11" s="1"/>
  <c r="F179" i="14"/>
  <c r="J10" i="11" s="1"/>
  <c r="M10" i="11" s="1"/>
  <c r="F159" i="14"/>
  <c r="F316" i="13"/>
  <c r="F314" i="13"/>
  <c r="H298" i="13"/>
  <c r="H301" i="13"/>
  <c r="H300" i="13"/>
  <c r="H297" i="13"/>
  <c r="H293" i="13"/>
  <c r="H303" i="13"/>
  <c r="H314" i="13"/>
  <c r="H304" i="13"/>
  <c r="F321" i="13" l="1"/>
  <c r="I40" i="11" s="1"/>
  <c r="L40" i="11" s="1"/>
  <c r="F318" i="13"/>
  <c r="I39" i="11" s="1"/>
  <c r="L39" i="11" s="1"/>
  <c r="F293" i="13"/>
  <c r="F291" i="13"/>
  <c r="F277" i="13"/>
  <c r="F275" i="13"/>
  <c r="H282" i="13"/>
  <c r="H277" i="13"/>
  <c r="H254" i="13"/>
  <c r="H264" i="13"/>
  <c r="H265" i="13"/>
  <c r="H275" i="13"/>
  <c r="H258" i="13"/>
  <c r="H259" i="13"/>
  <c r="H291" i="13"/>
  <c r="H262" i="13"/>
  <c r="H261" i="13"/>
  <c r="H283" i="13"/>
  <c r="H280" i="13"/>
  <c r="H279" i="13"/>
  <c r="F282" i="13" l="1"/>
  <c r="I27" i="11" s="1"/>
  <c r="L27" i="11" s="1"/>
  <c r="F279" i="13"/>
  <c r="I26" i="11" s="1"/>
  <c r="L26" i="11" s="1"/>
  <c r="F254" i="13"/>
  <c r="F252" i="13"/>
  <c r="F239" i="13"/>
  <c r="F241" i="13"/>
  <c r="I14" i="11" s="1"/>
  <c r="L14" i="11" s="1"/>
  <c r="F220" i="13"/>
  <c r="F208" i="13"/>
  <c r="F210" i="13" s="1"/>
  <c r="I12" i="11" s="1"/>
  <c r="L12" i="11" s="1"/>
  <c r="H190" i="13"/>
  <c r="H231" i="13"/>
  <c r="H195" i="13"/>
  <c r="H197" i="13"/>
  <c r="H210" i="13"/>
  <c r="H211" i="13"/>
  <c r="H208" i="13"/>
  <c r="H252" i="13"/>
  <c r="H201" i="13"/>
  <c r="H194" i="13"/>
  <c r="H242" i="13"/>
  <c r="H228" i="13"/>
  <c r="H239" i="13"/>
  <c r="H200" i="13"/>
  <c r="H226" i="13"/>
  <c r="H232" i="13"/>
  <c r="H220" i="13"/>
  <c r="H241" i="13"/>
  <c r="H225" i="13"/>
  <c r="H198" i="13"/>
  <c r="H229" i="13"/>
  <c r="F190" i="13" l="1"/>
  <c r="H178" i="13"/>
  <c r="H162" i="13"/>
  <c r="H170" i="13"/>
  <c r="H165" i="13"/>
  <c r="H168" i="13"/>
  <c r="H167" i="13"/>
  <c r="H179" i="13"/>
  <c r="H171" i="13"/>
  <c r="F162" i="13" l="1"/>
  <c r="F148" i="13"/>
  <c r="F60" i="14"/>
  <c r="F58" i="14"/>
  <c r="F138" i="17"/>
  <c r="F136" i="17"/>
  <c r="F124" i="17"/>
  <c r="F122" i="17"/>
  <c r="F99" i="17"/>
  <c r="F97" i="17"/>
  <c r="F85" i="17"/>
  <c r="F83" i="17"/>
  <c r="F60" i="17"/>
  <c r="F58" i="17"/>
  <c r="F46" i="17"/>
  <c r="F44" i="17"/>
  <c r="F114" i="17"/>
  <c r="F106" i="17"/>
  <c r="H135" i="17"/>
  <c r="H119" i="17"/>
  <c r="H117" i="17"/>
  <c r="H133" i="17"/>
  <c r="H121" i="17"/>
  <c r="H96" i="17"/>
  <c r="F178" i="13" l="1"/>
  <c r="I8" i="11" s="1"/>
  <c r="L8" i="11" s="1"/>
  <c r="H94" i="17"/>
  <c r="F182" i="13" l="1"/>
  <c r="I10" i="11" s="1"/>
  <c r="L10" i="11" s="1"/>
  <c r="F181" i="13"/>
  <c r="I9" i="11" s="1"/>
  <c r="L9" i="11" s="1"/>
  <c r="F75" i="17"/>
  <c r="F67" i="17"/>
  <c r="H57" i="17"/>
  <c r="H82" i="17"/>
  <c r="H80" i="17"/>
  <c r="H78" i="17"/>
  <c r="F36" i="17" l="1"/>
  <c r="F138" i="14"/>
  <c r="F136" i="14"/>
  <c r="F124" i="14"/>
  <c r="F122" i="14"/>
  <c r="F99" i="14"/>
  <c r="F97" i="14"/>
  <c r="F85" i="14"/>
  <c r="F83" i="14"/>
  <c r="F46" i="14"/>
  <c r="F44" i="14"/>
  <c r="F139" i="13"/>
  <c r="F137" i="13"/>
  <c r="F125" i="13"/>
  <c r="F123" i="13"/>
  <c r="F100" i="13"/>
  <c r="F98" i="13"/>
  <c r="F86" i="13"/>
  <c r="F84" i="13"/>
  <c r="F61" i="13"/>
  <c r="F59" i="13"/>
  <c r="F47" i="13"/>
  <c r="F45" i="13"/>
  <c r="F415" i="16"/>
  <c r="F408" i="16"/>
  <c r="F359" i="16"/>
  <c r="F352" i="16"/>
  <c r="F304" i="16"/>
  <c r="F297" i="16"/>
  <c r="F257" i="16"/>
  <c r="F255" i="16"/>
  <c r="F216" i="16"/>
  <c r="F214" i="16"/>
  <c r="F166" i="16"/>
  <c r="F164" i="16"/>
  <c r="F117" i="16"/>
  <c r="F77" i="16"/>
  <c r="H55" i="17"/>
  <c r="H43" i="17"/>
  <c r="H420" i="16"/>
  <c r="H408" i="16"/>
  <c r="H413" i="16"/>
  <c r="H39" i="17"/>
  <c r="H417" i="16"/>
  <c r="H398" i="16"/>
  <c r="H402" i="16"/>
  <c r="H405" i="16"/>
  <c r="H410" i="16"/>
  <c r="H415" i="16"/>
  <c r="H412" i="16"/>
  <c r="H403" i="16"/>
  <c r="H41" i="17"/>
  <c r="H419" i="16"/>
  <c r="F343" i="17" l="1"/>
  <c r="F357" i="17"/>
  <c r="F355" i="17"/>
  <c r="F341" i="17"/>
  <c r="F398" i="16"/>
  <c r="H393" i="16"/>
  <c r="H394" i="16"/>
  <c r="F393" i="16" l="1"/>
  <c r="F387" i="16"/>
  <c r="F390" i="16" s="1"/>
  <c r="F402" i="16" s="1"/>
  <c r="F405" i="16" s="1"/>
  <c r="H391" i="16"/>
  <c r="H390" i="16"/>
  <c r="H380" i="16"/>
  <c r="H387" i="16"/>
  <c r="H388" i="16"/>
  <c r="F417" i="16" l="1"/>
  <c r="G45" i="11" s="1"/>
  <c r="F410" i="16"/>
  <c r="G42" i="11" s="1"/>
  <c r="H379" i="16"/>
  <c r="F413" i="16" l="1"/>
  <c r="G44" i="11" s="1"/>
  <c r="F412" i="16"/>
  <c r="G43" i="11" s="1"/>
  <c r="F420" i="16"/>
  <c r="G47" i="11" s="1"/>
  <c r="F419" i="16"/>
  <c r="G46" i="11" s="1"/>
  <c r="F371" i="16"/>
  <c r="F342" i="16"/>
  <c r="F337" i="16"/>
  <c r="F370" i="16" s="1"/>
  <c r="F331" i="16"/>
  <c r="F334" i="16" s="1"/>
  <c r="H346" i="16"/>
  <c r="H335" i="16"/>
  <c r="H363" i="16"/>
  <c r="H337" i="16"/>
  <c r="H342" i="16"/>
  <c r="H323" i="16"/>
  <c r="H349" i="16"/>
  <c r="H361" i="16"/>
  <c r="H331" i="16"/>
  <c r="H356" i="16"/>
  <c r="H357" i="16"/>
  <c r="H334" i="16"/>
  <c r="H364" i="16"/>
  <c r="H347" i="16"/>
  <c r="H352" i="16"/>
  <c r="H354" i="16"/>
  <c r="H359" i="16"/>
  <c r="H375" i="16"/>
  <c r="H332" i="16"/>
  <c r="H338" i="16"/>
  <c r="F369" i="16" l="1"/>
  <c r="F375" i="16" s="1"/>
  <c r="F346" i="16"/>
  <c r="F349" i="16" s="1"/>
  <c r="H322" i="16"/>
  <c r="F379" i="16" l="1"/>
  <c r="G29" i="11" s="1"/>
  <c r="K29" i="11" s="1"/>
  <c r="N29" i="11" s="1"/>
  <c r="F380" i="16"/>
  <c r="G30" i="11" s="1"/>
  <c r="K30" i="11" s="1"/>
  <c r="N30" i="11" s="1"/>
  <c r="F361" i="16"/>
  <c r="G35" i="11" s="1"/>
  <c r="F354" i="16"/>
  <c r="G32" i="11" s="1"/>
  <c r="H319" i="16"/>
  <c r="F364" i="16" l="1"/>
  <c r="G37" i="11" s="1"/>
  <c r="F363" i="16"/>
  <c r="G36" i="11" s="1"/>
  <c r="F357" i="16"/>
  <c r="G34" i="11" s="1"/>
  <c r="F356" i="16"/>
  <c r="G33" i="11" s="1"/>
  <c r="F315" i="16"/>
  <c r="F287" i="16"/>
  <c r="F282" i="16"/>
  <c r="F314" i="16" s="1"/>
  <c r="F276" i="16"/>
  <c r="F279" i="16" s="1"/>
  <c r="H282" i="16"/>
  <c r="H266" i="16"/>
  <c r="H283" i="16"/>
  <c r="H302" i="16"/>
  <c r="H279" i="16"/>
  <c r="H287" i="16"/>
  <c r="H276" i="16"/>
  <c r="H304" i="16"/>
  <c r="H301" i="16"/>
  <c r="H294" i="16"/>
  <c r="H299" i="16"/>
  <c r="H292" i="16"/>
  <c r="H309" i="16"/>
  <c r="H291" i="16"/>
  <c r="H297" i="16"/>
  <c r="H277" i="16"/>
  <c r="H308" i="16"/>
  <c r="H280" i="16"/>
  <c r="H306" i="16"/>
  <c r="F313" i="16" l="1"/>
  <c r="F319" i="16" s="1"/>
  <c r="F291" i="16"/>
  <c r="F294" i="16" s="1"/>
  <c r="H265" i="16"/>
  <c r="H264" i="16"/>
  <c r="F322" i="16" l="1"/>
  <c r="G16" i="11" s="1"/>
  <c r="K16" i="11" s="1"/>
  <c r="N16" i="11" s="1"/>
  <c r="F323" i="16"/>
  <c r="G17" i="11" s="1"/>
  <c r="K17" i="11" s="1"/>
  <c r="N17" i="11" s="1"/>
  <c r="F306" i="16"/>
  <c r="G22" i="11" s="1"/>
  <c r="F299" i="16"/>
  <c r="G19" i="11" s="1"/>
  <c r="H261" i="16"/>
  <c r="F309" i="16" l="1"/>
  <c r="G24" i="11" s="1"/>
  <c r="F308" i="16"/>
  <c r="G23" i="11" s="1"/>
  <c r="F302" i="16"/>
  <c r="G21" i="11" s="1"/>
  <c r="F301" i="16"/>
  <c r="G20" i="11" s="1"/>
  <c r="F249" i="16"/>
  <c r="F248" i="16"/>
  <c r="F243" i="16"/>
  <c r="F237" i="16"/>
  <c r="H237" i="16"/>
  <c r="H257" i="16"/>
  <c r="H238" i="16"/>
  <c r="H260" i="16"/>
  <c r="H251" i="16"/>
  <c r="H255" i="16"/>
  <c r="H235" i="16"/>
  <c r="H240" i="16"/>
  <c r="H259" i="16"/>
  <c r="H241" i="16"/>
  <c r="H244" i="16"/>
  <c r="H243" i="16"/>
  <c r="F251" i="16" l="1"/>
  <c r="F240" i="16"/>
  <c r="F235" i="16"/>
  <c r="H221" i="16"/>
  <c r="H222" i="16"/>
  <c r="F264" i="16" l="1"/>
  <c r="F259" i="16"/>
  <c r="F211" i="16"/>
  <c r="F208" i="16"/>
  <c r="F200" i="16"/>
  <c r="F192" i="16"/>
  <c r="F186" i="16"/>
  <c r="F189" i="16" s="1"/>
  <c r="H187" i="16"/>
  <c r="H216" i="16"/>
  <c r="H209" i="16"/>
  <c r="H212" i="16"/>
  <c r="H192" i="16"/>
  <c r="H186" i="16"/>
  <c r="H208" i="16"/>
  <c r="H214" i="16"/>
  <c r="H193" i="16"/>
  <c r="H219" i="16"/>
  <c r="H190" i="16"/>
  <c r="H189" i="16"/>
  <c r="H211" i="16"/>
  <c r="H218" i="16"/>
  <c r="H182" i="16"/>
  <c r="F261" i="16" l="1"/>
  <c r="G49" i="11"/>
  <c r="F266" i="16"/>
  <c r="G52" i="11"/>
  <c r="F221" i="16"/>
  <c r="G40" i="11" s="1"/>
  <c r="F218" i="16"/>
  <c r="G39" i="11" s="1"/>
  <c r="F182" i="16"/>
  <c r="F180" i="16"/>
  <c r="F161" i="16"/>
  <c r="F158" i="16"/>
  <c r="F150" i="16"/>
  <c r="F142" i="16"/>
  <c r="F136" i="16"/>
  <c r="F139" i="16" s="1"/>
  <c r="H168" i="16"/>
  <c r="H164" i="16"/>
  <c r="H162" i="16"/>
  <c r="H166" i="16"/>
  <c r="H136" i="16"/>
  <c r="H142" i="16"/>
  <c r="H139" i="16"/>
  <c r="H161" i="16"/>
  <c r="H169" i="16"/>
  <c r="H137" i="16"/>
  <c r="H172" i="16"/>
  <c r="H159" i="16"/>
  <c r="H132" i="16"/>
  <c r="H140" i="16"/>
  <c r="H171" i="16"/>
  <c r="H143" i="16"/>
  <c r="H158" i="16"/>
  <c r="H180" i="16"/>
  <c r="H150" i="16"/>
  <c r="G54" i="11" l="1"/>
  <c r="G53" i="11"/>
  <c r="G51" i="11"/>
  <c r="G50" i="11"/>
  <c r="F171" i="16"/>
  <c r="G27" i="11" s="1"/>
  <c r="F168" i="16"/>
  <c r="G26" i="11" s="1"/>
  <c r="F132" i="16"/>
  <c r="F130" i="16"/>
  <c r="F114" i="16"/>
  <c r="F108" i="16"/>
  <c r="F100" i="16"/>
  <c r="F94" i="16"/>
  <c r="F97" i="16" s="1"/>
  <c r="F119" i="16" s="1"/>
  <c r="G14" i="11" s="1"/>
  <c r="F89" i="16"/>
  <c r="F72" i="16"/>
  <c r="F68" i="16"/>
  <c r="F67" i="16"/>
  <c r="F62" i="16"/>
  <c r="F56" i="16"/>
  <c r="H79" i="16"/>
  <c r="H94" i="16"/>
  <c r="H75" i="16"/>
  <c r="H117" i="16"/>
  <c r="H120" i="16"/>
  <c r="H89" i="16"/>
  <c r="H114" i="16"/>
  <c r="H59" i="16"/>
  <c r="H100" i="16"/>
  <c r="H62" i="16"/>
  <c r="H101" i="16"/>
  <c r="H98" i="16"/>
  <c r="H115" i="16"/>
  <c r="H57" i="16"/>
  <c r="H77" i="16"/>
  <c r="H60" i="16"/>
  <c r="H52" i="16"/>
  <c r="H63" i="16"/>
  <c r="H80" i="16"/>
  <c r="H130" i="16"/>
  <c r="H97" i="16"/>
  <c r="H56" i="16"/>
  <c r="H71" i="16"/>
  <c r="H119" i="16"/>
  <c r="H74" i="16"/>
  <c r="H70" i="16"/>
  <c r="H95" i="16"/>
  <c r="F70" i="16" l="1"/>
  <c r="F74" i="16" s="1"/>
  <c r="F59" i="16"/>
  <c r="F52" i="16"/>
  <c r="H41" i="16"/>
  <c r="H40" i="16"/>
  <c r="F79" i="16" l="1"/>
  <c r="G12" i="11" s="1"/>
  <c r="F35" i="16"/>
  <c r="F32" i="16"/>
  <c r="F31" i="16"/>
  <c r="F26" i="16"/>
  <c r="F20" i="16"/>
  <c r="H20" i="16"/>
  <c r="H24" i="16"/>
  <c r="H21" i="16"/>
  <c r="H37" i="16"/>
  <c r="H23" i="16"/>
  <c r="H26" i="16"/>
  <c r="H27" i="16"/>
  <c r="H18" i="16"/>
  <c r="H38" i="16"/>
  <c r="H34" i="16"/>
  <c r="F34" i="16" l="1"/>
  <c r="F37" i="16" s="1"/>
  <c r="F23" i="16"/>
  <c r="F18" i="16"/>
  <c r="F4" i="16"/>
  <c r="F415" i="15"/>
  <c r="F408" i="15"/>
  <c r="F359" i="15"/>
  <c r="F352" i="15"/>
  <c r="F304" i="15"/>
  <c r="F297" i="15"/>
  <c r="F257" i="15"/>
  <c r="F255" i="15"/>
  <c r="F216" i="15"/>
  <c r="F214" i="15"/>
  <c r="F166" i="15"/>
  <c r="F164" i="15"/>
  <c r="F117" i="15"/>
  <c r="F77" i="15"/>
  <c r="H419" i="15"/>
  <c r="H420" i="15"/>
  <c r="H402" i="15"/>
  <c r="H410" i="15"/>
  <c r="H405" i="15"/>
  <c r="H403" i="15"/>
  <c r="H413" i="15"/>
  <c r="H415" i="15"/>
  <c r="H412" i="15"/>
  <c r="H398" i="15"/>
  <c r="H417" i="15"/>
  <c r="H408" i="15"/>
  <c r="F355" i="14" l="1"/>
  <c r="F341" i="14"/>
  <c r="F357" i="14"/>
  <c r="F343" i="14"/>
  <c r="F40" i="16"/>
  <c r="F398" i="15"/>
  <c r="H393" i="15"/>
  <c r="H394" i="15"/>
  <c r="F44" i="16" l="1"/>
  <c r="F43" i="16"/>
  <c r="F393" i="15"/>
  <c r="F387" i="15"/>
  <c r="F390" i="15" s="1"/>
  <c r="F402" i="15" s="1"/>
  <c r="F405" i="15" s="1"/>
  <c r="H390" i="15"/>
  <c r="H391" i="15"/>
  <c r="H380" i="15"/>
  <c r="H388" i="15"/>
  <c r="H387" i="15"/>
  <c r="F417" i="15" l="1"/>
  <c r="F45" i="11" s="1"/>
  <c r="F410" i="15"/>
  <c r="F42" i="11" s="1"/>
  <c r="H379" i="15"/>
  <c r="F413" i="15" l="1"/>
  <c r="F44" i="11" s="1"/>
  <c r="F412" i="15"/>
  <c r="F43" i="11" s="1"/>
  <c r="F420" i="15"/>
  <c r="F47" i="11" s="1"/>
  <c r="F419" i="15"/>
  <c r="F46" i="11" s="1"/>
  <c r="F371" i="15"/>
  <c r="F342" i="15"/>
  <c r="F337" i="15"/>
  <c r="F370" i="15" s="1"/>
  <c r="F331" i="15"/>
  <c r="F334" i="15" s="1"/>
  <c r="H331" i="15"/>
  <c r="H338" i="15"/>
  <c r="H323" i="15"/>
  <c r="H359" i="15"/>
  <c r="H337" i="15"/>
  <c r="H363" i="15"/>
  <c r="H342" i="15"/>
  <c r="H356" i="15"/>
  <c r="H335" i="15"/>
  <c r="H375" i="15"/>
  <c r="H354" i="15"/>
  <c r="H352" i="15"/>
  <c r="H346" i="15"/>
  <c r="H364" i="15"/>
  <c r="H332" i="15"/>
  <c r="H334" i="15"/>
  <c r="H349" i="15"/>
  <c r="H347" i="15"/>
  <c r="H361" i="15"/>
  <c r="H357" i="15"/>
  <c r="F369" i="15" l="1"/>
  <c r="F375" i="15" s="1"/>
  <c r="F346" i="15"/>
  <c r="F349" i="15" s="1"/>
  <c r="H322" i="15"/>
  <c r="F379" i="15" l="1"/>
  <c r="F29" i="11" s="1"/>
  <c r="J29" i="11" s="1"/>
  <c r="M29" i="11" s="1"/>
  <c r="F380" i="15"/>
  <c r="F30" i="11" s="1"/>
  <c r="J30" i="11" s="1"/>
  <c r="M30" i="11" s="1"/>
  <c r="F361" i="15"/>
  <c r="F35" i="11" s="1"/>
  <c r="F354" i="15"/>
  <c r="F32" i="11" s="1"/>
  <c r="H319" i="15"/>
  <c r="F364" i="15" l="1"/>
  <c r="F37" i="11" s="1"/>
  <c r="F363" i="15"/>
  <c r="F36" i="11" s="1"/>
  <c r="F357" i="15"/>
  <c r="F34" i="11" s="1"/>
  <c r="F356" i="15"/>
  <c r="F33" i="11" s="1"/>
  <c r="F315" i="15"/>
  <c r="F287" i="15"/>
  <c r="F282" i="15"/>
  <c r="F314" i="15" s="1"/>
  <c r="F276" i="15"/>
  <c r="F279" i="15" s="1"/>
  <c r="H297" i="15"/>
  <c r="H294" i="15"/>
  <c r="H299" i="15"/>
  <c r="H301" i="15"/>
  <c r="H309" i="15"/>
  <c r="H276" i="15"/>
  <c r="H292" i="15"/>
  <c r="H306" i="15"/>
  <c r="H287" i="15"/>
  <c r="H302" i="15"/>
  <c r="H282" i="15"/>
  <c r="H277" i="15"/>
  <c r="H291" i="15"/>
  <c r="H304" i="15"/>
  <c r="H280" i="15"/>
  <c r="H283" i="15"/>
  <c r="H266" i="15"/>
  <c r="H308" i="15"/>
  <c r="H279" i="15"/>
  <c r="F313" i="15" l="1"/>
  <c r="F319" i="15" s="1"/>
  <c r="F291" i="15"/>
  <c r="F294" i="15" s="1"/>
  <c r="H264" i="15"/>
  <c r="H265" i="15"/>
  <c r="F322" i="15" l="1"/>
  <c r="F16" i="11" s="1"/>
  <c r="J16" i="11" s="1"/>
  <c r="M16" i="11" s="1"/>
  <c r="F323" i="15"/>
  <c r="F17" i="11" s="1"/>
  <c r="J17" i="11" s="1"/>
  <c r="M17" i="11" s="1"/>
  <c r="F306" i="15"/>
  <c r="F22" i="11" s="1"/>
  <c r="F299" i="15"/>
  <c r="F19" i="11" s="1"/>
  <c r="H261" i="15"/>
  <c r="F309" i="15" l="1"/>
  <c r="F24" i="11" s="1"/>
  <c r="F308" i="15"/>
  <c r="F23" i="11" s="1"/>
  <c r="F302" i="15"/>
  <c r="F21" i="11" s="1"/>
  <c r="F301" i="15"/>
  <c r="F20" i="11" s="1"/>
  <c r="F249" i="15"/>
  <c r="F248" i="15"/>
  <c r="F243" i="15"/>
  <c r="F237" i="15"/>
  <c r="H241" i="15"/>
  <c r="H237" i="15"/>
  <c r="H244" i="15"/>
  <c r="H259" i="15"/>
  <c r="H255" i="15"/>
  <c r="H235" i="15"/>
  <c r="H238" i="15"/>
  <c r="H257" i="15"/>
  <c r="H251" i="15"/>
  <c r="H243" i="15"/>
  <c r="H260" i="15"/>
  <c r="H240" i="15"/>
  <c r="F251" i="15" l="1"/>
  <c r="F240" i="15"/>
  <c r="F235" i="15"/>
  <c r="H221" i="15"/>
  <c r="H222" i="15"/>
  <c r="F329" i="14" l="1"/>
  <c r="F329" i="17"/>
  <c r="F264" i="15"/>
  <c r="F259" i="15"/>
  <c r="F211" i="15"/>
  <c r="F208" i="15"/>
  <c r="F200" i="15"/>
  <c r="F192" i="15"/>
  <c r="F186" i="15"/>
  <c r="F189" i="15" s="1"/>
  <c r="H214" i="15"/>
  <c r="H209" i="15"/>
  <c r="H187" i="15"/>
  <c r="H193" i="15"/>
  <c r="H212" i="15"/>
  <c r="H216" i="15"/>
  <c r="H189" i="15"/>
  <c r="H218" i="15"/>
  <c r="H186" i="15"/>
  <c r="H211" i="15"/>
  <c r="H208" i="15"/>
  <c r="H190" i="15"/>
  <c r="H192" i="15"/>
  <c r="H219" i="15"/>
  <c r="H182" i="15"/>
  <c r="F261" i="15" l="1"/>
  <c r="F49" i="11"/>
  <c r="F266" i="15"/>
  <c r="F52" i="11"/>
  <c r="F221" i="15"/>
  <c r="F40" i="11" s="1"/>
  <c r="F218" i="15"/>
  <c r="F39" i="11" s="1"/>
  <c r="F182" i="15"/>
  <c r="F180" i="15"/>
  <c r="F161" i="15"/>
  <c r="F158" i="15"/>
  <c r="F150" i="15"/>
  <c r="F142" i="15"/>
  <c r="F136" i="15"/>
  <c r="F139" i="15" s="1"/>
  <c r="H169" i="15"/>
  <c r="H172" i="15"/>
  <c r="H139" i="15"/>
  <c r="H166" i="15"/>
  <c r="H132" i="15"/>
  <c r="H158" i="15"/>
  <c r="H162" i="15"/>
  <c r="H180" i="15"/>
  <c r="H143" i="15"/>
  <c r="H150" i="15"/>
  <c r="H136" i="15"/>
  <c r="H161" i="15"/>
  <c r="H142" i="15"/>
  <c r="H164" i="15"/>
  <c r="H137" i="15"/>
  <c r="H171" i="15"/>
  <c r="H159" i="15"/>
  <c r="H140" i="15"/>
  <c r="H168" i="15"/>
  <c r="F53" i="11" l="1"/>
  <c r="F54" i="11"/>
  <c r="F51" i="11"/>
  <c r="F50" i="11"/>
  <c r="F171" i="15"/>
  <c r="F27" i="11" s="1"/>
  <c r="F168" i="15"/>
  <c r="F26" i="11" s="1"/>
  <c r="F132" i="15"/>
  <c r="F130" i="15"/>
  <c r="F114" i="15"/>
  <c r="F108" i="15"/>
  <c r="F100" i="15"/>
  <c r="F94" i="15"/>
  <c r="F97" i="15" s="1"/>
  <c r="F119" i="15" s="1"/>
  <c r="F14" i="11" s="1"/>
  <c r="F89" i="15"/>
  <c r="F72" i="15"/>
  <c r="F68" i="15"/>
  <c r="F67" i="15"/>
  <c r="F62" i="15"/>
  <c r="F56" i="15"/>
  <c r="H101" i="15"/>
  <c r="H80" i="15"/>
  <c r="H60" i="15"/>
  <c r="H56" i="15"/>
  <c r="H120" i="15"/>
  <c r="H100" i="15"/>
  <c r="H57" i="15"/>
  <c r="H59" i="15"/>
  <c r="H97" i="15"/>
  <c r="H70" i="15"/>
  <c r="H94" i="15"/>
  <c r="H52" i="15"/>
  <c r="H114" i="15"/>
  <c r="H74" i="15"/>
  <c r="H130" i="15"/>
  <c r="H98" i="15"/>
  <c r="H77" i="15"/>
  <c r="H79" i="15"/>
  <c r="H115" i="15"/>
  <c r="H63" i="15"/>
  <c r="H119" i="15"/>
  <c r="H89" i="15"/>
  <c r="H95" i="15"/>
  <c r="H71" i="15"/>
  <c r="H75" i="15"/>
  <c r="H62" i="15"/>
  <c r="H117" i="15"/>
  <c r="F70" i="15" l="1"/>
  <c r="F74" i="15" s="1"/>
  <c r="F59" i="15"/>
  <c r="F52" i="15"/>
  <c r="H40" i="15"/>
  <c r="H41" i="15"/>
  <c r="F79" i="15" l="1"/>
  <c r="F12" i="11" s="1"/>
  <c r="F35" i="15"/>
  <c r="F32" i="15"/>
  <c r="F31" i="15"/>
  <c r="F26" i="15"/>
  <c r="F20" i="15"/>
  <c r="H20" i="15"/>
  <c r="H26" i="15"/>
  <c r="H37" i="15"/>
  <c r="H38" i="15"/>
  <c r="H21" i="15"/>
  <c r="H18" i="15"/>
  <c r="H24" i="15"/>
  <c r="H27" i="15"/>
  <c r="H34" i="15"/>
  <c r="H23" i="15"/>
  <c r="F34" i="15" l="1"/>
  <c r="F37" i="15" s="1"/>
  <c r="F23" i="15"/>
  <c r="F18" i="15"/>
  <c r="F4" i="15"/>
  <c r="F415" i="5"/>
  <c r="F408" i="5"/>
  <c r="F359" i="5"/>
  <c r="F352" i="5"/>
  <c r="F297" i="5"/>
  <c r="F304" i="5"/>
  <c r="F334" i="8"/>
  <c r="F327" i="8"/>
  <c r="H133" i="14"/>
  <c r="H352" i="5"/>
  <c r="H135" i="14"/>
  <c r="F40" i="15" l="1"/>
  <c r="H117" i="14"/>
  <c r="H121" i="14"/>
  <c r="H119" i="14"/>
  <c r="F44" i="15" l="1"/>
  <c r="F43" i="15"/>
  <c r="F114" i="14"/>
  <c r="F106" i="14"/>
  <c r="H96" i="14"/>
  <c r="F75" i="14" l="1"/>
  <c r="F67" i="14"/>
  <c r="F36" i="14"/>
  <c r="F107" i="13"/>
  <c r="H39" i="14"/>
  <c r="H41" i="14"/>
  <c r="H78" i="14"/>
  <c r="H82" i="14"/>
  <c r="H136" i="13"/>
  <c r="H94" i="14"/>
  <c r="H134" i="13"/>
  <c r="H80" i="14"/>
  <c r="H55" i="14"/>
  <c r="H43" i="14"/>
  <c r="H57" i="14"/>
  <c r="F115" i="13" l="1"/>
  <c r="F68" i="13"/>
  <c r="H120" i="13"/>
  <c r="H122" i="13"/>
  <c r="H118" i="13"/>
  <c r="H97" i="13"/>
  <c r="H95" i="13"/>
  <c r="F76" i="13" l="1"/>
  <c r="H81" i="13"/>
  <c r="H79" i="13"/>
  <c r="H83" i="13"/>
  <c r="H56" i="13"/>
  <c r="H58" i="13"/>
  <c r="F36" i="13" l="1"/>
  <c r="F398" i="5"/>
  <c r="F393" i="5"/>
  <c r="F387" i="5"/>
  <c r="F390" i="5" s="1"/>
  <c r="F315" i="5"/>
  <c r="F371" i="5"/>
  <c r="F342" i="5"/>
  <c r="F337" i="5"/>
  <c r="F370" i="5" s="1"/>
  <c r="F331" i="5"/>
  <c r="F334" i="5" s="1"/>
  <c r="H42" i="13"/>
  <c r="H44" i="13"/>
  <c r="H39" i="13"/>
  <c r="H291" i="5"/>
  <c r="H387" i="5"/>
  <c r="H393" i="5"/>
  <c r="H331" i="5"/>
  <c r="H347" i="5"/>
  <c r="H349" i="5"/>
  <c r="H402" i="5"/>
  <c r="H405" i="5"/>
  <c r="H334" i="5"/>
  <c r="H398" i="5"/>
  <c r="H403" i="5"/>
  <c r="H388" i="5"/>
  <c r="H292" i="5"/>
  <c r="H394" i="5"/>
  <c r="H338" i="5"/>
  <c r="H391" i="5"/>
  <c r="H335" i="5"/>
  <c r="H337" i="5"/>
  <c r="H375" i="5"/>
  <c r="H294" i="5"/>
  <c r="H332" i="5"/>
  <c r="H287" i="5"/>
  <c r="H342" i="5"/>
  <c r="H390" i="5"/>
  <c r="H346" i="5"/>
  <c r="H319" i="5"/>
  <c r="F71" i="17" l="1"/>
  <c r="F110" i="17"/>
  <c r="F110" i="14"/>
  <c r="F111" i="13"/>
  <c r="F71" i="14"/>
  <c r="F72" i="13"/>
  <c r="F402" i="5"/>
  <c r="F405" i="5" s="1"/>
  <c r="F346" i="5"/>
  <c r="F349" i="5" s="1"/>
  <c r="F369" i="5"/>
  <c r="F375" i="5" s="1"/>
  <c r="E28" i="11" s="1"/>
  <c r="F287" i="5"/>
  <c r="H283" i="5"/>
  <c r="H282" i="5"/>
  <c r="G28" i="11" l="1"/>
  <c r="K28" i="11" s="1"/>
  <c r="N28" i="11" s="1"/>
  <c r="F28" i="11"/>
  <c r="J28" i="11" s="1"/>
  <c r="M28" i="11" s="1"/>
  <c r="I28" i="11"/>
  <c r="L28" i="11" s="1"/>
  <c r="F379" i="5"/>
  <c r="F380" i="5"/>
  <c r="F282" i="5"/>
  <c r="F314" i="5" s="1"/>
  <c r="F276" i="5"/>
  <c r="F279" i="5" s="1"/>
  <c r="F32" i="17" s="1"/>
  <c r="H279" i="5"/>
  <c r="H277" i="5"/>
  <c r="H280" i="5"/>
  <c r="H276" i="5"/>
  <c r="F32" i="14" l="1"/>
  <c r="F32" i="13"/>
  <c r="F291" i="5"/>
  <c r="F294" i="5" s="1"/>
  <c r="F313" i="5"/>
  <c r="F319" i="5" s="1"/>
  <c r="E15" i="11" s="1"/>
  <c r="J15" i="11" l="1"/>
  <c r="M15" i="11" s="1"/>
  <c r="K15" i="11"/>
  <c r="N15" i="11" s="1"/>
  <c r="I15" i="11"/>
  <c r="L15" i="11" s="1"/>
  <c r="F15" i="11"/>
  <c r="G15" i="11"/>
  <c r="F322" i="5"/>
  <c r="F323" i="5"/>
  <c r="F132" i="12" l="1"/>
  <c r="F134" i="12" s="1"/>
  <c r="F118" i="12"/>
  <c r="F120" i="12" s="1"/>
  <c r="F104" i="12"/>
  <c r="F101" i="12"/>
  <c r="F102" i="12" s="1"/>
  <c r="F90" i="12"/>
  <c r="F92" i="12" s="1"/>
  <c r="H122" i="12"/>
  <c r="H102" i="12"/>
  <c r="H103" i="12"/>
  <c r="H98" i="12"/>
  <c r="H120" i="12"/>
  <c r="H134" i="12"/>
  <c r="H135" i="12"/>
  <c r="H101" i="12"/>
  <c r="H94" i="12"/>
  <c r="H99" i="12"/>
  <c r="H92" i="12"/>
  <c r="H100" i="12"/>
  <c r="H105" i="12"/>
  <c r="H106" i="12"/>
  <c r="F122" i="12" l="1"/>
  <c r="H31" i="11" s="1"/>
  <c r="F66" i="17"/>
  <c r="F66" i="14"/>
  <c r="F67" i="13"/>
  <c r="F27" i="17"/>
  <c r="F27" i="14"/>
  <c r="F27" i="13"/>
  <c r="H41" i="11"/>
  <c r="F105" i="17"/>
  <c r="F105" i="14"/>
  <c r="F106" i="13"/>
  <c r="F94" i="12"/>
  <c r="H18" i="11" s="1"/>
  <c r="F105" i="12"/>
  <c r="F106" i="12" s="1"/>
  <c r="F92" i="13" l="1"/>
  <c r="F93" i="13" s="1"/>
  <c r="F95" i="13" s="1"/>
  <c r="F97" i="13" s="1"/>
  <c r="F77" i="13"/>
  <c r="F79" i="13" s="1"/>
  <c r="F81" i="13" s="1"/>
  <c r="F83" i="13" s="1"/>
  <c r="F130" i="14"/>
  <c r="F131" i="14" s="1"/>
  <c r="F133" i="14" s="1"/>
  <c r="F135" i="14" s="1"/>
  <c r="F115" i="14"/>
  <c r="F117" i="14" s="1"/>
  <c r="F119" i="14" s="1"/>
  <c r="F121" i="14" s="1"/>
  <c r="F91" i="17"/>
  <c r="F92" i="17" s="1"/>
  <c r="F94" i="17" s="1"/>
  <c r="F96" i="17" s="1"/>
  <c r="F76" i="17"/>
  <c r="F78" i="17" s="1"/>
  <c r="F80" i="17" s="1"/>
  <c r="F82" i="17" s="1"/>
  <c r="F131" i="13"/>
  <c r="F132" i="13" s="1"/>
  <c r="F134" i="13" s="1"/>
  <c r="F136" i="13" s="1"/>
  <c r="F116" i="13"/>
  <c r="F118" i="13" s="1"/>
  <c r="F120" i="13" s="1"/>
  <c r="F122" i="13" s="1"/>
  <c r="F53" i="13"/>
  <c r="F54" i="13" s="1"/>
  <c r="F56" i="13" s="1"/>
  <c r="F58" i="13" s="1"/>
  <c r="F37" i="13"/>
  <c r="F39" i="13" s="1"/>
  <c r="F42" i="13" s="1"/>
  <c r="F44" i="13" s="1"/>
  <c r="F91" i="14"/>
  <c r="F92" i="14" s="1"/>
  <c r="F94" i="14" s="1"/>
  <c r="F96" i="14" s="1"/>
  <c r="F76" i="14"/>
  <c r="F78" i="14" s="1"/>
  <c r="F80" i="14" s="1"/>
  <c r="F82" i="14" s="1"/>
  <c r="F52" i="14"/>
  <c r="F53" i="14" s="1"/>
  <c r="F55" i="14" s="1"/>
  <c r="F57" i="14" s="1"/>
  <c r="F37" i="14"/>
  <c r="F39" i="14" s="1"/>
  <c r="F41" i="14" s="1"/>
  <c r="F43" i="14" s="1"/>
  <c r="F130" i="17"/>
  <c r="F131" i="17" s="1"/>
  <c r="F133" i="17" s="1"/>
  <c r="F135" i="17" s="1"/>
  <c r="F115" i="17"/>
  <c r="F117" i="17" s="1"/>
  <c r="F119" i="17" s="1"/>
  <c r="F121" i="17" s="1"/>
  <c r="F52" i="17"/>
  <c r="F53" i="17" s="1"/>
  <c r="F55" i="17" s="1"/>
  <c r="F57" i="17" s="1"/>
  <c r="F37" i="17"/>
  <c r="F39" i="17" s="1"/>
  <c r="F41" i="17" s="1"/>
  <c r="F43" i="17" s="1"/>
  <c r="F62" i="12"/>
  <c r="H62" i="12"/>
  <c r="H76" i="12"/>
  <c r="H53" i="12"/>
  <c r="H51" i="12"/>
  <c r="E77" i="12"/>
  <c r="F86" i="14" l="1"/>
  <c r="J35" i="11" s="1"/>
  <c r="F84" i="14"/>
  <c r="J32" i="11" s="1"/>
  <c r="F137" i="17"/>
  <c r="N42" i="11" s="1"/>
  <c r="F139" i="17"/>
  <c r="N45" i="11" s="1"/>
  <c r="F98" i="14"/>
  <c r="M32" i="11" s="1"/>
  <c r="F100" i="14"/>
  <c r="M35" i="11" s="1"/>
  <c r="F138" i="13"/>
  <c r="L42" i="11" s="1"/>
  <c r="F140" i="13"/>
  <c r="L45" i="11" s="1"/>
  <c r="F137" i="14"/>
  <c r="M42" i="11" s="1"/>
  <c r="F139" i="14"/>
  <c r="M45" i="11" s="1"/>
  <c r="F123" i="17"/>
  <c r="K42" i="11" s="1"/>
  <c r="F125" i="17"/>
  <c r="K45" i="11" s="1"/>
  <c r="F126" i="13"/>
  <c r="I45" i="11" s="1"/>
  <c r="F124" i="13"/>
  <c r="I42" i="11" s="1"/>
  <c r="F47" i="17"/>
  <c r="K22" i="11" s="1"/>
  <c r="F45" i="17"/>
  <c r="K19" i="11" s="1"/>
  <c r="F47" i="14"/>
  <c r="J22" i="11" s="1"/>
  <c r="F45" i="14"/>
  <c r="J19" i="11" s="1"/>
  <c r="F48" i="13"/>
  <c r="I22" i="11" s="1"/>
  <c r="F46" i="13"/>
  <c r="I19" i="11" s="1"/>
  <c r="F84" i="17"/>
  <c r="K32" i="11" s="1"/>
  <c r="F86" i="17"/>
  <c r="K35" i="11" s="1"/>
  <c r="F87" i="13"/>
  <c r="I35" i="11" s="1"/>
  <c r="F85" i="13"/>
  <c r="I32" i="11" s="1"/>
  <c r="F123" i="14"/>
  <c r="J42" i="11" s="1"/>
  <c r="F125" i="14"/>
  <c r="J45" i="11" s="1"/>
  <c r="F61" i="17"/>
  <c r="N22" i="11" s="1"/>
  <c r="F59" i="17"/>
  <c r="N19" i="11" s="1"/>
  <c r="F61" i="14"/>
  <c r="M22" i="11" s="1"/>
  <c r="F59" i="14"/>
  <c r="M19" i="11" s="1"/>
  <c r="F62" i="13"/>
  <c r="L22" i="11" s="1"/>
  <c r="F60" i="13"/>
  <c r="L19" i="11" s="1"/>
  <c r="F98" i="17"/>
  <c r="N32" i="11" s="1"/>
  <c r="F100" i="17"/>
  <c r="N35" i="11" s="1"/>
  <c r="F99" i="13"/>
  <c r="L32" i="11" s="1"/>
  <c r="F101" i="13"/>
  <c r="L35" i="11" s="1"/>
  <c r="F51" i="12"/>
  <c r="H43" i="12"/>
  <c r="H22" i="12"/>
  <c r="H33" i="12"/>
  <c r="H31" i="12"/>
  <c r="H29" i="12"/>
  <c r="F29" i="12" l="1"/>
  <c r="F10" i="12"/>
  <c r="F53" i="12" s="1"/>
  <c r="H25" i="11" s="1"/>
  <c r="H20" i="12"/>
  <c r="F64" i="12" l="1"/>
  <c r="H38" i="11" s="1"/>
  <c r="F76" i="12"/>
  <c r="F43" i="12"/>
  <c r="H13" i="11" s="1"/>
  <c r="F18" i="12"/>
  <c r="F20" i="12" s="1"/>
  <c r="F22" i="12" s="1"/>
  <c r="H8" i="11" s="1"/>
  <c r="H18" i="12"/>
  <c r="F324" i="17" l="1"/>
  <c r="F324" i="14"/>
  <c r="F327" i="13"/>
  <c r="H48" i="11"/>
  <c r="F31" i="12"/>
  <c r="F33" i="12" s="1"/>
  <c r="H11" i="11" s="1"/>
  <c r="F352" i="13" l="1"/>
  <c r="F353" i="13" s="1"/>
  <c r="F337" i="13"/>
  <c r="F339" i="13" s="1"/>
  <c r="F349" i="14"/>
  <c r="F350" i="14" s="1"/>
  <c r="F352" i="14" s="1"/>
  <c r="F354" i="14" s="1"/>
  <c r="F334" i="14"/>
  <c r="F336" i="14" s="1"/>
  <c r="F338" i="14" s="1"/>
  <c r="F340" i="14" s="1"/>
  <c r="F349" i="17"/>
  <c r="F350" i="17" s="1"/>
  <c r="F352" i="17" s="1"/>
  <c r="F354" i="17" s="1"/>
  <c r="F334" i="17"/>
  <c r="F336" i="17" s="1"/>
  <c r="F338" i="17" s="1"/>
  <c r="F340" i="17" s="1"/>
  <c r="F4" i="12"/>
  <c r="F356" i="14" l="1"/>
  <c r="M49" i="11" s="1"/>
  <c r="F358" i="14"/>
  <c r="M52" i="11" s="1"/>
  <c r="F342" i="17"/>
  <c r="K49" i="11" s="1"/>
  <c r="F344" i="17"/>
  <c r="K52" i="11" s="1"/>
  <c r="F342" i="14"/>
  <c r="J49" i="11" s="1"/>
  <c r="F344" i="14"/>
  <c r="J52" i="11" s="1"/>
  <c r="F356" i="17"/>
  <c r="N49" i="11" s="1"/>
  <c r="F358" i="17"/>
  <c r="N52" i="11" s="1"/>
  <c r="C8" i="11"/>
  <c r="F320" i="9" l="1"/>
  <c r="F319" i="9"/>
  <c r="F308" i="9"/>
  <c r="F301" i="9"/>
  <c r="F293" i="9"/>
  <c r="F292" i="9"/>
  <c r="F281" i="9"/>
  <c r="F274" i="9"/>
  <c r="F255" i="9"/>
  <c r="F253" i="9"/>
  <c r="F214" i="9"/>
  <c r="F212" i="9"/>
  <c r="F164" i="9"/>
  <c r="F162" i="9"/>
  <c r="F115" i="9"/>
  <c r="F75" i="9"/>
  <c r="F334" i="9"/>
  <c r="F327" i="9"/>
  <c r="F324" i="9"/>
  <c r="H320" i="9"/>
  <c r="H331" i="9"/>
  <c r="H334" i="9"/>
  <c r="H327" i="9"/>
  <c r="H336" i="9"/>
  <c r="H338" i="9"/>
  <c r="H329" i="9"/>
  <c r="H339" i="9"/>
  <c r="H332" i="9"/>
  <c r="F336" i="9" l="1"/>
  <c r="F329" i="9"/>
  <c r="H319" i="9"/>
  <c r="F339" i="9" l="1"/>
  <c r="F338" i="9"/>
  <c r="F332" i="9"/>
  <c r="F331" i="9"/>
  <c r="F298" i="9"/>
  <c r="H308" i="9"/>
  <c r="H301" i="9"/>
  <c r="H312" i="9"/>
  <c r="H303" i="9"/>
  <c r="H305" i="9"/>
  <c r="H310" i="9"/>
  <c r="H313" i="9"/>
  <c r="H293" i="9"/>
  <c r="H306" i="9"/>
  <c r="F310" i="9" l="1"/>
  <c r="F303" i="9"/>
  <c r="H292" i="9"/>
  <c r="F306" i="9" l="1"/>
  <c r="F305" i="9"/>
  <c r="F313" i="9"/>
  <c r="F312" i="9"/>
  <c r="F271" i="9"/>
  <c r="H279" i="9"/>
  <c r="H276" i="9"/>
  <c r="H286" i="9"/>
  <c r="H278" i="9"/>
  <c r="H285" i="9"/>
  <c r="H283" i="9"/>
  <c r="H264" i="9"/>
  <c r="H281" i="9"/>
  <c r="H274" i="9"/>
  <c r="F283" i="9" l="1"/>
  <c r="F276" i="9"/>
  <c r="H262" i="9"/>
  <c r="H263" i="9"/>
  <c r="F279" i="9" l="1"/>
  <c r="F278" i="9"/>
  <c r="F286" i="9"/>
  <c r="F285" i="9"/>
  <c r="F247" i="9"/>
  <c r="F246" i="9"/>
  <c r="F241" i="9"/>
  <c r="F235" i="9"/>
  <c r="H239" i="9"/>
  <c r="H242" i="9"/>
  <c r="H241" i="9"/>
  <c r="H255" i="9"/>
  <c r="H253" i="9"/>
  <c r="H258" i="9"/>
  <c r="H259" i="9"/>
  <c r="H235" i="9"/>
  <c r="H249" i="9"/>
  <c r="H257" i="9"/>
  <c r="H236" i="9"/>
  <c r="H238" i="9"/>
  <c r="H233" i="9"/>
  <c r="F249" i="9" l="1"/>
  <c r="F238" i="9"/>
  <c r="F233" i="9"/>
  <c r="H219" i="9"/>
  <c r="H220" i="9"/>
  <c r="F262" i="9" l="1"/>
  <c r="F264" i="9" s="1"/>
  <c r="F257" i="9"/>
  <c r="F259" i="9" s="1"/>
  <c r="F209" i="9"/>
  <c r="F206" i="9"/>
  <c r="F198" i="9"/>
  <c r="F190" i="9"/>
  <c r="F184" i="9"/>
  <c r="F187" i="9" s="1"/>
  <c r="H191" i="9"/>
  <c r="H188" i="9"/>
  <c r="H190" i="9"/>
  <c r="H207" i="9"/>
  <c r="H180" i="9"/>
  <c r="H217" i="9"/>
  <c r="H210" i="9"/>
  <c r="H185" i="9"/>
  <c r="H206" i="9"/>
  <c r="H209" i="9"/>
  <c r="H212" i="9"/>
  <c r="H198" i="9"/>
  <c r="H216" i="9"/>
  <c r="H184" i="9"/>
  <c r="H214" i="9"/>
  <c r="H187" i="9"/>
  <c r="F219" i="9" l="1"/>
  <c r="F216" i="9"/>
  <c r="F180" i="9"/>
  <c r="F178" i="9"/>
  <c r="F159" i="9"/>
  <c r="F156" i="9"/>
  <c r="F148" i="9"/>
  <c r="F140" i="9"/>
  <c r="F134" i="9"/>
  <c r="F137" i="9" s="1"/>
  <c r="H178" i="9"/>
  <c r="H137" i="9"/>
  <c r="H167" i="9"/>
  <c r="H156" i="9"/>
  <c r="H164" i="9"/>
  <c r="H135" i="9"/>
  <c r="H162" i="9"/>
  <c r="H160" i="9"/>
  <c r="H140" i="9"/>
  <c r="H166" i="9"/>
  <c r="H169" i="9"/>
  <c r="H159" i="9"/>
  <c r="H141" i="9"/>
  <c r="H170" i="9"/>
  <c r="H134" i="9"/>
  <c r="H157" i="9"/>
  <c r="H148" i="9"/>
  <c r="H130" i="9"/>
  <c r="H138" i="9"/>
  <c r="F169" i="9" l="1"/>
  <c r="F166" i="9"/>
  <c r="F130" i="9"/>
  <c r="F128" i="9"/>
  <c r="F112" i="9"/>
  <c r="F106" i="9"/>
  <c r="F98" i="9"/>
  <c r="F92" i="9"/>
  <c r="F95" i="9" s="1"/>
  <c r="F87" i="9"/>
  <c r="F70" i="9"/>
  <c r="F66" i="9"/>
  <c r="F65" i="9"/>
  <c r="F60" i="9"/>
  <c r="F54" i="9"/>
  <c r="H93" i="9"/>
  <c r="H113" i="9"/>
  <c r="H99" i="9"/>
  <c r="H117" i="9"/>
  <c r="H78" i="9"/>
  <c r="H68" i="9"/>
  <c r="H54" i="9"/>
  <c r="H73" i="9"/>
  <c r="H95" i="9"/>
  <c r="H69" i="9"/>
  <c r="H77" i="9"/>
  <c r="H98" i="9"/>
  <c r="H50" i="9"/>
  <c r="H61" i="9"/>
  <c r="H92" i="9"/>
  <c r="H87" i="9"/>
  <c r="H115" i="9"/>
  <c r="H57" i="9"/>
  <c r="H96" i="9"/>
  <c r="H128" i="9"/>
  <c r="H55" i="9"/>
  <c r="H58" i="9"/>
  <c r="H112" i="9"/>
  <c r="H118" i="9"/>
  <c r="H60" i="9"/>
  <c r="H75" i="9"/>
  <c r="H72" i="9"/>
  <c r="F117" i="9" l="1"/>
  <c r="F68" i="9"/>
  <c r="F72" i="9" s="1"/>
  <c r="F57" i="9"/>
  <c r="F50" i="9"/>
  <c r="H41" i="9"/>
  <c r="H40" i="9"/>
  <c r="F77" i="9" l="1"/>
  <c r="F35" i="9"/>
  <c r="F32" i="9"/>
  <c r="F31" i="9"/>
  <c r="F26" i="9"/>
  <c r="F20" i="9"/>
  <c r="H23" i="9"/>
  <c r="H20" i="9"/>
  <c r="H24" i="9"/>
  <c r="H34" i="9"/>
  <c r="H38" i="9"/>
  <c r="H27" i="9"/>
  <c r="H37" i="9"/>
  <c r="H26" i="9"/>
  <c r="H21" i="9"/>
  <c r="H18" i="9"/>
  <c r="F34" i="9" l="1"/>
  <c r="F37" i="9" s="1"/>
  <c r="F23" i="9"/>
  <c r="F18" i="9"/>
  <c r="F4" i="9"/>
  <c r="F320" i="8"/>
  <c r="F319" i="8"/>
  <c r="F308" i="8"/>
  <c r="F301" i="8"/>
  <c r="F293" i="8"/>
  <c r="F292" i="8"/>
  <c r="F281" i="8"/>
  <c r="F274" i="8"/>
  <c r="F255" i="8"/>
  <c r="F253" i="8"/>
  <c r="F214" i="8"/>
  <c r="F212" i="8"/>
  <c r="F164" i="8"/>
  <c r="F162" i="8"/>
  <c r="F115" i="8"/>
  <c r="F75" i="8"/>
  <c r="H339" i="8"/>
  <c r="H327" i="8"/>
  <c r="H329" i="8"/>
  <c r="H338" i="8"/>
  <c r="H334" i="8"/>
  <c r="H332" i="8"/>
  <c r="H336" i="8"/>
  <c r="H331" i="8"/>
  <c r="F40" i="9" l="1"/>
  <c r="F324" i="8"/>
  <c r="H320" i="8"/>
  <c r="F336" i="8" l="1"/>
  <c r="F329" i="8"/>
  <c r="H319" i="8"/>
  <c r="F339" i="8" l="1"/>
  <c r="F338" i="8"/>
  <c r="F332" i="8"/>
  <c r="F331" i="8"/>
  <c r="F298" i="8"/>
  <c r="H293" i="8"/>
  <c r="H310" i="8"/>
  <c r="H305" i="8"/>
  <c r="H312" i="8"/>
  <c r="H313" i="8"/>
  <c r="H303" i="8"/>
  <c r="H306" i="8"/>
  <c r="H301" i="8"/>
  <c r="H308" i="8"/>
  <c r="F310" i="8" l="1"/>
  <c r="F303" i="8"/>
  <c r="H292" i="8"/>
  <c r="F313" i="8" l="1"/>
  <c r="F312" i="8"/>
  <c r="F306" i="8"/>
  <c r="F305" i="8"/>
  <c r="F271" i="8"/>
  <c r="H274" i="8"/>
  <c r="H281" i="8"/>
  <c r="H276" i="8"/>
  <c r="H278" i="8"/>
  <c r="H285" i="8"/>
  <c r="H283" i="8"/>
  <c r="H286" i="8"/>
  <c r="H279" i="8"/>
  <c r="H264" i="8"/>
  <c r="F283" i="8" l="1"/>
  <c r="F276" i="8"/>
  <c r="H263" i="8"/>
  <c r="H262" i="8"/>
  <c r="F286" i="8" l="1"/>
  <c r="F285" i="8"/>
  <c r="F279" i="8"/>
  <c r="F278" i="8"/>
  <c r="F247" i="8"/>
  <c r="F246" i="8"/>
  <c r="H259" i="8"/>
  <c r="H253" i="8"/>
  <c r="H241" i="8"/>
  <c r="H258" i="8"/>
  <c r="H242" i="8"/>
  <c r="H249" i="8"/>
  <c r="H257" i="8"/>
  <c r="H255" i="8"/>
  <c r="F241" i="8" l="1"/>
  <c r="F235" i="8"/>
  <c r="H236" i="8"/>
  <c r="H233" i="8"/>
  <c r="H235" i="8"/>
  <c r="H238" i="8"/>
  <c r="H239" i="8"/>
  <c r="F249" i="8" l="1"/>
  <c r="F238" i="8"/>
  <c r="F233" i="8"/>
  <c r="H219" i="8"/>
  <c r="H220" i="8"/>
  <c r="F262" i="8" l="1"/>
  <c r="F264" i="8" s="1"/>
  <c r="F257" i="8"/>
  <c r="F259" i="8" s="1"/>
  <c r="F209" i="8"/>
  <c r="F206" i="8"/>
  <c r="F198" i="8"/>
  <c r="F190" i="8"/>
  <c r="F184" i="8"/>
  <c r="F187" i="8" s="1"/>
  <c r="H217" i="8"/>
  <c r="H190" i="8"/>
  <c r="H185" i="8"/>
  <c r="H198" i="8"/>
  <c r="H187" i="8"/>
  <c r="H188" i="8"/>
  <c r="H206" i="8"/>
  <c r="H191" i="8"/>
  <c r="H207" i="8"/>
  <c r="H212" i="8"/>
  <c r="H214" i="8"/>
  <c r="H209" i="8"/>
  <c r="H184" i="8"/>
  <c r="H210" i="8"/>
  <c r="H216" i="8"/>
  <c r="H180" i="8"/>
  <c r="F219" i="8" l="1"/>
  <c r="F216" i="8"/>
  <c r="F180" i="8"/>
  <c r="F178" i="8"/>
  <c r="F159" i="8"/>
  <c r="F156" i="8"/>
  <c r="F148" i="8"/>
  <c r="F140" i="8"/>
  <c r="F134" i="8"/>
  <c r="F137" i="8" s="1"/>
  <c r="H166" i="8"/>
  <c r="H160" i="8"/>
  <c r="H134" i="8"/>
  <c r="H140" i="8"/>
  <c r="H148" i="8"/>
  <c r="H170" i="8"/>
  <c r="H169" i="8"/>
  <c r="H156" i="8"/>
  <c r="H167" i="8"/>
  <c r="H138" i="8"/>
  <c r="H164" i="8"/>
  <c r="H159" i="8"/>
  <c r="H141" i="8"/>
  <c r="H157" i="8"/>
  <c r="H137" i="8"/>
  <c r="H162" i="8"/>
  <c r="H178" i="8"/>
  <c r="H130" i="8"/>
  <c r="H135" i="8"/>
  <c r="F169" i="8" l="1"/>
  <c r="F166" i="8"/>
  <c r="F130" i="8"/>
  <c r="F128" i="8"/>
  <c r="F112" i="8"/>
  <c r="F106" i="8"/>
  <c r="F98" i="8"/>
  <c r="F92" i="8"/>
  <c r="F95" i="8" s="1"/>
  <c r="F117" i="8" s="1"/>
  <c r="F87" i="8"/>
  <c r="F70" i="8"/>
  <c r="F66" i="8"/>
  <c r="F65" i="8"/>
  <c r="F60" i="8"/>
  <c r="F54" i="8"/>
  <c r="H98" i="8"/>
  <c r="H92" i="8"/>
  <c r="H128" i="8"/>
  <c r="H115" i="8"/>
  <c r="H78" i="8"/>
  <c r="H57" i="8"/>
  <c r="H69" i="8"/>
  <c r="H54" i="8"/>
  <c r="H113" i="8"/>
  <c r="H87" i="8"/>
  <c r="H95" i="8"/>
  <c r="H77" i="8"/>
  <c r="H50" i="8"/>
  <c r="H68" i="8"/>
  <c r="H55" i="8"/>
  <c r="H58" i="8"/>
  <c r="H72" i="8"/>
  <c r="H93" i="8"/>
  <c r="H61" i="8"/>
  <c r="H99" i="8"/>
  <c r="H112" i="8"/>
  <c r="H73" i="8"/>
  <c r="H118" i="8"/>
  <c r="H75" i="8"/>
  <c r="H96" i="8"/>
  <c r="H117" i="8"/>
  <c r="H60" i="8"/>
  <c r="F68" i="8" l="1"/>
  <c r="F72" i="8" s="1"/>
  <c r="F57" i="8"/>
  <c r="F50" i="8"/>
  <c r="H40" i="8"/>
  <c r="H41" i="8"/>
  <c r="F77" i="8" l="1"/>
  <c r="F35" i="8"/>
  <c r="F32" i="8"/>
  <c r="F31" i="8"/>
  <c r="F26" i="8"/>
  <c r="F20" i="8"/>
  <c r="H37" i="8"/>
  <c r="H21" i="8"/>
  <c r="H27" i="8"/>
  <c r="H23" i="8"/>
  <c r="H26" i="8"/>
  <c r="H24" i="8"/>
  <c r="H18" i="8"/>
  <c r="H38" i="8"/>
  <c r="H20" i="8"/>
  <c r="H34" i="8"/>
  <c r="F34" i="8" l="1"/>
  <c r="F37" i="8" s="1"/>
  <c r="F23" i="8"/>
  <c r="F18" i="8"/>
  <c r="F4" i="8"/>
  <c r="E14" i="7"/>
  <c r="E15" i="7" s="1"/>
  <c r="D28" i="11" s="1"/>
  <c r="E9" i="7"/>
  <c r="E10" i="7" s="1"/>
  <c r="D15" i="11" s="1"/>
  <c r="E17" i="11"/>
  <c r="I17" i="11" s="1"/>
  <c r="L17" i="11" s="1"/>
  <c r="E16" i="11"/>
  <c r="I16" i="11" s="1"/>
  <c r="L16" i="11" s="1"/>
  <c r="E30" i="11"/>
  <c r="I30" i="11" s="1"/>
  <c r="L30" i="11" s="1"/>
  <c r="E29" i="11"/>
  <c r="I29" i="11" s="1"/>
  <c r="L29" i="11" s="1"/>
  <c r="F417" i="5"/>
  <c r="F410" i="5"/>
  <c r="H417" i="5"/>
  <c r="H380" i="5"/>
  <c r="H415" i="5"/>
  <c r="H410" i="5"/>
  <c r="H419" i="5"/>
  <c r="H420" i="5"/>
  <c r="H413" i="5"/>
  <c r="H379" i="5"/>
  <c r="H322" i="5"/>
  <c r="H364" i="5"/>
  <c r="H412" i="5"/>
  <c r="H408" i="5"/>
  <c r="H323" i="5"/>
  <c r="F40" i="8" l="1"/>
  <c r="E45" i="11"/>
  <c r="E42" i="11"/>
  <c r="H363" i="5"/>
  <c r="F420" i="5" l="1"/>
  <c r="E47" i="11" s="1"/>
  <c r="F419" i="5"/>
  <c r="E46" i="11" s="1"/>
  <c r="F413" i="5"/>
  <c r="E44" i="11" s="1"/>
  <c r="F412" i="5"/>
  <c r="E43" i="11" s="1"/>
  <c r="F306" i="5"/>
  <c r="F299" i="5"/>
  <c r="F361" i="5"/>
  <c r="E35" i="11" s="1"/>
  <c r="H309" i="5"/>
  <c r="H297" i="5"/>
  <c r="H302" i="5"/>
  <c r="H306" i="5"/>
  <c r="H299" i="5"/>
  <c r="H359" i="5"/>
  <c r="H357" i="5"/>
  <c r="H356" i="5"/>
  <c r="H301" i="5"/>
  <c r="H304" i="5"/>
  <c r="H361" i="5"/>
  <c r="H308" i="5"/>
  <c r="F364" i="5" l="1"/>
  <c r="E37" i="11" s="1"/>
  <c r="F363" i="5"/>
  <c r="E36" i="11" s="1"/>
  <c r="E22" i="11"/>
  <c r="E19" i="11"/>
  <c r="F354" i="5"/>
  <c r="E32" i="11" s="1"/>
  <c r="H354" i="5"/>
  <c r="F357" i="5" l="1"/>
  <c r="E34" i="11" s="1"/>
  <c r="F356" i="5"/>
  <c r="E33" i="11" s="1"/>
  <c r="F309" i="5"/>
  <c r="E24" i="11" s="1"/>
  <c r="F308" i="5"/>
  <c r="E23" i="11" s="1"/>
  <c r="F302" i="5"/>
  <c r="E21" i="11" s="1"/>
  <c r="F301" i="5"/>
  <c r="E20" i="11" s="1"/>
  <c r="F257" i="5"/>
  <c r="F255" i="5"/>
  <c r="F235" i="5"/>
  <c r="H257" i="5"/>
  <c r="H260" i="5"/>
  <c r="H255" i="5"/>
  <c r="H264" i="5"/>
  <c r="H251" i="5"/>
  <c r="H259" i="5"/>
  <c r="H261" i="5"/>
  <c r="H266" i="5"/>
  <c r="H265" i="5"/>
  <c r="F358" i="13" l="1"/>
  <c r="F344" i="13"/>
  <c r="F360" i="13"/>
  <c r="F346" i="13"/>
  <c r="F249" i="5"/>
  <c r="F248" i="5"/>
  <c r="F243" i="5"/>
  <c r="F237" i="5"/>
  <c r="H243" i="5"/>
  <c r="H238" i="5"/>
  <c r="H235" i="5"/>
  <c r="H237" i="5"/>
  <c r="H240" i="5"/>
  <c r="H244" i="5"/>
  <c r="H241" i="5"/>
  <c r="F251" i="5" l="1"/>
  <c r="F240" i="5"/>
  <c r="F332" i="13" s="1"/>
  <c r="F211" i="5"/>
  <c r="F208" i="5"/>
  <c r="F200" i="5"/>
  <c r="F182" i="5"/>
  <c r="F180" i="5"/>
  <c r="F216" i="5"/>
  <c r="F214" i="5"/>
  <c r="F192" i="5"/>
  <c r="F186" i="5"/>
  <c r="F189" i="5" s="1"/>
  <c r="F166" i="5"/>
  <c r="F158" i="5"/>
  <c r="F161" i="5"/>
  <c r="F132" i="5"/>
  <c r="F164" i="5"/>
  <c r="F150" i="5"/>
  <c r="H216" i="5"/>
  <c r="H187" i="5"/>
  <c r="H150" i="5"/>
  <c r="H161" i="5"/>
  <c r="H182" i="5"/>
  <c r="H162" i="5"/>
  <c r="H143" i="5"/>
  <c r="H208" i="5"/>
  <c r="H189" i="5"/>
  <c r="H212" i="5"/>
  <c r="H221" i="5"/>
  <c r="H214" i="5"/>
  <c r="H211" i="5"/>
  <c r="H169" i="5"/>
  <c r="H166" i="5"/>
  <c r="H158" i="5"/>
  <c r="H132" i="5"/>
  <c r="H172" i="5"/>
  <c r="H142" i="5"/>
  <c r="H192" i="5"/>
  <c r="H171" i="5"/>
  <c r="H219" i="5"/>
  <c r="H186" i="5"/>
  <c r="H190" i="5"/>
  <c r="H159" i="5"/>
  <c r="H218" i="5"/>
  <c r="H209" i="5"/>
  <c r="H222" i="5"/>
  <c r="H168" i="5"/>
  <c r="H180" i="5"/>
  <c r="H164" i="5"/>
  <c r="H193" i="5"/>
  <c r="F341" i="13" l="1"/>
  <c r="F343" i="13" s="1"/>
  <c r="F355" i="13"/>
  <c r="F357" i="13" s="1"/>
  <c r="F259" i="5"/>
  <c r="F264" i="5"/>
  <c r="F218" i="5"/>
  <c r="E39" i="11" s="1"/>
  <c r="F221" i="5"/>
  <c r="E40" i="11" s="1"/>
  <c r="F142" i="5"/>
  <c r="F136" i="5"/>
  <c r="H140" i="5"/>
  <c r="H130" i="5"/>
  <c r="H137" i="5"/>
  <c r="H139" i="5"/>
  <c r="H136" i="5"/>
  <c r="F359" i="13" l="1"/>
  <c r="L49" i="11" s="1"/>
  <c r="F361" i="13"/>
  <c r="L52" i="11" s="1"/>
  <c r="F345" i="13"/>
  <c r="I49" i="11" s="1"/>
  <c r="F347" i="13"/>
  <c r="I52" i="11" s="1"/>
  <c r="F266" i="5"/>
  <c r="E52" i="11"/>
  <c r="F261" i="5"/>
  <c r="E49" i="11"/>
  <c r="F139" i="5"/>
  <c r="F130" i="5"/>
  <c r="F108" i="5"/>
  <c r="F117" i="5"/>
  <c r="H117" i="5"/>
  <c r="H119" i="5"/>
  <c r="H115" i="5"/>
  <c r="H114" i="5"/>
  <c r="H120" i="5"/>
  <c r="E53" i="11" l="1"/>
  <c r="E54" i="11"/>
  <c r="E50" i="11"/>
  <c r="E51" i="11"/>
  <c r="F171" i="5"/>
  <c r="E27" i="11" s="1"/>
  <c r="F168" i="5"/>
  <c r="E26" i="11" s="1"/>
  <c r="F100" i="5"/>
  <c r="F94" i="5"/>
  <c r="H89" i="5"/>
  <c r="H101" i="5"/>
  <c r="H98" i="5"/>
  <c r="H97" i="5"/>
  <c r="H94" i="5"/>
  <c r="H95" i="5"/>
  <c r="H100" i="5"/>
  <c r="F114" i="5" l="1"/>
  <c r="F97" i="5"/>
  <c r="F89" i="5"/>
  <c r="F77" i="5"/>
  <c r="H77" i="5"/>
  <c r="F119" i="5" l="1"/>
  <c r="E14" i="11" s="1"/>
  <c r="F72" i="5"/>
  <c r="F52" i="5"/>
  <c r="H20" i="5"/>
  <c r="H74" i="5"/>
  <c r="H70" i="5"/>
  <c r="H56" i="5"/>
  <c r="H57" i="5"/>
  <c r="H21" i="5"/>
  <c r="H75" i="5"/>
  <c r="H80" i="5"/>
  <c r="H79" i="5"/>
  <c r="H71" i="5"/>
  <c r="F68" i="5" l="1"/>
  <c r="F67" i="5"/>
  <c r="F62" i="5"/>
  <c r="F56" i="5"/>
  <c r="H62" i="5"/>
  <c r="H60" i="5"/>
  <c r="H52" i="5"/>
  <c r="H59" i="5"/>
  <c r="H63" i="5"/>
  <c r="F70" i="5" l="1"/>
  <c r="F74" i="5" s="1"/>
  <c r="F59" i="5"/>
  <c r="F18" i="5"/>
  <c r="F26" i="5"/>
  <c r="F35" i="5"/>
  <c r="F32" i="5"/>
  <c r="F31" i="5"/>
  <c r="F20" i="5"/>
  <c r="F23" i="5" s="1"/>
  <c r="F4" i="5"/>
  <c r="H34" i="5"/>
  <c r="H24" i="5"/>
  <c r="H27" i="5"/>
  <c r="H41" i="5"/>
  <c r="H23" i="5"/>
  <c r="H26" i="5"/>
  <c r="H40" i="5"/>
  <c r="H38" i="5"/>
  <c r="H18" i="5"/>
  <c r="H37" i="5"/>
  <c r="F79" i="5" l="1"/>
  <c r="E12" i="11" s="1"/>
  <c r="F34" i="5"/>
  <c r="F37" i="5" s="1"/>
  <c r="F40" i="5" s="1"/>
  <c r="E8" i="11" l="1"/>
  <c r="F44" i="5"/>
  <c r="E10" i="11" s="1"/>
  <c r="F43" i="5"/>
  <c r="E9" i="11" s="1"/>
  <c r="G8" i="11" l="1"/>
  <c r="F8" i="11"/>
  <c r="G10" i="11"/>
  <c r="F10" i="11"/>
  <c r="F9" i="11"/>
  <c r="G9" i="11"/>
</calcChain>
</file>

<file path=xl/comments1.xml><?xml version="1.0" encoding="utf-8"?>
<comments xmlns="http://schemas.openxmlformats.org/spreadsheetml/2006/main">
  <authors>
    <author>erik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</commentList>
</comments>
</file>

<file path=xl/comments2.xml><?xml version="1.0" encoding="utf-8"?>
<comments xmlns="http://schemas.openxmlformats.org/spreadsheetml/2006/main">
  <authors>
    <author>erik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</commentList>
</comments>
</file>

<file path=xl/comments3.xml><?xml version="1.0" encoding="utf-8"?>
<comments xmlns="http://schemas.openxmlformats.org/spreadsheetml/2006/main">
  <authors>
    <author>erik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</commentList>
</comments>
</file>

<file path=xl/comments4.xml><?xml version="1.0" encoding="utf-8"?>
<comments xmlns="http://schemas.openxmlformats.org/spreadsheetml/2006/main">
  <authors>
    <author>erik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</commentList>
</comments>
</file>

<file path=xl/comments5.xml><?xml version="1.0" encoding="utf-8"?>
<comments xmlns="http://schemas.openxmlformats.org/spreadsheetml/2006/main">
  <authors>
    <author>erik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</commentList>
</comments>
</file>

<file path=xl/comments6.xml><?xml version="1.0" encoding="utf-8"?>
<comments xmlns="http://schemas.openxmlformats.org/spreadsheetml/2006/main">
  <authors>
    <author>erik</author>
  </authors>
  <commentList>
    <comment ref="J32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J72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J111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C172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  <comment ref="J332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</commentList>
</comments>
</file>

<file path=xl/comments7.xml><?xml version="1.0" encoding="utf-8"?>
<comments xmlns="http://schemas.openxmlformats.org/spreadsheetml/2006/main">
  <authors>
    <author>erik</author>
  </authors>
  <commentList>
    <comment ref="J32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J71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C169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  <comment ref="J329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</commentList>
</comments>
</file>

<file path=xl/comments8.xml><?xml version="1.0" encoding="utf-8"?>
<comments xmlns="http://schemas.openxmlformats.org/spreadsheetml/2006/main">
  <authors>
    <author>erik</author>
  </authors>
  <commentList>
    <comment ref="J32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J71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>erik:</t>
        </r>
        <r>
          <rPr>
            <sz val="9"/>
            <color indexed="81"/>
            <rFont val="Tahoma"/>
            <family val="2"/>
          </rPr>
          <t xml:space="preserve">
põhimõtteliselt sama, mis on CsCd
50341-1 ptk4.2.2.4.4
Märkus. Vabaltseisvatele (tõmmitsateta) teraspostmastidele on G[pol] tüüpiliseks väärtuseks 1,15.
Kas selle kasutamine on ikka tagavara kasuks?
</t>
        </r>
      </text>
    </comment>
    <comment ref="J329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qh*Gq*Gc*Gd
</t>
        </r>
      </text>
    </comment>
  </commentList>
</comments>
</file>

<file path=xl/comments9.xml><?xml version="1.0" encoding="utf-8"?>
<comments xmlns="http://schemas.openxmlformats.org/spreadsheetml/2006/main">
  <authors>
    <author>erik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186"/>
          </rPr>
          <t>erik:</t>
        </r>
        <r>
          <rPr>
            <sz val="9"/>
            <color indexed="81"/>
            <rFont val="Tahoma"/>
            <family val="2"/>
            <charset val="186"/>
          </rPr>
          <t xml:space="preserve">
Mõeldud mittemodelleeritavate elementide omakaalu lisamiseks.</t>
        </r>
      </text>
    </comment>
  </commentList>
</comments>
</file>

<file path=xl/sharedStrings.xml><?xml version="1.0" encoding="utf-8"?>
<sst xmlns="http://schemas.openxmlformats.org/spreadsheetml/2006/main" count="302" uniqueCount="139">
  <si>
    <t xml:space="preserve">= 0.324 x 36 </t>
  </si>
  <si>
    <t xml:space="preserve">= #CellF6 not named# x ln(#CellF15 not named# / #CellF7 not named#) x #CellF3 not named# </t>
  </si>
  <si>
    <t xml:space="preserve">= 0.19 x ln(36 / 0.05) x 21 </t>
  </si>
  <si>
    <r>
      <t>= 1 / 2 x #CellF5 not named# x #CellF20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</si>
  <si>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1 / 2 x 1.225 x 26.25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</si>
  <si>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ln[#CellF15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</si>
  <si>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(1+2.28 / ln[36 / 0.05])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</si>
  <si>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0.324 x 26.25 / 0.000015 </t>
  </si>
  <si>
    <r>
      <t>= 1.2 + (0.18 x log[10 x #CellF35 not named#]) / (1 + 0.4 x log[#CellF34 not named# / 10</t>
    </r>
    <r>
      <rPr>
        <vertAlign val="super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 xml:space="preserve">]) </t>
    </r>
  </si>
  <si>
    <r>
      <t>= 1.2+(0.18 x log[10 x 6.18E-04]) / (1+0.4 x log[5.67E+05 / 10</t>
    </r>
    <r>
      <rPr>
        <vertAlign val="super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 xml:space="preserve">]) </t>
    </r>
  </si>
  <si>
    <t xml:space="preserve">= #CellF23 not named# x #CellF26 not named# x #CellF29 not named# x #CellF37 not named# x #CellF16 not named# </t>
  </si>
  <si>
    <t xml:space="preserve">= 422.09 x 1.81 x 1.15 x 7.59E-01 x 0.324 </t>
  </si>
  <si>
    <t xml:space="preserve">= 0.273 x 15.5 </t>
  </si>
  <si>
    <t xml:space="preserve">= #CellF6 not named# x ln(#CellF48 not named# / #CellF7 not named#) x #CellF3 not named# </t>
  </si>
  <si>
    <t xml:space="preserve">= 0.19 x ln(14 / 0.05) x 21 </t>
  </si>
  <si>
    <r>
      <t>= 1 / 2 x #CellF5 not named# x #CellF56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</si>
  <si>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1 / 2 x 1.225 x 22.48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</si>
  <si>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ln[#CellF48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</si>
  <si>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(1+2.28 / ln[14 / 0.05])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</si>
  <si>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#CellF68 not named# x #CellF56 not named# / #CellF67 not named# </t>
  </si>
  <si>
    <t xml:space="preserve">= 0.273 x 22.48 / 0.000015 </t>
  </si>
  <si>
    <r>
      <t>= 1.2 + (0.18 x log[10 x #CellF72 not named#]) / (1 + 0.4 x log[#CellF70 not named# / 10</t>
    </r>
    <r>
      <rPr>
        <vertAlign val="super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 xml:space="preserve">]) </t>
    </r>
  </si>
  <si>
    <r>
      <t>= 1.2+(0.18 x log[10 x 7.33E+02]) / (1+0.4 x log[4.09E+05 / 10</t>
    </r>
    <r>
      <rPr>
        <vertAlign val="super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 xml:space="preserve">]) </t>
    </r>
  </si>
  <si>
    <r>
      <t>= cos(radians[90])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</si>
  <si>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#CellF59 not named# x #CellF62 not named# x #CellF65 not named# x #CellF74 not named# x #CellF49 not named# x #CellF77 not named# </t>
  </si>
  <si>
    <t xml:space="preserve">= 309.60 x 1.97 x 1.15 x 2.02 x 0.273 x 0.00 </t>
  </si>
  <si>
    <t xml:space="preserve">= 0.22 x 23 </t>
  </si>
  <si>
    <t xml:space="preserve">= #CellF6 not named# x ln(#CellF85 not named# / #CellF7 not named#) x #CellF3 not named# </t>
  </si>
  <si>
    <t xml:space="preserve">= 0.19 x ln(28 / 0.05) x 21 </t>
  </si>
  <si>
    <r>
      <t>= 1 / 2 x #CellF5 not named# x #CellF94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</si>
  <si>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1 / 2 x 1.225 x 25.25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</si>
  <si>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ln[#CellF85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</si>
  <si>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(1+2.28 / ln[28 / 0.05])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</si>
  <si>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#CellF106 not named# x #CellF112 not named# </t>
  </si>
  <si>
    <t xml:space="preserve">= 2.00 x 0.92 </t>
  </si>
  <si>
    <t xml:space="preserve">= #CellF97 not named# x #CellF100 not named# x #CellF103 not named# x #CellF114 not named# x #CellF86 not named# x #CellF117 not named# </t>
  </si>
  <si>
    <t xml:space="preserve">= 390.46 x 1.85 x 1.15 x 1.84 x 0.22 x 0.00 </t>
  </si>
  <si>
    <t xml:space="preserve">= 0.25 x 23 </t>
  </si>
  <si>
    <t xml:space="preserve">= 0.25 x 0.25 </t>
  </si>
  <si>
    <t xml:space="preserve">= #CellF6 not named# x ln(#CellF125 not named# / #CellF7 not named#) x #CellF3 not named# </t>
  </si>
  <si>
    <r>
      <t>= 1 / 2 x #CellF5 not named# x #CellF136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</si>
  <si>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ln[#CellF125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</si>
  <si>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min(70 , 2 x 23 / 0.25) </t>
  </si>
  <si>
    <t xml:space="preserve">= #CellF148 not named# x #CellF154 not named# x #CellF156 not named# </t>
  </si>
  <si>
    <t xml:space="preserve">= 2.00 x 0.92 x 0.88 </t>
  </si>
  <si>
    <t xml:space="preserve">= #CellF148 not named# x #CellF154 not named# </t>
  </si>
  <si>
    <r>
      <t>= cos(radians[0])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</si>
  <si>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#CellF139 not named# x #CellF142 not named# x #CellF145 not named# x #CellF158 not named# x #CellF126 not named# x #CellF164 not named# </t>
  </si>
  <si>
    <t xml:space="preserve">= 422.09 x 1.81 x 1.15 x 1.62 x 0.25 x 0.000 </t>
  </si>
  <si>
    <t xml:space="preserve">= #CellF139 not named# x #CellF142 not named# x #CellF145 not named# x #CellF161 not named# x #CellF127 not named# x #CellF126 not named# x #CellF166 not named# </t>
  </si>
  <si>
    <t xml:space="preserve">= 422.09 x 1.81 x 1.15 x 1.84 x 0.25 x 0.25 x 1.000 </t>
  </si>
  <si>
    <t xml:space="preserve">= 0.15 x 5 </t>
  </si>
  <si>
    <t xml:space="preserve">= 5 x 0.25 </t>
  </si>
  <si>
    <t xml:space="preserve">= #CellF6 not named# x ln(#CellF175 not named# / #CellF7 not named#) x #CellF3 not named# </t>
  </si>
  <si>
    <t xml:space="preserve">= 0.19 x ln(41 / 0.05) x 21 </t>
  </si>
  <si>
    <r>
      <t>= 1 / 2 x #CellF5 not named# x #CellF186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</si>
  <si>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1 / 2 x 1.225 x 26.77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</si>
  <si>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ln[#CellF175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</si>
  <si>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(1+2.28 / ln[41 / 0.05])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</si>
  <si>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#CellF198 not named# x #CellF204 not named# x #CellF206 not named# </t>
  </si>
  <si>
    <t xml:space="preserve">= 2.00 x 0.85 x 0.9 </t>
  </si>
  <si>
    <t xml:space="preserve">= #CellF189 not named# x #CellF192 not named# x #CellF195 not named# x #CellF208 not named# x #CellF177 not named# x #CellF214 not named# </t>
  </si>
  <si>
    <t xml:space="preserve">= 438.94 x 1.80 x 1.15 x 1.53 x 0.15 x 0.000 </t>
  </si>
  <si>
    <t xml:space="preserve">= #CellF189 not named# x #CellF192 not named# x #CellF195 not named# x #CellF211 not named# x #CellF176 not named# x #CellF216 not named# </t>
  </si>
  <si>
    <t xml:space="preserve">= 438.94 x 1.80 x 1.15 x 1.53 x 0.25 x 1.000 </t>
  </si>
  <si>
    <t xml:space="preserve">= 0.0201 x 40.59 </t>
  </si>
  <si>
    <t xml:space="preserve">= #CellF6 not named# x ln(#CellF231 not named# / #CellF7 not named#) x #CellF3 not named# </t>
  </si>
  <si>
    <r>
      <t>= 1 / 2 x #CellF5 not named# x #CellF237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</si>
  <si>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ln[#CellF231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</si>
  <si>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0.0201 x 26.25 / 0.000015 </t>
  </si>
  <si>
    <r>
      <t>= cos(radians[45])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</si>
  <si>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#CellF240 not named# x #CellF243 not named# x #CellF246 not named# x #CellF253 not named# x #CellF232 not named# x #CellF255 not named# </t>
  </si>
  <si>
    <t xml:space="preserve">= 422.09 x 1.81 x 1.15 x 1.20 x 0.0201 x 0.500 </t>
  </si>
  <si>
    <t xml:space="preserve">= cos(radians[45]) x #CellF259 not named# </t>
  </si>
  <si>
    <t xml:space="preserve">= #CellF240 not named# x #CellF243 not named# x #CellF246 not named# x #CellF253 not named# x #CellF232 not named# x #CellF257 not named# </t>
  </si>
  <si>
    <t xml:space="preserve">= cos(radians[45]) x #CellF264 not named# </t>
  </si>
  <si>
    <t xml:space="preserve">= #CellF6 not named# x ln(#CellF272 not named# / #CellF7 not named#) x #CellF3 not named# </t>
  </si>
  <si>
    <t xml:space="preserve">= 0.19 x ln(30 / 0.05) x 21 </t>
  </si>
  <si>
    <r>
      <t>= 1 / 2 x #CellF5 not named# x #CellF276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</si>
  <si>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1 / 2 x 1.225 x 25.52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</si>
  <si>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ln[#CellF272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</si>
  <si>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(1+2.28 / ln[30 / 0.05])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</si>
  <si>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1.3 - 0.082 x ln(#CellF285 not named#) </t>
  </si>
  <si>
    <t xml:space="preserve">= #CellF279 not named# x #CellF282 not named# x #CellF287 not named# x #CellF289 not named# x #CellF273 not named# / 1000 </t>
  </si>
  <si>
    <t xml:space="preserve">= 399.02 x 1.84 x 0.82 x 1.10 x 21.8 / 1000 </t>
  </si>
  <si>
    <t xml:space="preserve">= #CellF291 not named# x #CellF274 not named# </t>
  </si>
  <si>
    <r>
      <t>= cos(radians[4])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</si>
  <si>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#CellF294 not named# x #CellF297 not named# </t>
  </si>
  <si>
    <t xml:space="preserve">= cos(radians[4]) x #CellF299 not named# </t>
  </si>
  <si>
    <t xml:space="preserve">= sin(radians[4]) x #CellF299 not named# </t>
  </si>
  <si>
    <t xml:space="preserve">= #CellF294 not named# x #CellF304 not named# </t>
  </si>
  <si>
    <t xml:space="preserve">= cos(radians[4]) x #CellF306 not named# </t>
  </si>
  <si>
    <t xml:space="preserve">= sin(radians[4]) x #CellF306 not named# </t>
  </si>
  <si>
    <t xml:space="preserve">= #CellF313 not named# x #CellF314 not named# x #CellF315 not named# x #CellF316 not named# x #CellF317 not named# x #CellF318 not named# </t>
  </si>
  <si>
    <t xml:space="preserve">= cos(radians[0]) x #CellF319 not named# </t>
  </si>
  <si>
    <t xml:space="preserve">= sin(radians[0]) x #CellF319 not named# </t>
  </si>
  <si>
    <t xml:space="preserve">= #CellF6 not named# x ln(#CellF327 not named# / #CellF7 not named#) x #CellF3 not named# </t>
  </si>
  <si>
    <r>
      <t>= 1 / 2 x #CellF5 not named# x #CellF331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</si>
  <si>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ln[#CellF327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</si>
  <si>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1.3 - 0.082 x ln(#CellF340 not named#) </t>
  </si>
  <si>
    <t xml:space="preserve">= #CellF334 not named# x #CellF337 not named# x #CellF342 not named# x #CellF344 not named# x #CellF328 not named# / 1000 </t>
  </si>
  <si>
    <t xml:space="preserve">= 422.09 x 1.81 x 0.82 x 1.10 x 27.7 / 1000 </t>
  </si>
  <si>
    <t xml:space="preserve">= #CellF346 not named# x #CellF329 not named# </t>
  </si>
  <si>
    <t xml:space="preserve">= #CellF349 not named# x #CellF352 not named# </t>
  </si>
  <si>
    <t xml:space="preserve">= cos(radians[4]) x #CellF354 not named# </t>
  </si>
  <si>
    <t xml:space="preserve">= sin(radians[4]) x #CellF354 not named# </t>
  </si>
  <si>
    <t xml:space="preserve">= #CellF349 not named# x #CellF359 not named# </t>
  </si>
  <si>
    <t xml:space="preserve">= cos(radians[4]) x #CellF361 not named# </t>
  </si>
  <si>
    <t xml:space="preserve">= sin(radians[4]) x #CellF361 not named# </t>
  </si>
  <si>
    <t xml:space="preserve">= #CellF369 not named# x #CellF370 not named# x #CellF371 not named# x #CellF372 not named# x #CellF373 not named# x #CellF374 not named# </t>
  </si>
  <si>
    <t xml:space="preserve">= cos(radians[0]) x #CellF375 not named# </t>
  </si>
  <si>
    <t xml:space="preserve">= sin(radians[0]) x #CellF375 not named# </t>
  </si>
  <si>
    <t xml:space="preserve">= #CellF6 not named# x ln(#CellF383 not named# / #CellF7 not named#) x #CellF3 not named# </t>
  </si>
  <si>
    <r>
      <t>= 1 / 2 x #CellF5 not named# x #CellF387 not named#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</si>
  <si>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(1 + 2.28 / ln[#CellF383 not named# / #CellF7 not named#])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</si>
  <si>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1.3 - 0.082 x ln(#CellF396 not named#) </t>
  </si>
  <si>
    <t xml:space="preserve">= #CellF390 not named# x #CellF393 not named# x #CellF398 not named# x #CellF400 not named# x #CellF384 not named# / 1000 </t>
  </si>
  <si>
    <t xml:space="preserve">= 438.94 x 1.80 x 0.82 x 1.20 x 16 / 1000 </t>
  </si>
  <si>
    <t xml:space="preserve">= #CellF402 not named# x #CellF385 not named# </t>
  </si>
  <si>
    <t xml:space="preserve">= #CellF405 not named# x #CellF408 not named# </t>
  </si>
  <si>
    <t xml:space="preserve">= cos(radians[4]) x #CellF410 not named# </t>
  </si>
  <si>
    <t xml:space="preserve">= sin(radians[4]) x #CellF410 not named# </t>
  </si>
  <si>
    <t xml:space="preserve">= #CellF405 not named# x #CellF415 not named# </t>
  </si>
  <si>
    <t xml:space="preserve">= cos(radians[4]) x #CellF417 not named# </t>
  </si>
  <si>
    <t xml:space="preserve">= sin(radians[4]) x #CellF417 not named# </t>
  </si>
  <si>
    <t xml:space="preserve">= 309.60 x 1.97 x 1.15 x 2.02 x 0.273 x 0.5 </t>
  </si>
  <si>
    <t xml:space="preserve">= 390.46 x 1.85 x 1.15 x 1.84 x 0.22 x 0.500 </t>
  </si>
  <si>
    <t xml:space="preserve">= 422.09 x 1.81 x 1.15 x 1.62 x 0.25 x 0.500 </t>
  </si>
  <si>
    <t xml:space="preserve">= 422.09 x 1.81 x 1.15 x 1.84 x 0.25 x 0.25 x 0.500 </t>
  </si>
  <si>
    <t xml:space="preserve">= 438.94 x 1.80 x 1.15 x 1.53 x 0.15 x 0.500 </t>
  </si>
  <si>
    <t xml:space="preserve">= 438.94 x 1.80 x 1.15 x 1.53 x 0.25 x 0.500 </t>
  </si>
  <si>
    <t xml:space="preserve">= 422.09 x 1.81 x 1.15 x 1.20 x 0.0201 x 1.000 </t>
  </si>
  <si>
    <t xml:space="preserve">= 422.09 x 1.81 x 1.15 x 1.20 x 0.0201 x 0.000 </t>
  </si>
  <si>
    <r>
      <t>= cos(radians[41])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</si>
  <si>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= cos(radians[49])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</si>
  <si>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cos(radians[45]) x #CellF319 not named# </t>
  </si>
  <si>
    <t xml:space="preserve">= sin(radians[45]) x #CellF319 not named# </t>
  </si>
  <si>
    <t xml:space="preserve">= cos(radians[45]) x #CellF375 not named# </t>
  </si>
  <si>
    <t xml:space="preserve">= sin(radians[45]) x #CellF375 not named#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</si>
</sst>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#,##0.0"/>
    <numFmt numFmtId="167" formatCode="#,##0.000"/>
    <numFmt numFmtId="168" formatCode="#,##0.0000"/>
    <numFmt numFmtId="169" formatCode="0.0E+00"/>
  </numFmts>
  <fonts count="34" x14ac:knownFonts="1">
    <font>
      <sz val="9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  <charset val="186"/>
      <scheme val="major"/>
    </font>
    <font>
      <sz val="14"/>
      <color theme="1"/>
      <name val="Cambria"/>
      <family val="1"/>
      <charset val="186"/>
      <scheme val="major"/>
    </font>
    <font>
      <b/>
      <sz val="14"/>
      <color theme="1"/>
      <name val="Cambria"/>
      <family val="1"/>
      <charset val="186"/>
      <scheme val="maj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6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sz val="12"/>
      <color theme="1"/>
      <name val="Cambria"/>
      <family val="1"/>
      <charset val="186"/>
      <scheme val="maj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theme="1"/>
      <name val="Symbol"/>
      <family val="1"/>
      <charset val="2"/>
    </font>
    <font>
      <b/>
      <sz val="9"/>
      <color theme="1"/>
      <name val="Verdana"/>
      <family val="2"/>
      <charset val="186"/>
    </font>
    <font>
      <b/>
      <sz val="12"/>
      <color rgb="FF000066"/>
      <name val="Verdana"/>
      <family val="2"/>
      <charset val="186"/>
    </font>
    <font>
      <b/>
      <sz val="10"/>
      <color rgb="FF000066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CCCC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FC2516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2" fillId="0" borderId="0"/>
    <xf numFmtId="0" fontId="10" fillId="0" borderId="0"/>
  </cellStyleXfs>
  <cellXfs count="221">
    <xf numFmtId="0" fontId="0" fillId="0" borderId="0" xfId="0"/>
    <xf numFmtId="0" fontId="12" fillId="0" borderId="0" xfId="1"/>
    <xf numFmtId="0" fontId="12" fillId="0" borderId="1" xfId="1" applyBorder="1" applyAlignment="1">
      <alignment horizontal="center" vertical="center"/>
    </xf>
    <xf numFmtId="1" fontId="12" fillId="0" borderId="1" xfId="1" applyNumberFormat="1" applyBorder="1" applyAlignment="1">
      <alignment horizontal="center" vertical="center"/>
    </xf>
    <xf numFmtId="164" fontId="12" fillId="0" borderId="1" xfId="1" applyNumberFormat="1" applyBorder="1" applyAlignment="1">
      <alignment horizontal="center" vertical="center"/>
    </xf>
    <xf numFmtId="2" fontId="12" fillId="0" borderId="1" xfId="1" applyNumberFormat="1" applyBorder="1" applyAlignment="1">
      <alignment horizontal="center" vertical="center"/>
    </xf>
    <xf numFmtId="1" fontId="12" fillId="0" borderId="1" xfId="1" applyNumberFormat="1" applyBorder="1" applyAlignment="1">
      <alignment horizontal="center"/>
    </xf>
    <xf numFmtId="164" fontId="12" fillId="0" borderId="1" xfId="1" applyNumberFormat="1" applyBorder="1" applyAlignment="1">
      <alignment horizontal="center"/>
    </xf>
    <xf numFmtId="0" fontId="12" fillId="0" borderId="1" xfId="1" applyBorder="1"/>
    <xf numFmtId="1" fontId="12" fillId="0" borderId="0" xfId="1" applyNumberFormat="1"/>
    <xf numFmtId="164" fontId="12" fillId="0" borderId="0" xfId="1" applyNumberFormat="1"/>
    <xf numFmtId="0" fontId="11" fillId="0" borderId="1" xfId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10" fillId="0" borderId="0" xfId="2"/>
    <xf numFmtId="0" fontId="10" fillId="0" borderId="0" xfId="2" applyAlignment="1">
      <alignment horizontal="right"/>
    </xf>
    <xf numFmtId="0" fontId="14" fillId="0" borderId="0" xfId="2" applyFont="1"/>
    <xf numFmtId="0" fontId="10" fillId="0" borderId="0" xfId="2" applyFill="1"/>
    <xf numFmtId="0" fontId="9" fillId="0" borderId="0" xfId="2" applyFont="1" applyAlignment="1">
      <alignment horizontal="right"/>
    </xf>
    <xf numFmtId="0" fontId="13" fillId="0" borderId="0" xfId="2" applyFont="1" applyFill="1"/>
    <xf numFmtId="0" fontId="10" fillId="0" borderId="0" xfId="2" quotePrefix="1"/>
    <xf numFmtId="0" fontId="10" fillId="0" borderId="0" xfId="2" applyAlignment="1"/>
    <xf numFmtId="0" fontId="9" fillId="0" borderId="0" xfId="2" applyFont="1"/>
    <xf numFmtId="0" fontId="10" fillId="2" borderId="0" xfId="2" applyFill="1"/>
    <xf numFmtId="0" fontId="8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8" fillId="0" borderId="0" xfId="2" applyFont="1" applyAlignment="1">
      <alignment horizontal="right"/>
    </xf>
    <xf numFmtId="0" fontId="8" fillId="0" borderId="0" xfId="2" applyFont="1"/>
    <xf numFmtId="0" fontId="8" fillId="0" borderId="0" xfId="2" applyNumberFormat="1" applyFont="1" applyAlignment="1">
      <alignment horizontal="left"/>
    </xf>
    <xf numFmtId="0" fontId="10" fillId="0" borderId="0" xfId="2" quotePrefix="1" applyAlignment="1"/>
    <xf numFmtId="0" fontId="8" fillId="0" borderId="0" xfId="2" applyFont="1" applyAlignment="1"/>
    <xf numFmtId="4" fontId="10" fillId="0" borderId="0" xfId="2" applyNumberFormat="1" applyAlignment="1"/>
    <xf numFmtId="0" fontId="0" fillId="0" borderId="0" xfId="0" applyAlignment="1"/>
    <xf numFmtId="11" fontId="10" fillId="0" borderId="0" xfId="2" applyNumberFormat="1" applyAlignment="1"/>
    <xf numFmtId="4" fontId="10" fillId="0" borderId="0" xfId="2" applyNumberFormat="1" applyFill="1"/>
    <xf numFmtId="4" fontId="13" fillId="0" borderId="0" xfId="2" applyNumberFormat="1" applyFont="1"/>
    <xf numFmtId="11" fontId="10" fillId="2" borderId="0" xfId="2" applyNumberFormat="1" applyFill="1"/>
    <xf numFmtId="0" fontId="7" fillId="0" borderId="0" xfId="2" applyFont="1" applyAlignment="1">
      <alignment horizontal="left"/>
    </xf>
    <xf numFmtId="0" fontId="7" fillId="0" borderId="0" xfId="2" applyNumberFormat="1" applyFont="1" applyAlignment="1">
      <alignment horizontal="right"/>
    </xf>
    <xf numFmtId="3" fontId="10" fillId="0" borderId="0" xfId="2" applyNumberFormat="1" applyAlignment="1"/>
    <xf numFmtId="4" fontId="7" fillId="0" borderId="0" xfId="2" applyNumberFormat="1" applyFont="1" applyAlignment="1">
      <alignment horizontal="right"/>
    </xf>
    <xf numFmtId="165" fontId="10" fillId="0" borderId="0" xfId="2" applyNumberFormat="1" applyAlignment="1"/>
    <xf numFmtId="0" fontId="6" fillId="0" borderId="0" xfId="2" applyFont="1"/>
    <xf numFmtId="0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/>
    </xf>
    <xf numFmtId="0" fontId="10" fillId="0" borderId="0" xfId="2" applyAlignment="1">
      <alignment horizontal="center"/>
    </xf>
    <xf numFmtId="0" fontId="9" fillId="0" borderId="0" xfId="2" applyFont="1" applyAlignment="1">
      <alignment horizontal="center"/>
    </xf>
    <xf numFmtId="0" fontId="13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" fontId="10" fillId="0" borderId="0" xfId="2" applyNumberFormat="1"/>
    <xf numFmtId="0" fontId="20" fillId="0" borderId="0" xfId="2" applyFont="1"/>
    <xf numFmtId="0" fontId="21" fillId="0" borderId="0" xfId="2" applyFont="1"/>
    <xf numFmtId="0" fontId="0" fillId="0" borderId="0" xfId="0" applyFont="1" applyAlignment="1">
      <alignment horizontal="right"/>
    </xf>
    <xf numFmtId="4" fontId="0" fillId="0" borderId="0" xfId="0" applyNumberFormat="1"/>
    <xf numFmtId="166" fontId="10" fillId="0" borderId="0" xfId="2" applyNumberFormat="1" applyAlignment="1"/>
    <xf numFmtId="164" fontId="10" fillId="0" borderId="0" xfId="2" applyNumberFormat="1" applyAlignment="1"/>
    <xf numFmtId="0" fontId="4" fillId="0" borderId="0" xfId="2" applyFont="1" applyAlignment="1">
      <alignment horizontal="right"/>
    </xf>
    <xf numFmtId="167" fontId="10" fillId="0" borderId="0" xfId="2" applyNumberFormat="1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left"/>
    </xf>
    <xf numFmtId="3" fontId="0" fillId="0" borderId="0" xfId="0" applyNumberFormat="1"/>
    <xf numFmtId="168" fontId="10" fillId="0" borderId="0" xfId="2" applyNumberFormat="1"/>
    <xf numFmtId="4" fontId="6" fillId="0" borderId="0" xfId="2" applyNumberFormat="1" applyFont="1"/>
    <xf numFmtId="0" fontId="5" fillId="0" borderId="0" xfId="2" quotePrefix="1" applyFont="1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center"/>
    </xf>
    <xf numFmtId="3" fontId="13" fillId="0" borderId="0" xfId="2" applyNumberFormat="1" applyFont="1"/>
    <xf numFmtId="3" fontId="10" fillId="0" borderId="0" xfId="2" applyNumberForma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/>
    <xf numFmtId="168" fontId="2" fillId="0" borderId="0" xfId="2" applyNumberFormat="1" applyFont="1"/>
    <xf numFmtId="167" fontId="2" fillId="0" borderId="0" xfId="2" applyNumberFormat="1" applyFont="1"/>
    <xf numFmtId="4" fontId="10" fillId="3" borderId="0" xfId="2" applyNumberFormat="1" applyFill="1"/>
    <xf numFmtId="168" fontId="10" fillId="3" borderId="0" xfId="2" applyNumberFormat="1" applyFill="1"/>
    <xf numFmtId="3" fontId="10" fillId="3" borderId="0" xfId="2" applyNumberFormat="1" applyFill="1"/>
    <xf numFmtId="0" fontId="20" fillId="0" borderId="0" xfId="0" applyFont="1"/>
    <xf numFmtId="0" fontId="24" fillId="0" borderId="0" xfId="0" applyFont="1"/>
    <xf numFmtId="0" fontId="24" fillId="0" borderId="0" xfId="2" applyFont="1"/>
    <xf numFmtId="0" fontId="10" fillId="3" borderId="0" xfId="2" applyFill="1"/>
    <xf numFmtId="165" fontId="10" fillId="3" borderId="0" xfId="2" applyNumberFormat="1" applyFill="1" applyAlignment="1"/>
    <xf numFmtId="0" fontId="10" fillId="3" borderId="0" xfId="2" applyFill="1" applyAlignment="1"/>
    <xf numFmtId="4" fontId="10" fillId="3" borderId="0" xfId="2" applyNumberFormat="1" applyFill="1" applyAlignment="1"/>
    <xf numFmtId="167" fontId="10" fillId="3" borderId="0" xfId="2" applyNumberFormat="1" applyFill="1"/>
    <xf numFmtId="167" fontId="10" fillId="3" borderId="0" xfId="2" applyNumberFormat="1" applyFill="1" applyAlignment="1"/>
    <xf numFmtId="4" fontId="7" fillId="3" borderId="0" xfId="2" applyNumberFormat="1" applyFont="1" applyFill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4" fontId="4" fillId="0" borderId="5" xfId="0" applyNumberFormat="1" applyFont="1" applyBorder="1"/>
    <xf numFmtId="0" fontId="4" fillId="0" borderId="6" xfId="0" applyFont="1" applyBorder="1"/>
    <xf numFmtId="0" fontId="13" fillId="0" borderId="7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8" xfId="0" applyFont="1" applyBorder="1"/>
    <xf numFmtId="0" fontId="13" fillId="0" borderId="9" xfId="0" applyFont="1" applyBorder="1"/>
    <xf numFmtId="0" fontId="4" fillId="0" borderId="10" xfId="0" applyFont="1" applyBorder="1"/>
    <xf numFmtId="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0" fontId="4" fillId="0" borderId="7" xfId="0" applyFont="1" applyBorder="1"/>
    <xf numFmtId="4" fontId="4" fillId="0" borderId="4" xfId="0" applyNumberFormat="1" applyFont="1" applyBorder="1"/>
    <xf numFmtId="4" fontId="4" fillId="0" borderId="7" xfId="0" applyNumberFormat="1" applyFont="1" applyBorder="1"/>
    <xf numFmtId="4" fontId="4" fillId="0" borderId="9" xfId="0" applyNumberFormat="1" applyFont="1" applyBorder="1"/>
    <xf numFmtId="0" fontId="4" fillId="0" borderId="4" xfId="0" applyFont="1" applyBorder="1"/>
    <xf numFmtId="0" fontId="4" fillId="0" borderId="9" xfId="0" applyFont="1" applyBorder="1"/>
    <xf numFmtId="0" fontId="13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4" fontId="4" fillId="0" borderId="16" xfId="0" applyNumberFormat="1" applyFont="1" applyBorder="1"/>
    <xf numFmtId="4" fontId="4" fillId="0" borderId="17" xfId="0" applyNumberFormat="1" applyFont="1" applyBorder="1"/>
    <xf numFmtId="11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4" fillId="0" borderId="6" xfId="0" applyNumberFormat="1" applyFont="1" applyFill="1" applyBorder="1"/>
    <xf numFmtId="4" fontId="4" fillId="0" borderId="8" xfId="0" applyNumberFormat="1" applyFont="1" applyFill="1" applyBorder="1"/>
    <xf numFmtId="4" fontId="4" fillId="0" borderId="11" xfId="0" applyNumberFormat="1" applyFont="1" applyFill="1" applyBorder="1"/>
    <xf numFmtId="0" fontId="4" fillId="0" borderId="6" xfId="0" applyFont="1" applyFill="1" applyBorder="1"/>
    <xf numFmtId="4" fontId="4" fillId="0" borderId="18" xfId="0" applyNumberFormat="1" applyFont="1" applyFill="1" applyBorder="1"/>
    <xf numFmtId="4" fontId="4" fillId="0" borderId="5" xfId="0" applyNumberFormat="1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4" fillId="0" borderId="5" xfId="0" applyFont="1" applyFill="1" applyBorder="1"/>
    <xf numFmtId="4" fontId="1" fillId="0" borderId="8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1" xfId="0" applyFont="1" applyBorder="1"/>
    <xf numFmtId="4" fontId="1" fillId="0" borderId="18" xfId="0" applyNumberFormat="1" applyFont="1" applyBorder="1"/>
    <xf numFmtId="4" fontId="1" fillId="0" borderId="4" xfId="0" applyNumberFormat="1" applyFont="1" applyFill="1" applyBorder="1"/>
    <xf numFmtId="4" fontId="1" fillId="0" borderId="6" xfId="0" applyNumberFormat="1" applyFont="1" applyFill="1" applyBorder="1"/>
    <xf numFmtId="4" fontId="1" fillId="0" borderId="7" xfId="0" applyNumberFormat="1" applyFont="1" applyFill="1" applyBorder="1"/>
    <xf numFmtId="4" fontId="4" fillId="0" borderId="0" xfId="0" applyNumberFormat="1" applyFon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4" fontId="4" fillId="0" borderId="10" xfId="0" applyNumberFormat="1" applyFont="1" applyFill="1" applyBorder="1"/>
    <xf numFmtId="4" fontId="1" fillId="0" borderId="11" xfId="0" applyNumberFormat="1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4" fillId="0" borderId="8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4" fillId="0" borderId="11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4" fontId="1" fillId="0" borderId="17" xfId="0" applyNumberFormat="1" applyFont="1" applyBorder="1"/>
    <xf numFmtId="4" fontId="1" fillId="0" borderId="16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4" borderId="19" xfId="0" applyFont="1" applyFill="1" applyBorder="1" applyAlignment="1">
      <alignment horizontal="left" wrapText="1"/>
    </xf>
    <xf numFmtId="4" fontId="28" fillId="5" borderId="20" xfId="0" applyNumberFormat="1" applyFont="1" applyFill="1" applyBorder="1" applyAlignment="1">
      <alignment vertical="top" wrapText="1"/>
    </xf>
    <xf numFmtId="4" fontId="28" fillId="4" borderId="20" xfId="0" applyNumberFormat="1" applyFont="1" applyFill="1" applyBorder="1" applyAlignment="1">
      <alignment vertical="top" wrapText="1"/>
    </xf>
    <xf numFmtId="166" fontId="28" fillId="5" borderId="20" xfId="0" applyNumberFormat="1" applyFont="1" applyFill="1" applyBorder="1" applyAlignment="1">
      <alignment vertical="top" wrapText="1"/>
    </xf>
    <xf numFmtId="166" fontId="28" fillId="4" borderId="20" xfId="0" applyNumberFormat="1" applyFont="1" applyFill="1" applyBorder="1" applyAlignment="1">
      <alignment vertical="top" wrapText="1"/>
    </xf>
    <xf numFmtId="3" fontId="28" fillId="5" borderId="20" xfId="0" applyNumberFormat="1" applyFont="1" applyFill="1" applyBorder="1" applyAlignment="1">
      <alignment vertical="top" wrapText="1"/>
    </xf>
    <xf numFmtId="3" fontId="28" fillId="5" borderId="21" xfId="0" applyNumberFormat="1" applyFont="1" applyFill="1" applyBorder="1" applyAlignment="1">
      <alignment vertical="top" wrapText="1"/>
    </xf>
    <xf numFmtId="3" fontId="28" fillId="4" borderId="20" xfId="0" applyNumberFormat="1" applyFont="1" applyFill="1" applyBorder="1" applyAlignment="1">
      <alignment vertical="top" wrapText="1"/>
    </xf>
    <xf numFmtId="3" fontId="28" fillId="4" borderId="21" xfId="0" applyNumberFormat="1" applyFont="1" applyFill="1" applyBorder="1" applyAlignment="1">
      <alignment vertical="top" wrapText="1"/>
    </xf>
    <xf numFmtId="0" fontId="0" fillId="0" borderId="0" xfId="0" quotePrefix="1"/>
    <xf numFmtId="0" fontId="0" fillId="0" borderId="0" xfId="0" quotePrefix="1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3" borderId="0" xfId="0" applyFill="1"/>
    <xf numFmtId="0" fontId="29" fillId="0" borderId="0" xfId="0" applyFont="1"/>
    <xf numFmtId="4" fontId="0" fillId="3" borderId="0" xfId="0" applyNumberFormat="1" applyFill="1"/>
    <xf numFmtId="3" fontId="0" fillId="3" borderId="0" xfId="0" applyNumberFormat="1" applyFill="1"/>
    <xf numFmtId="4" fontId="0" fillId="0" borderId="0" xfId="0" quotePrefix="1" applyNumberFormat="1"/>
    <xf numFmtId="4" fontId="30" fillId="0" borderId="0" xfId="0" applyNumberFormat="1" applyFont="1"/>
    <xf numFmtId="0" fontId="0" fillId="0" borderId="0" xfId="0" applyAlignment="1">
      <alignment horizontal="center" vertical="center"/>
    </xf>
    <xf numFmtId="0" fontId="28" fillId="4" borderId="20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16" fontId="33" fillId="4" borderId="22" xfId="0" applyNumberFormat="1" applyFont="1" applyFill="1" applyBorder="1" applyAlignment="1">
      <alignment horizontal="center"/>
    </xf>
    <xf numFmtId="17" fontId="33" fillId="4" borderId="22" xfId="0" applyNumberFormat="1" applyFont="1" applyFill="1" applyBorder="1" applyAlignment="1">
      <alignment horizontal="center"/>
    </xf>
    <xf numFmtId="4" fontId="0" fillId="3" borderId="0" xfId="0" quotePrefix="1" applyNumberFormat="1" applyFill="1"/>
    <xf numFmtId="169" fontId="0" fillId="3" borderId="0" xfId="0" applyNumberFormat="1" applyFill="1"/>
    <xf numFmtId="169" fontId="0" fillId="0" borderId="0" xfId="0" quotePrefix="1" applyNumberFormat="1"/>
    <xf numFmtId="0" fontId="20" fillId="0" borderId="0" xfId="2" applyFont="1"/>
    <xf numFmtId="0" fontId="19" fillId="0" borderId="0" xfId="2" applyFont="1" applyAlignment="1">
      <alignment horizontal="left" vertical="top" wrapText="1"/>
    </xf>
    <xf numFmtId="0" fontId="12" fillId="0" borderId="0" xfId="1"/>
    <xf numFmtId="164" fontId="12" fillId="0" borderId="2" xfId="1" applyNumberFormat="1" applyBorder="1" applyAlignment="1">
      <alignment horizontal="center"/>
    </xf>
    <xf numFmtId="164" fontId="12" fillId="0" borderId="3" xfId="1" applyNumberFormat="1" applyBorder="1" applyAlignment="1">
      <alignment horizontal="center"/>
    </xf>
    <xf numFmtId="0" fontId="15" fillId="0" borderId="0" xfId="1" applyFont="1" applyAlignment="1">
      <alignment horizontal="left" wrapText="1"/>
    </xf>
    <xf numFmtId="164" fontId="15" fillId="0" borderId="2" xfId="1" applyNumberFormat="1" applyFont="1" applyBorder="1" applyAlignment="1">
      <alignment horizontal="left"/>
    </xf>
    <xf numFmtId="164" fontId="15" fillId="0" borderId="3" xfId="1" applyNumberFormat="1" applyFont="1" applyBorder="1" applyAlignment="1">
      <alignment horizontal="left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2" fillId="6" borderId="30" xfId="0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0" fontId="32" fillId="6" borderId="27" xfId="0" applyFont="1" applyFill="1" applyBorder="1" applyAlignment="1">
      <alignment horizontal="center"/>
    </xf>
    <xf numFmtId="0" fontId="32" fillId="6" borderId="28" xfId="0" applyFont="1" applyFill="1" applyBorder="1" applyAlignment="1">
      <alignment horizontal="center"/>
    </xf>
    <xf numFmtId="0" fontId="32" fillId="6" borderId="29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 vertical="center"/>
    </xf>
    <xf numFmtId="0" fontId="32" fillId="6" borderId="26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 vertical="center"/>
    </xf>
    <xf numFmtId="0" fontId="32" fillId="6" borderId="28" xfId="0" applyFont="1" applyFill="1" applyBorder="1" applyAlignment="1">
      <alignment horizontal="center" vertical="center"/>
    </xf>
    <xf numFmtId="0" fontId="32" fillId="6" borderId="2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8.png"/><Relationship Id="rId7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8.png"/><Relationship Id="rId7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8.png"/><Relationship Id="rId7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212224</xdr:colOff>
      <xdr:row>1</xdr:row>
      <xdr:rowOff>343822</xdr:rowOff>
    </xdr:from>
    <xdr:to>
      <xdr:col>23</xdr:col>
      <xdr:colOff>474625</xdr:colOff>
      <xdr:row>15</xdr:row>
      <xdr:rowOff>172307</xdr:rowOff>
    </xdr:to>
    <xdr:pic>
      <xdr:nvPicPr>
        <xdr:cNvPr id="9" name="Picture 8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4899" y="572422"/>
          <a:ext cx="2957976" cy="3314635"/>
        </a:xfrm>
        <a:prstGeom prst="rect">
          <a:avLst/>
        </a:prstGeom>
      </xdr:spPr>
    </xdr:pic>
    <xdr:clientData/>
  </xdr:twoCellAnchor>
  <xdr:twoCellAnchor editAs="oneCell">
    <xdr:from>
      <xdr:col>16</xdr:col>
      <xdr:colOff>133971</xdr:colOff>
      <xdr:row>16</xdr:row>
      <xdr:rowOff>96241</xdr:rowOff>
    </xdr:from>
    <xdr:to>
      <xdr:col>23</xdr:col>
      <xdr:colOff>587653</xdr:colOff>
      <xdr:row>42</xdr:row>
      <xdr:rowOff>143994</xdr:rowOff>
    </xdr:to>
    <xdr:pic>
      <xdr:nvPicPr>
        <xdr:cNvPr id="5" name="Picture 4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7837"/>
        <a:stretch>
          <a:fillRect/>
        </a:stretch>
      </xdr:blipFill>
      <xdr:spPr>
        <a:xfrm>
          <a:off x="5820396" y="4039591"/>
          <a:ext cx="3625507" cy="6029453"/>
        </a:xfrm>
        <a:prstGeom prst="rect">
          <a:avLst/>
        </a:prstGeom>
      </xdr:spPr>
    </xdr:pic>
    <xdr:clientData/>
  </xdr:twoCellAnchor>
  <xdr:twoCellAnchor editAs="oneCell">
    <xdr:from>
      <xdr:col>15</xdr:col>
      <xdr:colOff>5604</xdr:colOff>
      <xdr:row>43</xdr:row>
      <xdr:rowOff>178232</xdr:rowOff>
    </xdr:from>
    <xdr:to>
      <xdr:col>22</xdr:col>
      <xdr:colOff>1305</xdr:colOff>
      <xdr:row>58</xdr:row>
      <xdr:rowOff>117959</xdr:rowOff>
    </xdr:to>
    <xdr:pic>
      <xdr:nvPicPr>
        <xdr:cNvPr id="18" name="Picture 17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5779" y="10350932"/>
          <a:ext cx="2957976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53</xdr:row>
      <xdr:rowOff>84424</xdr:rowOff>
    </xdr:from>
    <xdr:to>
      <xdr:col>6</xdr:col>
      <xdr:colOff>454270</xdr:colOff>
      <xdr:row>55</xdr:row>
      <xdr:rowOff>46613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8717" y="12698837"/>
          <a:ext cx="1380966" cy="42601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471854</xdr:colOff>
      <xdr:row>42</xdr:row>
      <xdr:rowOff>224205</xdr:rowOff>
    </xdr:from>
    <xdr:to>
      <xdr:col>25</xdr:col>
      <xdr:colOff>149328</xdr:colOff>
      <xdr:row>59</xdr:row>
      <xdr:rowOff>48391</xdr:rowOff>
    </xdr:to>
    <xdr:pic>
      <xdr:nvPicPr>
        <xdr:cNvPr id="22" name="Picture 21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7837"/>
        <a:stretch>
          <a:fillRect/>
        </a:stretch>
      </xdr:blipFill>
      <xdr:spPr>
        <a:xfrm>
          <a:off x="8168054" y="10149255"/>
          <a:ext cx="2211124" cy="3691336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91</xdr:row>
      <xdr:rowOff>59576</xdr:rowOff>
    </xdr:from>
    <xdr:to>
      <xdr:col>6</xdr:col>
      <xdr:colOff>462553</xdr:colOff>
      <xdr:row>93</xdr:row>
      <xdr:rowOff>21765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7000" y="21528098"/>
          <a:ext cx="1380966" cy="42601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219809</xdr:colOff>
      <xdr:row>70</xdr:row>
      <xdr:rowOff>131884</xdr:rowOff>
    </xdr:from>
    <xdr:to>
      <xdr:col>25</xdr:col>
      <xdr:colOff>168520</xdr:colOff>
      <xdr:row>85</xdr:row>
      <xdr:rowOff>83285</xdr:rowOff>
    </xdr:to>
    <xdr:pic>
      <xdr:nvPicPr>
        <xdr:cNvPr id="25" name="Picture 24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9405" y="14177596"/>
          <a:ext cx="3069980" cy="3425828"/>
        </a:xfrm>
        <a:prstGeom prst="rect">
          <a:avLst/>
        </a:prstGeom>
      </xdr:spPr>
    </xdr:pic>
    <xdr:clientData/>
  </xdr:twoCellAnchor>
  <xdr:twoCellAnchor editAs="oneCell">
    <xdr:from>
      <xdr:col>15</xdr:col>
      <xdr:colOff>453062</xdr:colOff>
      <xdr:row>81</xdr:row>
      <xdr:rowOff>36634</xdr:rowOff>
    </xdr:from>
    <xdr:to>
      <xdr:col>21</xdr:col>
      <xdr:colOff>186221</xdr:colOff>
      <xdr:row>97</xdr:row>
      <xdr:rowOff>127520</xdr:rowOff>
    </xdr:to>
    <xdr:pic>
      <xdr:nvPicPr>
        <xdr:cNvPr id="26" name="Picture 25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7837"/>
        <a:stretch>
          <a:fillRect/>
        </a:stretch>
      </xdr:blipFill>
      <xdr:spPr>
        <a:xfrm>
          <a:off x="5867658" y="16346365"/>
          <a:ext cx="2216986" cy="3678148"/>
        </a:xfrm>
        <a:prstGeom prst="rect">
          <a:avLst/>
        </a:prstGeom>
      </xdr:spPr>
    </xdr:pic>
    <xdr:clientData/>
  </xdr:twoCellAnchor>
  <xdr:twoCellAnchor>
    <xdr:from>
      <xdr:col>11</xdr:col>
      <xdr:colOff>363499</xdr:colOff>
      <xdr:row>82</xdr:row>
      <xdr:rowOff>80595</xdr:rowOff>
    </xdr:from>
    <xdr:to>
      <xdr:col>15</xdr:col>
      <xdr:colOff>43962</xdr:colOff>
      <xdr:row>88</xdr:row>
      <xdr:rowOff>131884</xdr:rowOff>
    </xdr:to>
    <xdr:grpSp>
      <xdr:nvGrpSpPr>
        <xdr:cNvPr id="20" name="Group 19"/>
        <xdr:cNvGrpSpPr/>
      </xdr:nvGrpSpPr>
      <xdr:grpSpPr>
        <a:xfrm>
          <a:off x="3668674" y="18806745"/>
          <a:ext cx="1585463" cy="1422889"/>
          <a:chOff x="6384074" y="21936808"/>
          <a:chExt cx="3003911" cy="1414096"/>
        </a:xfrm>
      </xdr:grpSpPr>
      <xdr:sp macro="" textlink="">
        <xdr:nvSpPr>
          <xdr:cNvPr id="13" name="Freeform 12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14" name="Freeform 13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6" name="Straight Arrow Connector 15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352008</xdr:colOff>
      <xdr:row>106</xdr:row>
      <xdr:rowOff>58616</xdr:rowOff>
    </xdr:from>
    <xdr:to>
      <xdr:col>16</xdr:col>
      <xdr:colOff>17254</xdr:colOff>
      <xdr:row>112</xdr:row>
      <xdr:rowOff>9535</xdr:rowOff>
    </xdr:to>
    <xdr:pic>
      <xdr:nvPicPr>
        <xdr:cNvPr id="21" name="Picture 20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61604" y="22838020"/>
          <a:ext cx="2046496" cy="1337172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133</xdr:row>
      <xdr:rowOff>76141</xdr:rowOff>
    </xdr:from>
    <xdr:to>
      <xdr:col>6</xdr:col>
      <xdr:colOff>462553</xdr:colOff>
      <xdr:row>135</xdr:row>
      <xdr:rowOff>38330</xdr:rowOff>
    </xdr:to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7000" y="31359554"/>
          <a:ext cx="1380966" cy="42601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453062</xdr:colOff>
      <xdr:row>121</xdr:row>
      <xdr:rowOff>36634</xdr:rowOff>
    </xdr:from>
    <xdr:to>
      <xdr:col>21</xdr:col>
      <xdr:colOff>474169</xdr:colOff>
      <xdr:row>137</xdr:row>
      <xdr:rowOff>92351</xdr:rowOff>
    </xdr:to>
    <xdr:pic>
      <xdr:nvPicPr>
        <xdr:cNvPr id="27" name="Picture 26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7837"/>
        <a:stretch>
          <a:fillRect/>
        </a:stretch>
      </xdr:blipFill>
      <xdr:spPr>
        <a:xfrm>
          <a:off x="5867658" y="16346365"/>
          <a:ext cx="2216986" cy="3678148"/>
        </a:xfrm>
        <a:prstGeom prst="rect">
          <a:avLst/>
        </a:prstGeom>
      </xdr:spPr>
    </xdr:pic>
    <xdr:clientData/>
  </xdr:twoCellAnchor>
  <xdr:twoCellAnchor>
    <xdr:from>
      <xdr:col>11</xdr:col>
      <xdr:colOff>413659</xdr:colOff>
      <xdr:row>122</xdr:row>
      <xdr:rowOff>148636</xdr:rowOff>
    </xdr:from>
    <xdr:to>
      <xdr:col>16</xdr:col>
      <xdr:colOff>102579</xdr:colOff>
      <xdr:row>129</xdr:row>
      <xdr:rowOff>87922</xdr:rowOff>
    </xdr:to>
    <xdr:grpSp>
      <xdr:nvGrpSpPr>
        <xdr:cNvPr id="28" name="Group 27"/>
        <xdr:cNvGrpSpPr/>
      </xdr:nvGrpSpPr>
      <xdr:grpSpPr>
        <a:xfrm>
          <a:off x="3718834" y="27923536"/>
          <a:ext cx="2070170" cy="1539486"/>
          <a:chOff x="6440277" y="21936818"/>
          <a:chExt cx="2072249" cy="1414096"/>
        </a:xfrm>
      </xdr:grpSpPr>
      <xdr:sp macro="" textlink="">
        <xdr:nvSpPr>
          <xdr:cNvPr id="29" name="Freeform 28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31" name="Straight Arrow Connector 30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2" name="TextBox 31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359335</xdr:colOff>
      <xdr:row>146</xdr:row>
      <xdr:rowOff>1</xdr:rowOff>
    </xdr:from>
    <xdr:to>
      <xdr:col>16</xdr:col>
      <xdr:colOff>17254</xdr:colOff>
      <xdr:row>152</xdr:row>
      <xdr:rowOff>125300</xdr:rowOff>
    </xdr:to>
    <xdr:pic>
      <xdr:nvPicPr>
        <xdr:cNvPr id="33" name="Picture 32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68931" y="29490866"/>
          <a:ext cx="2039169" cy="1513019"/>
        </a:xfrm>
        <a:prstGeom prst="rect">
          <a:avLst/>
        </a:prstGeom>
      </xdr:spPr>
    </xdr:pic>
    <xdr:clientData/>
  </xdr:twoCellAnchor>
  <xdr:twoCellAnchor editAs="oneCell">
    <xdr:from>
      <xdr:col>11</xdr:col>
      <xdr:colOff>315056</xdr:colOff>
      <xdr:row>153</xdr:row>
      <xdr:rowOff>180069</xdr:rowOff>
    </xdr:from>
    <xdr:to>
      <xdr:col>17</xdr:col>
      <xdr:colOff>476249</xdr:colOff>
      <xdr:row>160</xdr:row>
      <xdr:rowOff>190309</xdr:rowOff>
    </xdr:to>
    <xdr:pic>
      <xdr:nvPicPr>
        <xdr:cNvPr id="35" name="Picture 34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24652" y="31041069"/>
          <a:ext cx="3018693" cy="1663194"/>
        </a:xfrm>
        <a:prstGeom prst="rect">
          <a:avLst/>
        </a:prstGeom>
      </xdr:spPr>
    </xdr:pic>
    <xdr:clientData/>
  </xdr:twoCellAnchor>
  <xdr:twoCellAnchor editAs="oneCell">
    <xdr:from>
      <xdr:col>17</xdr:col>
      <xdr:colOff>139212</xdr:colOff>
      <xdr:row>214</xdr:row>
      <xdr:rowOff>4396</xdr:rowOff>
    </xdr:from>
    <xdr:to>
      <xdr:col>23</xdr:col>
      <xdr:colOff>507023</xdr:colOff>
      <xdr:row>229</xdr:row>
      <xdr:rowOff>97174</xdr:rowOff>
    </xdr:to>
    <xdr:pic>
      <xdr:nvPicPr>
        <xdr:cNvPr id="36" name="Picture 35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1887" y="50010646"/>
          <a:ext cx="3063386" cy="3578928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183</xdr:row>
      <xdr:rowOff>59576</xdr:rowOff>
    </xdr:from>
    <xdr:to>
      <xdr:col>6</xdr:col>
      <xdr:colOff>462553</xdr:colOff>
      <xdr:row>185</xdr:row>
      <xdr:rowOff>21765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7000" y="43203685"/>
          <a:ext cx="1380966" cy="42601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172</xdr:row>
      <xdr:rowOff>148642</xdr:rowOff>
    </xdr:from>
    <xdr:to>
      <xdr:col>14</xdr:col>
      <xdr:colOff>175847</xdr:colOff>
      <xdr:row>179</xdr:row>
      <xdr:rowOff>87928</xdr:rowOff>
    </xdr:to>
    <xdr:grpSp>
      <xdr:nvGrpSpPr>
        <xdr:cNvPr id="39" name="Group 38"/>
        <xdr:cNvGrpSpPr/>
      </xdr:nvGrpSpPr>
      <xdr:grpSpPr>
        <a:xfrm>
          <a:off x="3806756" y="39353542"/>
          <a:ext cx="1103016" cy="1539486"/>
          <a:chOff x="6528288" y="21936825"/>
          <a:chExt cx="1984238" cy="1414096"/>
        </a:xfrm>
      </xdr:grpSpPr>
      <xdr:sp macro="" textlink="">
        <xdr:nvSpPr>
          <xdr:cNvPr id="40" name="Freeform 39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41" name="Straight Arrow Connector 40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2" name="TextBox 41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12</xdr:col>
      <xdr:colOff>425278</xdr:colOff>
      <xdr:row>191</xdr:row>
      <xdr:rowOff>139213</xdr:rowOff>
    </xdr:from>
    <xdr:to>
      <xdr:col>19</xdr:col>
      <xdr:colOff>14480</xdr:colOff>
      <xdr:row>200</xdr:row>
      <xdr:rowOff>181707</xdr:rowOff>
    </xdr:to>
    <xdr:pic>
      <xdr:nvPicPr>
        <xdr:cNvPr id="43" name="Picture 42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11124" y="38752098"/>
          <a:ext cx="2922952" cy="2168767"/>
        </a:xfrm>
        <a:prstGeom prst="rect">
          <a:avLst/>
        </a:prstGeom>
      </xdr:spPr>
    </xdr:pic>
    <xdr:clientData/>
  </xdr:twoCellAnchor>
  <xdr:twoCellAnchor editAs="oneCell">
    <xdr:from>
      <xdr:col>12</xdr:col>
      <xdr:colOff>461912</xdr:colOff>
      <xdr:row>202</xdr:row>
      <xdr:rowOff>14653</xdr:rowOff>
    </xdr:from>
    <xdr:to>
      <xdr:col>21</xdr:col>
      <xdr:colOff>200716</xdr:colOff>
      <xdr:row>210</xdr:row>
      <xdr:rowOff>146347</xdr:rowOff>
    </xdr:to>
    <xdr:pic>
      <xdr:nvPicPr>
        <xdr:cNvPr id="44" name="Picture 43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47758" y="40913538"/>
          <a:ext cx="3651381" cy="2011783"/>
        </a:xfrm>
        <a:prstGeom prst="rect">
          <a:avLst/>
        </a:prstGeom>
      </xdr:spPr>
    </xdr:pic>
    <xdr:clientData/>
  </xdr:twoCellAnchor>
  <xdr:twoCellAnchor editAs="oneCell">
    <xdr:from>
      <xdr:col>15</xdr:col>
      <xdr:colOff>18824</xdr:colOff>
      <xdr:row>229</xdr:row>
      <xdr:rowOff>198783</xdr:rowOff>
    </xdr:from>
    <xdr:to>
      <xdr:col>27</xdr:col>
      <xdr:colOff>13187</xdr:colOff>
      <xdr:row>245</xdr:row>
      <xdr:rowOff>20608</xdr:rowOff>
    </xdr:to>
    <xdr:pic>
      <xdr:nvPicPr>
        <xdr:cNvPr id="34" name="Picture 33" descr="jõutegurid vantidel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36867" y="54242805"/>
          <a:ext cx="6421668" cy="3598694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171451</xdr:colOff>
      <xdr:row>274</xdr:row>
      <xdr:rowOff>0</xdr:rowOff>
    </xdr:from>
    <xdr:to>
      <xdr:col>23</xdr:col>
      <xdr:colOff>86600</xdr:colOff>
      <xdr:row>284</xdr:row>
      <xdr:rowOff>57830</xdr:rowOff>
    </xdr:to>
    <xdr:pic>
      <xdr:nvPicPr>
        <xdr:cNvPr id="49" name="Picture 48" descr="tuulejõud juhtmetele_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857876" y="64541400"/>
          <a:ext cx="3086974" cy="240098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92851</xdr:colOff>
      <xdr:row>284</xdr:row>
      <xdr:rowOff>33942</xdr:rowOff>
    </xdr:from>
    <xdr:to>
      <xdr:col>22</xdr:col>
      <xdr:colOff>571500</xdr:colOff>
      <xdr:row>299</xdr:row>
      <xdr:rowOff>8199</xdr:rowOff>
    </xdr:to>
    <xdr:pic>
      <xdr:nvPicPr>
        <xdr:cNvPr id="51" name="Picture 50" descr="tuulejõud juhtmetele_2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779276" y="66899442"/>
          <a:ext cx="2964674" cy="3517557"/>
        </a:xfrm>
        <a:prstGeom prst="rect">
          <a:avLst/>
        </a:prstGeom>
      </xdr:spPr>
    </xdr:pic>
    <xdr:clientData/>
  </xdr:twoCellAnchor>
  <xdr:twoCellAnchor editAs="oneCell">
    <xdr:from>
      <xdr:col>22</xdr:col>
      <xdr:colOff>670680</xdr:colOff>
      <xdr:row>288</xdr:row>
      <xdr:rowOff>47625</xdr:rowOff>
    </xdr:from>
    <xdr:to>
      <xdr:col>27</xdr:col>
      <xdr:colOff>658053</xdr:colOff>
      <xdr:row>292</xdr:row>
      <xdr:rowOff>38329</xdr:rowOff>
    </xdr:to>
    <xdr:pic>
      <xdr:nvPicPr>
        <xdr:cNvPr id="53" name="Picture 52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843130" y="67846575"/>
          <a:ext cx="3416373" cy="943204"/>
        </a:xfrm>
        <a:prstGeom prst="rect">
          <a:avLst/>
        </a:prstGeom>
      </xdr:spPr>
    </xdr:pic>
    <xdr:clientData/>
  </xdr:twoCellAnchor>
  <xdr:twoCellAnchor editAs="oneCell">
    <xdr:from>
      <xdr:col>22</xdr:col>
      <xdr:colOff>619125</xdr:colOff>
      <xdr:row>292</xdr:row>
      <xdr:rowOff>11392</xdr:rowOff>
    </xdr:from>
    <xdr:to>
      <xdr:col>28</xdr:col>
      <xdr:colOff>458054</xdr:colOff>
      <xdr:row>295</xdr:row>
      <xdr:rowOff>38258</xdr:rowOff>
    </xdr:to>
    <xdr:pic>
      <xdr:nvPicPr>
        <xdr:cNvPr id="54" name="Picture 53" descr="juhtme tuuletakistustegur_jää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791575" y="68286592"/>
          <a:ext cx="3953729" cy="731716"/>
        </a:xfrm>
        <a:prstGeom prst="rect">
          <a:avLst/>
        </a:prstGeom>
      </xdr:spPr>
    </xdr:pic>
    <xdr:clientData/>
  </xdr:twoCellAnchor>
  <xdr:twoCellAnchor editAs="oneCell">
    <xdr:from>
      <xdr:col>16</xdr:col>
      <xdr:colOff>70605</xdr:colOff>
      <xdr:row>341</xdr:row>
      <xdr:rowOff>219075</xdr:rowOff>
    </xdr:from>
    <xdr:to>
      <xdr:col>23</xdr:col>
      <xdr:colOff>315153</xdr:colOff>
      <xdr:row>345</xdr:row>
      <xdr:rowOff>209780</xdr:rowOff>
    </xdr:to>
    <xdr:pic>
      <xdr:nvPicPr>
        <xdr:cNvPr id="56" name="Picture 55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757030" y="88553925"/>
          <a:ext cx="3416373" cy="94320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345</xdr:row>
      <xdr:rowOff>182842</xdr:rowOff>
    </xdr:from>
    <xdr:to>
      <xdr:col>24</xdr:col>
      <xdr:colOff>115154</xdr:colOff>
      <xdr:row>348</xdr:row>
      <xdr:rowOff>209708</xdr:rowOff>
    </xdr:to>
    <xdr:pic>
      <xdr:nvPicPr>
        <xdr:cNvPr id="57" name="Picture 56" descr="juhtme tuuletakistustegur_jää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05475" y="89470192"/>
          <a:ext cx="3953729" cy="73171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365</xdr:row>
      <xdr:rowOff>0</xdr:rowOff>
    </xdr:from>
    <xdr:to>
      <xdr:col>22</xdr:col>
      <xdr:colOff>66675</xdr:colOff>
      <xdr:row>369</xdr:row>
      <xdr:rowOff>179410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90975" y="94564200"/>
          <a:ext cx="4248150" cy="11128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200025</xdr:colOff>
      <xdr:row>369</xdr:row>
      <xdr:rowOff>161926</xdr:rowOff>
    </xdr:from>
    <xdr:to>
      <xdr:col>22</xdr:col>
      <xdr:colOff>47625</xdr:colOff>
      <xdr:row>374</xdr:row>
      <xdr:rowOff>161926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81450" y="95678626"/>
          <a:ext cx="42386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219076</xdr:colOff>
      <xdr:row>366</xdr:row>
      <xdr:rowOff>104775</xdr:rowOff>
    </xdr:from>
    <xdr:to>
      <xdr:col>25</xdr:col>
      <xdr:colOff>7334</xdr:colOff>
      <xdr:row>370</xdr:row>
      <xdr:rowOff>219074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391526" y="94897575"/>
          <a:ext cx="1845658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200025</xdr:colOff>
      <xdr:row>313</xdr:row>
      <xdr:rowOff>161926</xdr:rowOff>
    </xdr:from>
    <xdr:to>
      <xdr:col>22</xdr:col>
      <xdr:colOff>47625</xdr:colOff>
      <xdr:row>318</xdr:row>
      <xdr:rowOff>161926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81450" y="95640526"/>
          <a:ext cx="42386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171451</xdr:colOff>
      <xdr:row>385</xdr:row>
      <xdr:rowOff>0</xdr:rowOff>
    </xdr:from>
    <xdr:to>
      <xdr:col>23</xdr:col>
      <xdr:colOff>86600</xdr:colOff>
      <xdr:row>395</xdr:row>
      <xdr:rowOff>57830</xdr:rowOff>
    </xdr:to>
    <xdr:pic>
      <xdr:nvPicPr>
        <xdr:cNvPr id="62" name="Picture 61" descr="tuulejõud juhtmetele_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857876" y="85915500"/>
          <a:ext cx="3086974" cy="2400980"/>
        </a:xfrm>
        <a:prstGeom prst="rect">
          <a:avLst/>
        </a:prstGeom>
      </xdr:spPr>
    </xdr:pic>
    <xdr:clientData/>
  </xdr:twoCellAnchor>
  <xdr:twoCellAnchor editAs="oneCell">
    <xdr:from>
      <xdr:col>17</xdr:col>
      <xdr:colOff>165855</xdr:colOff>
      <xdr:row>397</xdr:row>
      <xdr:rowOff>142875</xdr:rowOff>
    </xdr:from>
    <xdr:to>
      <xdr:col>24</xdr:col>
      <xdr:colOff>200853</xdr:colOff>
      <xdr:row>401</xdr:row>
      <xdr:rowOff>133578</xdr:rowOff>
    </xdr:to>
    <xdr:pic>
      <xdr:nvPicPr>
        <xdr:cNvPr id="63" name="Picture 62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28530" y="102574725"/>
          <a:ext cx="3416373" cy="943204"/>
        </a:xfrm>
        <a:prstGeom prst="rect">
          <a:avLst/>
        </a:prstGeom>
      </xdr:spPr>
    </xdr:pic>
    <xdr:clientData/>
  </xdr:twoCellAnchor>
  <xdr:twoCellAnchor>
    <xdr:from>
      <xdr:col>29</xdr:col>
      <xdr:colOff>581025</xdr:colOff>
      <xdr:row>334</xdr:row>
      <xdr:rowOff>133350</xdr:rowOff>
    </xdr:from>
    <xdr:to>
      <xdr:col>30</xdr:col>
      <xdr:colOff>180975</xdr:colOff>
      <xdr:row>335</xdr:row>
      <xdr:rowOff>171450</xdr:rowOff>
    </xdr:to>
    <xdr:sp macro="" textlink="">
      <xdr:nvSpPr>
        <xdr:cNvPr id="85" name="TextBox 84"/>
        <xdr:cNvSpPr txBox="1"/>
      </xdr:nvSpPr>
      <xdr:spPr>
        <a:xfrm>
          <a:off x="13554075" y="86848950"/>
          <a:ext cx="285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V</a:t>
          </a:r>
        </a:p>
      </xdr:txBody>
    </xdr:sp>
    <xdr:clientData/>
  </xdr:twoCellAnchor>
  <xdr:twoCellAnchor>
    <xdr:from>
      <xdr:col>16</xdr:col>
      <xdr:colOff>171451</xdr:colOff>
      <xdr:row>327</xdr:row>
      <xdr:rowOff>142875</xdr:rowOff>
    </xdr:from>
    <xdr:to>
      <xdr:col>30</xdr:col>
      <xdr:colOff>76200</xdr:colOff>
      <xdr:row>339</xdr:row>
      <xdr:rowOff>57830</xdr:rowOff>
    </xdr:to>
    <xdr:grpSp>
      <xdr:nvGrpSpPr>
        <xdr:cNvPr id="95" name="Group 94"/>
        <xdr:cNvGrpSpPr/>
      </xdr:nvGrpSpPr>
      <xdr:grpSpPr>
        <a:xfrm>
          <a:off x="5857876" y="74780775"/>
          <a:ext cx="7877174" cy="2658155"/>
          <a:chOff x="5869886" y="86124636"/>
          <a:chExt cx="7914031" cy="2747607"/>
        </a:xfrm>
      </xdr:grpSpPr>
      <xdr:cxnSp macro="">
        <xdr:nvCxnSpPr>
          <xdr:cNvPr id="76" name="Straight Arrow Connector 75"/>
          <xdr:cNvCxnSpPr/>
        </xdr:nvCxnSpPr>
        <xdr:spPr>
          <a:xfrm flipH="1">
            <a:off x="12637604" y="87838308"/>
            <a:ext cx="982732" cy="20333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3" name="Group 92"/>
          <xdr:cNvGrpSpPr/>
        </xdr:nvGrpSpPr>
        <xdr:grpSpPr>
          <a:xfrm>
            <a:off x="5869886" y="86124636"/>
            <a:ext cx="7914031" cy="2747607"/>
            <a:chOff x="5869886" y="86124636"/>
            <a:chExt cx="7914031" cy="2747607"/>
          </a:xfrm>
        </xdr:grpSpPr>
        <xdr:pic>
          <xdr:nvPicPr>
            <xdr:cNvPr id="55" name="Picture 54" descr="tuulejõud juhtmetele_1.PNG"/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/>
            <a:stretch>
              <a:fillRect/>
            </a:stretch>
          </xdr:blipFill>
          <xdr:spPr>
            <a:xfrm>
              <a:off x="5869886" y="86445587"/>
              <a:ext cx="3112236" cy="2426656"/>
            </a:xfrm>
            <a:prstGeom prst="rect">
              <a:avLst/>
            </a:prstGeom>
          </xdr:spPr>
        </xdr:pic>
        <xdr:grpSp>
          <xdr:nvGrpSpPr>
            <xdr:cNvPr id="92" name="Group 91"/>
            <xdr:cNvGrpSpPr/>
          </xdr:nvGrpSpPr>
          <xdr:grpSpPr>
            <a:xfrm>
              <a:off x="9524172" y="86124636"/>
              <a:ext cx="4259745" cy="2534064"/>
              <a:chOff x="9486900" y="85220175"/>
              <a:chExt cx="4248150" cy="2505075"/>
            </a:xfrm>
          </xdr:grpSpPr>
          <xdr:cxnSp macro="">
            <xdr:nvCxnSpPr>
              <xdr:cNvPr id="65" name="Straight Connector 64"/>
              <xdr:cNvCxnSpPr/>
            </xdr:nvCxnSpPr>
            <xdr:spPr>
              <a:xfrm>
                <a:off x="9486900" y="86591775"/>
                <a:ext cx="16287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6" name="Rectangle 65"/>
              <xdr:cNvSpPr/>
            </xdr:nvSpPr>
            <xdr:spPr>
              <a:xfrm>
                <a:off x="11068050" y="86382225"/>
                <a:ext cx="523875" cy="476250"/>
              </a:xfrm>
              <a:prstGeom prst="rect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lang="et-EE" sz="1100"/>
                  <a:t>mast</a:t>
                </a:r>
              </a:p>
            </xdr:txBody>
          </xdr:sp>
          <xdr:cxnSp macro="">
            <xdr:nvCxnSpPr>
              <xdr:cNvPr id="68" name="Straight Connector 67"/>
              <xdr:cNvCxnSpPr>
                <a:stCxn id="66" idx="3"/>
              </xdr:cNvCxnSpPr>
            </xdr:nvCxnSpPr>
            <xdr:spPr>
              <a:xfrm flipV="1">
                <a:off x="11591925" y="86610826"/>
                <a:ext cx="581025" cy="9524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" name="Straight Connector 69"/>
              <xdr:cNvCxnSpPr>
                <a:stCxn id="66" idx="3"/>
              </xdr:cNvCxnSpPr>
            </xdr:nvCxnSpPr>
            <xdr:spPr>
              <a:xfrm>
                <a:off x="11591925" y="86620350"/>
                <a:ext cx="2143125" cy="110490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" name="Straight Connector 71"/>
              <xdr:cNvCxnSpPr/>
            </xdr:nvCxnSpPr>
            <xdr:spPr>
              <a:xfrm flipV="1">
                <a:off x="12582525" y="86506050"/>
                <a:ext cx="447675" cy="6191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Straight Arrow Connector 77"/>
              <xdr:cNvCxnSpPr/>
            </xdr:nvCxnSpPr>
            <xdr:spPr>
              <a:xfrm>
                <a:off x="11353800" y="85220175"/>
                <a:ext cx="0" cy="809625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Straight Arrow Connector 79"/>
              <xdr:cNvCxnSpPr/>
            </xdr:nvCxnSpPr>
            <xdr:spPr>
              <a:xfrm>
                <a:off x="11182350" y="85658325"/>
                <a:ext cx="800100" cy="0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1" name="TextBox 80"/>
              <xdr:cNvSpPr txBox="1"/>
            </xdr:nvSpPr>
            <xdr:spPr>
              <a:xfrm>
                <a:off x="11649075" y="85448775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x</a:t>
                </a:r>
              </a:p>
            </xdr:txBody>
          </xdr:sp>
          <xdr:sp macro="" textlink="">
            <xdr:nvSpPr>
              <xdr:cNvPr id="82" name="TextBox 81"/>
              <xdr:cNvSpPr txBox="1"/>
            </xdr:nvSpPr>
            <xdr:spPr>
              <a:xfrm>
                <a:off x="11039475" y="85239225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y</a:t>
                </a:r>
              </a:p>
            </xdr:txBody>
          </xdr:sp>
          <xdr:sp macro="" textlink="">
            <xdr:nvSpPr>
              <xdr:cNvPr id="83" name="TextBox 82"/>
              <xdr:cNvSpPr txBox="1"/>
            </xdr:nvSpPr>
            <xdr:spPr>
              <a:xfrm>
                <a:off x="11849100" y="86582250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α</a:t>
                </a:r>
              </a:p>
            </xdr:txBody>
          </xdr:sp>
          <xdr:sp macro="" textlink="">
            <xdr:nvSpPr>
              <xdr:cNvPr id="84" name="TextBox 83"/>
              <xdr:cNvSpPr txBox="1"/>
            </xdr:nvSpPr>
            <xdr:spPr>
              <a:xfrm>
                <a:off x="12753975" y="86772750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l-GR" sz="1100"/>
                  <a:t>φ</a:t>
                </a:r>
                <a:endParaRPr lang="et-EE" sz="1100"/>
              </a:p>
            </xdr:txBody>
          </xdr:sp>
          <xdr:sp macro="" textlink="">
            <xdr:nvSpPr>
              <xdr:cNvPr id="86" name="Arc 85"/>
              <xdr:cNvSpPr/>
            </xdr:nvSpPr>
            <xdr:spPr>
              <a:xfrm>
                <a:off x="12582525" y="86744175"/>
                <a:ext cx="552450" cy="571499"/>
              </a:xfrm>
              <a:prstGeom prst="arc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t-EE" sz="1100"/>
              </a:p>
            </xdr:txBody>
          </xdr:sp>
        </xdr:grpSp>
      </xdr:grpSp>
      <xdr:sp macro="" textlink="">
        <xdr:nvSpPr>
          <xdr:cNvPr id="87" name="Arc 86"/>
          <xdr:cNvSpPr/>
        </xdr:nvSpPr>
        <xdr:spPr>
          <a:xfrm rot="5689720">
            <a:off x="11785236" y="87301366"/>
            <a:ext cx="487440" cy="437067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</xdr:grpSp>
    <xdr:clientData/>
  </xdr:twoCellAnchor>
  <xdr:twoCellAnchor editAs="oneCell">
    <xdr:from>
      <xdr:col>18</xdr:col>
      <xdr:colOff>200025</xdr:colOff>
      <xdr:row>246</xdr:row>
      <xdr:rowOff>114300</xdr:rowOff>
    </xdr:from>
    <xdr:to>
      <xdr:col>24</xdr:col>
      <xdr:colOff>37972</xdr:colOff>
      <xdr:row>268</xdr:row>
      <xdr:rowOff>27118</xdr:rowOff>
    </xdr:to>
    <xdr:pic>
      <xdr:nvPicPr>
        <xdr:cNvPr id="46" name="Picture 45" descr="tuulesuunad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3456" r="67871"/>
        <a:stretch>
          <a:fillRect/>
        </a:stretch>
      </xdr:blipFill>
      <xdr:spPr>
        <a:xfrm>
          <a:off x="6838950" y="57588150"/>
          <a:ext cx="2743072" cy="5132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40774</xdr:colOff>
      <xdr:row>6</xdr:row>
      <xdr:rowOff>86647</xdr:rowOff>
    </xdr:from>
    <xdr:to>
      <xdr:col>21</xdr:col>
      <xdr:colOff>36475</xdr:colOff>
      <xdr:row>20</xdr:row>
      <xdr:rowOff>143732</xdr:rowOff>
    </xdr:to>
    <xdr:pic>
      <xdr:nvPicPr>
        <xdr:cNvPr id="2" name="Picture 1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4699" y="1686847"/>
          <a:ext cx="2957976" cy="3314635"/>
        </a:xfrm>
        <a:prstGeom prst="rect">
          <a:avLst/>
        </a:prstGeom>
      </xdr:spPr>
    </xdr:pic>
    <xdr:clientData/>
  </xdr:twoCellAnchor>
  <xdr:twoCellAnchor editAs="oneCell">
    <xdr:from>
      <xdr:col>15</xdr:col>
      <xdr:colOff>253254</xdr:colOff>
      <xdr:row>39</xdr:row>
      <xdr:rowOff>225857</xdr:rowOff>
    </xdr:from>
    <xdr:to>
      <xdr:col>22</xdr:col>
      <xdr:colOff>248955</xdr:colOff>
      <xdr:row>54</xdr:row>
      <xdr:rowOff>32234</xdr:rowOff>
    </xdr:to>
    <xdr:pic>
      <xdr:nvPicPr>
        <xdr:cNvPr id="4" name="Picture 3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3429" y="9446057"/>
          <a:ext cx="2957976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53</xdr:row>
      <xdr:rowOff>84424</xdr:rowOff>
    </xdr:from>
    <xdr:to>
      <xdr:col>6</xdr:col>
      <xdr:colOff>454270</xdr:colOff>
      <xdr:row>55</xdr:row>
      <xdr:rowOff>46613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12581224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191457</xdr:colOff>
      <xdr:row>91</xdr:row>
      <xdr:rowOff>59576</xdr:rowOff>
    </xdr:from>
    <xdr:to>
      <xdr:col>6</xdr:col>
      <xdr:colOff>462553</xdr:colOff>
      <xdr:row>93</xdr:row>
      <xdr:rowOff>21765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21319376"/>
          <a:ext cx="1385521" cy="41938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219809</xdr:colOff>
      <xdr:row>70</xdr:row>
      <xdr:rowOff>131884</xdr:rowOff>
    </xdr:from>
    <xdr:to>
      <xdr:col>25</xdr:col>
      <xdr:colOff>168520</xdr:colOff>
      <xdr:row>85</xdr:row>
      <xdr:rowOff>83285</xdr:rowOff>
    </xdr:to>
    <xdr:pic>
      <xdr:nvPicPr>
        <xdr:cNvPr id="8" name="Picture 7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984" y="16514884"/>
          <a:ext cx="3063386" cy="3437551"/>
        </a:xfrm>
        <a:prstGeom prst="rect">
          <a:avLst/>
        </a:prstGeom>
      </xdr:spPr>
    </xdr:pic>
    <xdr:clientData/>
  </xdr:twoCellAnchor>
  <xdr:twoCellAnchor editAs="oneCell">
    <xdr:from>
      <xdr:col>15</xdr:col>
      <xdr:colOff>453062</xdr:colOff>
      <xdr:row>81</xdr:row>
      <xdr:rowOff>36634</xdr:rowOff>
    </xdr:from>
    <xdr:to>
      <xdr:col>21</xdr:col>
      <xdr:colOff>186221</xdr:colOff>
      <xdr:row>97</xdr:row>
      <xdr:rowOff>127520</xdr:rowOff>
    </xdr:to>
    <xdr:pic>
      <xdr:nvPicPr>
        <xdr:cNvPr id="9" name="Picture 8" descr="tuulesuunad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67837"/>
        <a:stretch>
          <a:fillRect/>
        </a:stretch>
      </xdr:blipFill>
      <xdr:spPr>
        <a:xfrm>
          <a:off x="5663237" y="18991384"/>
          <a:ext cx="2219184" cy="3691336"/>
        </a:xfrm>
        <a:prstGeom prst="rect">
          <a:avLst/>
        </a:prstGeom>
      </xdr:spPr>
    </xdr:pic>
    <xdr:clientData/>
  </xdr:twoCellAnchor>
  <xdr:twoCellAnchor>
    <xdr:from>
      <xdr:col>11</xdr:col>
      <xdr:colOff>363499</xdr:colOff>
      <xdr:row>82</xdr:row>
      <xdr:rowOff>80595</xdr:rowOff>
    </xdr:from>
    <xdr:to>
      <xdr:col>15</xdr:col>
      <xdr:colOff>43962</xdr:colOff>
      <xdr:row>88</xdr:row>
      <xdr:rowOff>131884</xdr:rowOff>
    </xdr:to>
    <xdr:grpSp>
      <xdr:nvGrpSpPr>
        <xdr:cNvPr id="10" name="Group 9"/>
        <xdr:cNvGrpSpPr/>
      </xdr:nvGrpSpPr>
      <xdr:grpSpPr>
        <a:xfrm>
          <a:off x="3668674" y="18806745"/>
          <a:ext cx="1585463" cy="1422889"/>
          <a:chOff x="6384074" y="21936808"/>
          <a:chExt cx="3003911" cy="1414096"/>
        </a:xfrm>
      </xdr:grpSpPr>
      <xdr:sp macro="" textlink="">
        <xdr:nvSpPr>
          <xdr:cNvPr id="11" name="Freeform 10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12" name="Freeform 11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3" name="Straight Arrow Connector 12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4" name="TextBox 13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352008</xdr:colOff>
      <xdr:row>106</xdr:row>
      <xdr:rowOff>58616</xdr:rowOff>
    </xdr:from>
    <xdr:to>
      <xdr:col>16</xdr:col>
      <xdr:colOff>17254</xdr:colOff>
      <xdr:row>112</xdr:row>
      <xdr:rowOff>9535</xdr:rowOff>
    </xdr:to>
    <xdr:pic>
      <xdr:nvPicPr>
        <xdr:cNvPr id="15" name="Picture 14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57183" y="24747416"/>
          <a:ext cx="2046496" cy="1341569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133</xdr:row>
      <xdr:rowOff>76141</xdr:rowOff>
    </xdr:from>
    <xdr:to>
      <xdr:col>6</xdr:col>
      <xdr:colOff>462553</xdr:colOff>
      <xdr:row>135</xdr:row>
      <xdr:rowOff>38330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31051441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11</xdr:col>
      <xdr:colOff>413659</xdr:colOff>
      <xdr:row>122</xdr:row>
      <xdr:rowOff>148636</xdr:rowOff>
    </xdr:from>
    <xdr:to>
      <xdr:col>16</xdr:col>
      <xdr:colOff>102579</xdr:colOff>
      <xdr:row>129</xdr:row>
      <xdr:rowOff>87922</xdr:rowOff>
    </xdr:to>
    <xdr:grpSp>
      <xdr:nvGrpSpPr>
        <xdr:cNvPr id="18" name="Group 17"/>
        <xdr:cNvGrpSpPr/>
      </xdr:nvGrpSpPr>
      <xdr:grpSpPr>
        <a:xfrm>
          <a:off x="3718834" y="27923536"/>
          <a:ext cx="2070170" cy="1539486"/>
          <a:chOff x="6440277" y="21936818"/>
          <a:chExt cx="2072249" cy="1414096"/>
        </a:xfrm>
      </xdr:grpSpPr>
      <xdr:sp macro="" textlink="">
        <xdr:nvSpPr>
          <xdr:cNvPr id="19" name="Freeform 18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0" name="Straight Arrow Connector 19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359335</xdr:colOff>
      <xdr:row>146</xdr:row>
      <xdr:rowOff>1</xdr:rowOff>
    </xdr:from>
    <xdr:to>
      <xdr:col>16</xdr:col>
      <xdr:colOff>17254</xdr:colOff>
      <xdr:row>152</xdr:row>
      <xdr:rowOff>125300</xdr:rowOff>
    </xdr:to>
    <xdr:pic>
      <xdr:nvPicPr>
        <xdr:cNvPr id="22" name="Picture 21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64510" y="34042351"/>
          <a:ext cx="2039169" cy="1515949"/>
        </a:xfrm>
        <a:prstGeom prst="rect">
          <a:avLst/>
        </a:prstGeom>
      </xdr:spPr>
    </xdr:pic>
    <xdr:clientData/>
  </xdr:twoCellAnchor>
  <xdr:twoCellAnchor editAs="oneCell">
    <xdr:from>
      <xdr:col>11</xdr:col>
      <xdr:colOff>315056</xdr:colOff>
      <xdr:row>153</xdr:row>
      <xdr:rowOff>180069</xdr:rowOff>
    </xdr:from>
    <xdr:to>
      <xdr:col>17</xdr:col>
      <xdr:colOff>476249</xdr:colOff>
      <xdr:row>160</xdr:row>
      <xdr:rowOff>190309</xdr:rowOff>
    </xdr:to>
    <xdr:pic>
      <xdr:nvPicPr>
        <xdr:cNvPr id="23" name="Picture 22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20231" y="35841669"/>
          <a:ext cx="3018693" cy="1667590"/>
        </a:xfrm>
        <a:prstGeom prst="rect">
          <a:avLst/>
        </a:prstGeom>
      </xdr:spPr>
    </xdr:pic>
    <xdr:clientData/>
  </xdr:twoCellAnchor>
  <xdr:twoCellAnchor editAs="oneCell">
    <xdr:from>
      <xdr:col>19</xdr:col>
      <xdr:colOff>139212</xdr:colOff>
      <xdr:row>220</xdr:row>
      <xdr:rowOff>175846</xdr:rowOff>
    </xdr:from>
    <xdr:to>
      <xdr:col>25</xdr:col>
      <xdr:colOff>87923</xdr:colOff>
      <xdr:row>236</xdr:row>
      <xdr:rowOff>59074</xdr:rowOff>
    </xdr:to>
    <xdr:pic>
      <xdr:nvPicPr>
        <xdr:cNvPr id="24" name="Picture 23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4387" y="51591796"/>
          <a:ext cx="3063386" cy="3578928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183</xdr:row>
      <xdr:rowOff>59576</xdr:rowOff>
    </xdr:from>
    <xdr:to>
      <xdr:col>6</xdr:col>
      <xdr:colOff>462553</xdr:colOff>
      <xdr:row>185</xdr:row>
      <xdr:rowOff>21765</xdr:rowOff>
    </xdr:to>
    <xdr:pic>
      <xdr:nvPicPr>
        <xdr:cNvPr id="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42769676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172</xdr:row>
      <xdr:rowOff>148642</xdr:rowOff>
    </xdr:from>
    <xdr:to>
      <xdr:col>14</xdr:col>
      <xdr:colOff>175847</xdr:colOff>
      <xdr:row>179</xdr:row>
      <xdr:rowOff>87928</xdr:rowOff>
    </xdr:to>
    <xdr:grpSp>
      <xdr:nvGrpSpPr>
        <xdr:cNvPr id="26" name="Group 25"/>
        <xdr:cNvGrpSpPr/>
      </xdr:nvGrpSpPr>
      <xdr:grpSpPr>
        <a:xfrm>
          <a:off x="3806756" y="39353542"/>
          <a:ext cx="1103016" cy="1539486"/>
          <a:chOff x="6528288" y="21936825"/>
          <a:chExt cx="1984238" cy="1414096"/>
        </a:xfrm>
      </xdr:grpSpPr>
      <xdr:sp macro="" textlink="">
        <xdr:nvSpPr>
          <xdr:cNvPr id="27" name="Freeform 26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12</xdr:col>
      <xdr:colOff>425278</xdr:colOff>
      <xdr:row>191</xdr:row>
      <xdr:rowOff>139213</xdr:rowOff>
    </xdr:from>
    <xdr:to>
      <xdr:col>19</xdr:col>
      <xdr:colOff>14480</xdr:colOff>
      <xdr:row>200</xdr:row>
      <xdr:rowOff>181707</xdr:rowOff>
    </xdr:to>
    <xdr:pic>
      <xdr:nvPicPr>
        <xdr:cNvPr id="30" name="Picture 29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06703" y="44716213"/>
          <a:ext cx="2922952" cy="2176094"/>
        </a:xfrm>
        <a:prstGeom prst="rect">
          <a:avLst/>
        </a:prstGeom>
      </xdr:spPr>
    </xdr:pic>
    <xdr:clientData/>
  </xdr:twoCellAnchor>
  <xdr:twoCellAnchor editAs="oneCell">
    <xdr:from>
      <xdr:col>12</xdr:col>
      <xdr:colOff>461912</xdr:colOff>
      <xdr:row>202</xdr:row>
      <xdr:rowOff>14653</xdr:rowOff>
    </xdr:from>
    <xdr:to>
      <xdr:col>21</xdr:col>
      <xdr:colOff>200716</xdr:colOff>
      <xdr:row>210</xdr:row>
      <xdr:rowOff>146347</xdr:rowOff>
    </xdr:to>
    <xdr:pic>
      <xdr:nvPicPr>
        <xdr:cNvPr id="31" name="Picture 30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43337" y="47182453"/>
          <a:ext cx="3653579" cy="2017644"/>
        </a:xfrm>
        <a:prstGeom prst="rect">
          <a:avLst/>
        </a:prstGeom>
      </xdr:spPr>
    </xdr:pic>
    <xdr:clientData/>
  </xdr:twoCellAnchor>
  <xdr:twoCellAnchor editAs="oneCell">
    <xdr:from>
      <xdr:col>15</xdr:col>
      <xdr:colOff>82826</xdr:colOff>
      <xdr:row>255</xdr:row>
      <xdr:rowOff>70061</xdr:rowOff>
    </xdr:from>
    <xdr:to>
      <xdr:col>19</xdr:col>
      <xdr:colOff>447260</xdr:colOff>
      <xdr:row>271</xdr:row>
      <xdr:rowOff>3100</xdr:rowOff>
    </xdr:to>
    <xdr:pic>
      <xdr:nvPicPr>
        <xdr:cNvPr id="32" name="Picture 31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913" r="35178"/>
        <a:stretch>
          <a:fillRect/>
        </a:stretch>
      </xdr:blipFill>
      <xdr:spPr>
        <a:xfrm>
          <a:off x="5300869" y="60276344"/>
          <a:ext cx="2286000" cy="3756291"/>
        </a:xfrm>
        <a:prstGeom prst="rect">
          <a:avLst/>
        </a:prstGeom>
      </xdr:spPr>
    </xdr:pic>
    <xdr:clientData/>
  </xdr:twoCellAnchor>
  <xdr:twoCellAnchor editAs="oneCell">
    <xdr:from>
      <xdr:col>15</xdr:col>
      <xdr:colOff>85085</xdr:colOff>
      <xdr:row>239</xdr:row>
      <xdr:rowOff>107674</xdr:rowOff>
    </xdr:from>
    <xdr:to>
      <xdr:col>27</xdr:col>
      <xdr:colOff>79448</xdr:colOff>
      <xdr:row>254</xdr:row>
      <xdr:rowOff>144847</xdr:rowOff>
    </xdr:to>
    <xdr:pic>
      <xdr:nvPicPr>
        <xdr:cNvPr id="33" name="Picture 32" descr="jõutegurid vantidele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95260" y="55924174"/>
          <a:ext cx="6385638" cy="3561423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171451</xdr:colOff>
      <xdr:row>274</xdr:row>
      <xdr:rowOff>0</xdr:rowOff>
    </xdr:from>
    <xdr:to>
      <xdr:col>23</xdr:col>
      <xdr:colOff>86600</xdr:colOff>
      <xdr:row>284</xdr:row>
      <xdr:rowOff>57830</xdr:rowOff>
    </xdr:to>
    <xdr:pic>
      <xdr:nvPicPr>
        <xdr:cNvPr id="34" name="Picture 33" descr="tuulejõud juhtmetele_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57876" y="64065150"/>
          <a:ext cx="3086974" cy="240098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92851</xdr:colOff>
      <xdr:row>284</xdr:row>
      <xdr:rowOff>33942</xdr:rowOff>
    </xdr:from>
    <xdr:to>
      <xdr:col>22</xdr:col>
      <xdr:colOff>571500</xdr:colOff>
      <xdr:row>299</xdr:row>
      <xdr:rowOff>8199</xdr:rowOff>
    </xdr:to>
    <xdr:pic>
      <xdr:nvPicPr>
        <xdr:cNvPr id="35" name="Picture 34" descr="tuulejõud juhtmetele_2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779276" y="66442242"/>
          <a:ext cx="2964674" cy="3517557"/>
        </a:xfrm>
        <a:prstGeom prst="rect">
          <a:avLst/>
        </a:prstGeom>
      </xdr:spPr>
    </xdr:pic>
    <xdr:clientData/>
  </xdr:twoCellAnchor>
  <xdr:twoCellAnchor editAs="oneCell">
    <xdr:from>
      <xdr:col>22</xdr:col>
      <xdr:colOff>670680</xdr:colOff>
      <xdr:row>288</xdr:row>
      <xdr:rowOff>47625</xdr:rowOff>
    </xdr:from>
    <xdr:to>
      <xdr:col>27</xdr:col>
      <xdr:colOff>658053</xdr:colOff>
      <xdr:row>292</xdr:row>
      <xdr:rowOff>38329</xdr:rowOff>
    </xdr:to>
    <xdr:pic>
      <xdr:nvPicPr>
        <xdr:cNvPr id="36" name="Picture 35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843130" y="67389375"/>
          <a:ext cx="3416373" cy="943204"/>
        </a:xfrm>
        <a:prstGeom prst="rect">
          <a:avLst/>
        </a:prstGeom>
      </xdr:spPr>
    </xdr:pic>
    <xdr:clientData/>
  </xdr:twoCellAnchor>
  <xdr:twoCellAnchor editAs="oneCell">
    <xdr:from>
      <xdr:col>22</xdr:col>
      <xdr:colOff>619125</xdr:colOff>
      <xdr:row>292</xdr:row>
      <xdr:rowOff>11392</xdr:rowOff>
    </xdr:from>
    <xdr:to>
      <xdr:col>28</xdr:col>
      <xdr:colOff>458054</xdr:colOff>
      <xdr:row>295</xdr:row>
      <xdr:rowOff>38258</xdr:rowOff>
    </xdr:to>
    <xdr:pic>
      <xdr:nvPicPr>
        <xdr:cNvPr id="37" name="Picture 36" descr="juhtme tuuletakistustegur_jää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91575" y="68305642"/>
          <a:ext cx="3953729" cy="731716"/>
        </a:xfrm>
        <a:prstGeom prst="rect">
          <a:avLst/>
        </a:prstGeom>
      </xdr:spPr>
    </xdr:pic>
    <xdr:clientData/>
  </xdr:twoCellAnchor>
  <xdr:twoCellAnchor editAs="oneCell">
    <xdr:from>
      <xdr:col>16</xdr:col>
      <xdr:colOff>70605</xdr:colOff>
      <xdr:row>341</xdr:row>
      <xdr:rowOff>219075</xdr:rowOff>
    </xdr:from>
    <xdr:to>
      <xdr:col>23</xdr:col>
      <xdr:colOff>315153</xdr:colOff>
      <xdr:row>345</xdr:row>
      <xdr:rowOff>209780</xdr:rowOff>
    </xdr:to>
    <xdr:pic>
      <xdr:nvPicPr>
        <xdr:cNvPr id="38" name="Picture 37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57030" y="80095725"/>
          <a:ext cx="3416373" cy="943205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345</xdr:row>
      <xdr:rowOff>182842</xdr:rowOff>
    </xdr:from>
    <xdr:to>
      <xdr:col>24</xdr:col>
      <xdr:colOff>115154</xdr:colOff>
      <xdr:row>348</xdr:row>
      <xdr:rowOff>209708</xdr:rowOff>
    </xdr:to>
    <xdr:pic>
      <xdr:nvPicPr>
        <xdr:cNvPr id="39" name="Picture 38" descr="juhtme tuuletakistustegur_jää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05475" y="81011992"/>
          <a:ext cx="3953729" cy="73171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365</xdr:row>
      <xdr:rowOff>0</xdr:rowOff>
    </xdr:from>
    <xdr:to>
      <xdr:col>22</xdr:col>
      <xdr:colOff>66675</xdr:colOff>
      <xdr:row>369</xdr:row>
      <xdr:rowOff>179410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90975" y="85591650"/>
          <a:ext cx="4248150" cy="1112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200025</xdr:colOff>
      <xdr:row>369</xdr:row>
      <xdr:rowOff>161926</xdr:rowOff>
    </xdr:from>
    <xdr:to>
      <xdr:col>22</xdr:col>
      <xdr:colOff>47625</xdr:colOff>
      <xdr:row>374</xdr:row>
      <xdr:rowOff>161926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81450" y="86687026"/>
          <a:ext cx="42386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219076</xdr:colOff>
      <xdr:row>366</xdr:row>
      <xdr:rowOff>104775</xdr:rowOff>
    </xdr:from>
    <xdr:to>
      <xdr:col>25</xdr:col>
      <xdr:colOff>7334</xdr:colOff>
      <xdr:row>370</xdr:row>
      <xdr:rowOff>219074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391526" y="85925025"/>
          <a:ext cx="1845658" cy="1066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200025</xdr:colOff>
      <xdr:row>313</xdr:row>
      <xdr:rowOff>161926</xdr:rowOff>
    </xdr:from>
    <xdr:to>
      <xdr:col>22</xdr:col>
      <xdr:colOff>47625</xdr:colOff>
      <xdr:row>318</xdr:row>
      <xdr:rowOff>161926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81450" y="73447276"/>
          <a:ext cx="42386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171451</xdr:colOff>
      <xdr:row>385</xdr:row>
      <xdr:rowOff>0</xdr:rowOff>
    </xdr:from>
    <xdr:to>
      <xdr:col>23</xdr:col>
      <xdr:colOff>86600</xdr:colOff>
      <xdr:row>395</xdr:row>
      <xdr:rowOff>57830</xdr:rowOff>
    </xdr:to>
    <xdr:pic>
      <xdr:nvPicPr>
        <xdr:cNvPr id="44" name="Picture 43" descr="tuulejõud juhtmetele_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57876" y="90316050"/>
          <a:ext cx="3086974" cy="2400980"/>
        </a:xfrm>
        <a:prstGeom prst="rect">
          <a:avLst/>
        </a:prstGeom>
      </xdr:spPr>
    </xdr:pic>
    <xdr:clientData/>
  </xdr:twoCellAnchor>
  <xdr:twoCellAnchor editAs="oneCell">
    <xdr:from>
      <xdr:col>17</xdr:col>
      <xdr:colOff>165855</xdr:colOff>
      <xdr:row>397</xdr:row>
      <xdr:rowOff>142875</xdr:rowOff>
    </xdr:from>
    <xdr:to>
      <xdr:col>24</xdr:col>
      <xdr:colOff>200853</xdr:colOff>
      <xdr:row>401</xdr:row>
      <xdr:rowOff>133578</xdr:rowOff>
    </xdr:to>
    <xdr:pic>
      <xdr:nvPicPr>
        <xdr:cNvPr id="45" name="Picture 44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28530" y="93259275"/>
          <a:ext cx="3416373" cy="943203"/>
        </a:xfrm>
        <a:prstGeom prst="rect">
          <a:avLst/>
        </a:prstGeom>
      </xdr:spPr>
    </xdr:pic>
    <xdr:clientData/>
  </xdr:twoCellAnchor>
  <xdr:twoCellAnchor>
    <xdr:from>
      <xdr:col>29</xdr:col>
      <xdr:colOff>581025</xdr:colOff>
      <xdr:row>334</xdr:row>
      <xdr:rowOff>133350</xdr:rowOff>
    </xdr:from>
    <xdr:to>
      <xdr:col>30</xdr:col>
      <xdr:colOff>180975</xdr:colOff>
      <xdr:row>335</xdr:row>
      <xdr:rowOff>171450</xdr:rowOff>
    </xdr:to>
    <xdr:sp macro="" textlink="">
      <xdr:nvSpPr>
        <xdr:cNvPr id="46" name="TextBox 45"/>
        <xdr:cNvSpPr txBox="1"/>
      </xdr:nvSpPr>
      <xdr:spPr>
        <a:xfrm>
          <a:off x="13554075" y="78390750"/>
          <a:ext cx="285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V</a:t>
          </a:r>
        </a:p>
      </xdr:txBody>
    </xdr:sp>
    <xdr:clientData/>
  </xdr:twoCellAnchor>
  <xdr:twoCellAnchor>
    <xdr:from>
      <xdr:col>16</xdr:col>
      <xdr:colOff>171451</xdr:colOff>
      <xdr:row>327</xdr:row>
      <xdr:rowOff>142875</xdr:rowOff>
    </xdr:from>
    <xdr:to>
      <xdr:col>30</xdr:col>
      <xdr:colOff>76200</xdr:colOff>
      <xdr:row>339</xdr:row>
      <xdr:rowOff>57830</xdr:rowOff>
    </xdr:to>
    <xdr:grpSp>
      <xdr:nvGrpSpPr>
        <xdr:cNvPr id="47" name="Group 46"/>
        <xdr:cNvGrpSpPr/>
      </xdr:nvGrpSpPr>
      <xdr:grpSpPr>
        <a:xfrm>
          <a:off x="5857876" y="74780775"/>
          <a:ext cx="7877174" cy="2658155"/>
          <a:chOff x="5869886" y="86124636"/>
          <a:chExt cx="7914031" cy="2747607"/>
        </a:xfrm>
      </xdr:grpSpPr>
      <xdr:cxnSp macro="">
        <xdr:nvCxnSpPr>
          <xdr:cNvPr id="48" name="Straight Arrow Connector 47"/>
          <xdr:cNvCxnSpPr/>
        </xdr:nvCxnSpPr>
        <xdr:spPr>
          <a:xfrm flipH="1">
            <a:off x="12637604" y="87838308"/>
            <a:ext cx="982732" cy="20333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9" name="Group 92"/>
          <xdr:cNvGrpSpPr/>
        </xdr:nvGrpSpPr>
        <xdr:grpSpPr>
          <a:xfrm>
            <a:off x="5869886" y="86124636"/>
            <a:ext cx="7914031" cy="2747607"/>
            <a:chOff x="5869886" y="86124636"/>
            <a:chExt cx="7914031" cy="2747607"/>
          </a:xfrm>
        </xdr:grpSpPr>
        <xdr:pic>
          <xdr:nvPicPr>
            <xdr:cNvPr id="51" name="Picture 50" descr="tuulejõud juhtmetele_1.PNG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/>
            <a:stretch>
              <a:fillRect/>
            </a:stretch>
          </xdr:blipFill>
          <xdr:spPr>
            <a:xfrm>
              <a:off x="5869886" y="86445587"/>
              <a:ext cx="3112236" cy="2426656"/>
            </a:xfrm>
            <a:prstGeom prst="rect">
              <a:avLst/>
            </a:prstGeom>
          </xdr:spPr>
        </xdr:pic>
        <xdr:grpSp>
          <xdr:nvGrpSpPr>
            <xdr:cNvPr id="52" name="Group 91"/>
            <xdr:cNvGrpSpPr/>
          </xdr:nvGrpSpPr>
          <xdr:grpSpPr>
            <a:xfrm>
              <a:off x="9524172" y="86124636"/>
              <a:ext cx="4259745" cy="2534064"/>
              <a:chOff x="9486900" y="85220175"/>
              <a:chExt cx="4248150" cy="2505075"/>
            </a:xfrm>
          </xdr:grpSpPr>
          <xdr:cxnSp macro="">
            <xdr:nvCxnSpPr>
              <xdr:cNvPr id="53" name="Straight Connector 52"/>
              <xdr:cNvCxnSpPr/>
            </xdr:nvCxnSpPr>
            <xdr:spPr>
              <a:xfrm>
                <a:off x="9486900" y="86591775"/>
                <a:ext cx="16287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4" name="Rectangle 53"/>
              <xdr:cNvSpPr/>
            </xdr:nvSpPr>
            <xdr:spPr>
              <a:xfrm>
                <a:off x="11068050" y="86382225"/>
                <a:ext cx="523875" cy="476250"/>
              </a:xfrm>
              <a:prstGeom prst="rect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lang="et-EE" sz="1100"/>
                  <a:t>mast</a:t>
                </a:r>
              </a:p>
            </xdr:txBody>
          </xdr:sp>
          <xdr:cxnSp macro="">
            <xdr:nvCxnSpPr>
              <xdr:cNvPr id="55" name="Straight Connector 54"/>
              <xdr:cNvCxnSpPr>
                <a:stCxn id="54" idx="3"/>
              </xdr:cNvCxnSpPr>
            </xdr:nvCxnSpPr>
            <xdr:spPr>
              <a:xfrm flipV="1">
                <a:off x="11591925" y="86610826"/>
                <a:ext cx="581025" cy="9524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Straight Connector 55"/>
              <xdr:cNvCxnSpPr>
                <a:stCxn id="54" idx="3"/>
              </xdr:cNvCxnSpPr>
            </xdr:nvCxnSpPr>
            <xdr:spPr>
              <a:xfrm>
                <a:off x="11591925" y="86620350"/>
                <a:ext cx="2143125" cy="110490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" name="Straight Connector 56"/>
              <xdr:cNvCxnSpPr/>
            </xdr:nvCxnSpPr>
            <xdr:spPr>
              <a:xfrm flipV="1">
                <a:off x="12582525" y="86506050"/>
                <a:ext cx="447675" cy="6191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" name="Straight Arrow Connector 57"/>
              <xdr:cNvCxnSpPr/>
            </xdr:nvCxnSpPr>
            <xdr:spPr>
              <a:xfrm>
                <a:off x="11353800" y="85220175"/>
                <a:ext cx="0" cy="809625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" name="Straight Arrow Connector 58"/>
              <xdr:cNvCxnSpPr/>
            </xdr:nvCxnSpPr>
            <xdr:spPr>
              <a:xfrm>
                <a:off x="11182350" y="85658325"/>
                <a:ext cx="800100" cy="0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0" name="TextBox 59"/>
              <xdr:cNvSpPr txBox="1"/>
            </xdr:nvSpPr>
            <xdr:spPr>
              <a:xfrm>
                <a:off x="11649075" y="85448775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x</a:t>
                </a:r>
              </a:p>
            </xdr:txBody>
          </xdr:sp>
          <xdr:sp macro="" textlink="">
            <xdr:nvSpPr>
              <xdr:cNvPr id="61" name="TextBox 60"/>
              <xdr:cNvSpPr txBox="1"/>
            </xdr:nvSpPr>
            <xdr:spPr>
              <a:xfrm>
                <a:off x="11039475" y="85239225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y</a:t>
                </a:r>
              </a:p>
            </xdr:txBody>
          </xdr:sp>
          <xdr:sp macro="" textlink="">
            <xdr:nvSpPr>
              <xdr:cNvPr id="62" name="TextBox 61"/>
              <xdr:cNvSpPr txBox="1"/>
            </xdr:nvSpPr>
            <xdr:spPr>
              <a:xfrm>
                <a:off x="11849100" y="86582250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α</a:t>
                </a:r>
              </a:p>
            </xdr:txBody>
          </xdr:sp>
          <xdr:sp macro="" textlink="">
            <xdr:nvSpPr>
              <xdr:cNvPr id="63" name="TextBox 62"/>
              <xdr:cNvSpPr txBox="1"/>
            </xdr:nvSpPr>
            <xdr:spPr>
              <a:xfrm>
                <a:off x="12753975" y="86772750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l-GR" sz="1100"/>
                  <a:t>φ</a:t>
                </a:r>
                <a:endParaRPr lang="et-EE" sz="1100"/>
              </a:p>
            </xdr:txBody>
          </xdr:sp>
          <xdr:sp macro="" textlink="">
            <xdr:nvSpPr>
              <xdr:cNvPr id="64" name="Arc 63"/>
              <xdr:cNvSpPr/>
            </xdr:nvSpPr>
            <xdr:spPr>
              <a:xfrm>
                <a:off x="12582525" y="86744175"/>
                <a:ext cx="552450" cy="571499"/>
              </a:xfrm>
              <a:prstGeom prst="arc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t-EE" sz="1100"/>
              </a:p>
            </xdr:txBody>
          </xdr:sp>
        </xdr:grpSp>
      </xdr:grpSp>
      <xdr:sp macro="" textlink="">
        <xdr:nvSpPr>
          <xdr:cNvPr id="50" name="Arc 49"/>
          <xdr:cNvSpPr/>
        </xdr:nvSpPr>
        <xdr:spPr>
          <a:xfrm rot="5689720">
            <a:off x="11785236" y="87301366"/>
            <a:ext cx="487440" cy="437067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</xdr:grpSp>
    <xdr:clientData/>
  </xdr:twoCellAnchor>
  <xdr:twoCellAnchor editAs="oneCell">
    <xdr:from>
      <xdr:col>15</xdr:col>
      <xdr:colOff>455544</xdr:colOff>
      <xdr:row>21</xdr:row>
      <xdr:rowOff>132522</xdr:rowOff>
    </xdr:from>
    <xdr:to>
      <xdr:col>21</xdr:col>
      <xdr:colOff>240196</xdr:colOff>
      <xdr:row>37</xdr:row>
      <xdr:rowOff>95379</xdr:rowOff>
    </xdr:to>
    <xdr:pic>
      <xdr:nvPicPr>
        <xdr:cNvPr id="65" name="Picture 64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075" r="34896"/>
        <a:stretch>
          <a:fillRect/>
        </a:stretch>
      </xdr:blipFill>
      <xdr:spPr>
        <a:xfrm>
          <a:off x="5673587" y="5176631"/>
          <a:ext cx="2294283" cy="375629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21</xdr:col>
      <xdr:colOff>265044</xdr:colOff>
      <xdr:row>72</xdr:row>
      <xdr:rowOff>45682</xdr:rowOff>
    </xdr:to>
    <xdr:pic>
      <xdr:nvPicPr>
        <xdr:cNvPr id="66" name="Picture 65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075" r="34896"/>
        <a:stretch>
          <a:fillRect/>
        </a:stretch>
      </xdr:blipFill>
      <xdr:spPr>
        <a:xfrm>
          <a:off x="5698435" y="13285304"/>
          <a:ext cx="2294283" cy="375629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22</xdr:col>
      <xdr:colOff>265044</xdr:colOff>
      <xdr:row>126</xdr:row>
      <xdr:rowOff>211335</xdr:rowOff>
    </xdr:to>
    <xdr:pic>
      <xdr:nvPicPr>
        <xdr:cNvPr id="67" name="Picture 66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075" r="34896"/>
        <a:stretch>
          <a:fillRect/>
        </a:stretch>
      </xdr:blipFill>
      <xdr:spPr>
        <a:xfrm>
          <a:off x="6178826" y="26081935"/>
          <a:ext cx="2294283" cy="3756291"/>
        </a:xfrm>
        <a:prstGeom prst="rect">
          <a:avLst/>
        </a:prstGeom>
      </xdr:spPr>
    </xdr:pic>
    <xdr:clientData/>
  </xdr:twoCellAnchor>
  <xdr:twoCellAnchor editAs="oneCell">
    <xdr:from>
      <xdr:col>16</xdr:col>
      <xdr:colOff>41413</xdr:colOff>
      <xdr:row>157</xdr:row>
      <xdr:rowOff>165652</xdr:rowOff>
    </xdr:from>
    <xdr:to>
      <xdr:col>21</xdr:col>
      <xdr:colOff>306457</xdr:colOff>
      <xdr:row>173</xdr:row>
      <xdr:rowOff>111943</xdr:rowOff>
    </xdr:to>
    <xdr:pic>
      <xdr:nvPicPr>
        <xdr:cNvPr id="68" name="Picture 67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075" r="34896"/>
        <a:stretch>
          <a:fillRect/>
        </a:stretch>
      </xdr:blipFill>
      <xdr:spPr>
        <a:xfrm>
          <a:off x="5739848" y="37147500"/>
          <a:ext cx="2294283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289892</xdr:colOff>
      <xdr:row>295</xdr:row>
      <xdr:rowOff>182218</xdr:rowOff>
    </xdr:from>
    <xdr:to>
      <xdr:col>19</xdr:col>
      <xdr:colOff>173935</xdr:colOff>
      <xdr:row>311</xdr:row>
      <xdr:rowOff>95378</xdr:rowOff>
    </xdr:to>
    <xdr:pic>
      <xdr:nvPicPr>
        <xdr:cNvPr id="69" name="Picture 68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913" r="35178"/>
        <a:stretch>
          <a:fillRect/>
        </a:stretch>
      </xdr:blipFill>
      <xdr:spPr>
        <a:xfrm>
          <a:off x="5027544" y="69896935"/>
          <a:ext cx="2286000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215348</xdr:colOff>
      <xdr:row>349</xdr:row>
      <xdr:rowOff>140804</xdr:rowOff>
    </xdr:from>
    <xdr:to>
      <xdr:col>19</xdr:col>
      <xdr:colOff>99391</xdr:colOff>
      <xdr:row>365</xdr:row>
      <xdr:rowOff>53965</xdr:rowOff>
    </xdr:to>
    <xdr:pic>
      <xdr:nvPicPr>
        <xdr:cNvPr id="70" name="Picture 69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913" r="35178"/>
        <a:stretch>
          <a:fillRect/>
        </a:stretch>
      </xdr:blipFill>
      <xdr:spPr>
        <a:xfrm>
          <a:off x="4953000" y="82759826"/>
          <a:ext cx="2286000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207065</xdr:colOff>
      <xdr:row>404</xdr:row>
      <xdr:rowOff>99391</xdr:rowOff>
    </xdr:from>
    <xdr:to>
      <xdr:col>19</xdr:col>
      <xdr:colOff>91108</xdr:colOff>
      <xdr:row>419</xdr:row>
      <xdr:rowOff>244465</xdr:rowOff>
    </xdr:to>
    <xdr:pic>
      <xdr:nvPicPr>
        <xdr:cNvPr id="71" name="Picture 70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913" r="35178"/>
        <a:stretch>
          <a:fillRect/>
        </a:stretch>
      </xdr:blipFill>
      <xdr:spPr>
        <a:xfrm>
          <a:off x="4944717" y="95838065"/>
          <a:ext cx="2286000" cy="3756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40774</xdr:colOff>
      <xdr:row>6</xdr:row>
      <xdr:rowOff>86647</xdr:rowOff>
    </xdr:from>
    <xdr:to>
      <xdr:col>21</xdr:col>
      <xdr:colOff>36475</xdr:colOff>
      <xdr:row>116</xdr:row>
      <xdr:rowOff>67343</xdr:rowOff>
    </xdr:to>
    <xdr:pic>
      <xdr:nvPicPr>
        <xdr:cNvPr id="2" name="Picture 1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5199" y="628650"/>
          <a:ext cx="2957976" cy="3314635"/>
        </a:xfrm>
        <a:prstGeom prst="rect">
          <a:avLst/>
        </a:prstGeom>
      </xdr:spPr>
    </xdr:pic>
    <xdr:clientData/>
  </xdr:twoCellAnchor>
  <xdr:twoCellAnchor editAs="oneCell">
    <xdr:from>
      <xdr:col>14</xdr:col>
      <xdr:colOff>446942</xdr:colOff>
      <xdr:row>20</xdr:row>
      <xdr:rowOff>65945</xdr:rowOff>
    </xdr:from>
    <xdr:to>
      <xdr:col>19</xdr:col>
      <xdr:colOff>285750</xdr:colOff>
      <xdr:row>119</xdr:row>
      <xdr:rowOff>200790</xdr:rowOff>
    </xdr:to>
    <xdr:pic>
      <xdr:nvPicPr>
        <xdr:cNvPr id="3" name="Picture 2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1417" r="36376"/>
        <a:stretch>
          <a:fillRect/>
        </a:stretch>
      </xdr:blipFill>
      <xdr:spPr>
        <a:xfrm>
          <a:off x="5385288" y="4901714"/>
          <a:ext cx="2220058" cy="3678148"/>
        </a:xfrm>
        <a:prstGeom prst="rect">
          <a:avLst/>
        </a:prstGeom>
      </xdr:spPr>
    </xdr:pic>
    <xdr:clientData/>
  </xdr:twoCellAnchor>
  <xdr:twoCellAnchor editAs="oneCell">
    <xdr:from>
      <xdr:col>15</xdr:col>
      <xdr:colOff>253254</xdr:colOff>
      <xdr:row>39</xdr:row>
      <xdr:rowOff>225857</xdr:rowOff>
    </xdr:from>
    <xdr:to>
      <xdr:col>22</xdr:col>
      <xdr:colOff>248955</xdr:colOff>
      <xdr:row>120</xdr:row>
      <xdr:rowOff>49820</xdr:rowOff>
    </xdr:to>
    <xdr:pic>
      <xdr:nvPicPr>
        <xdr:cNvPr id="4" name="Picture 3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3929" y="1540307"/>
          <a:ext cx="2957976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51</xdr:row>
      <xdr:rowOff>51293</xdr:rowOff>
    </xdr:from>
    <xdr:to>
      <xdr:col>6</xdr:col>
      <xdr:colOff>454270</xdr:colOff>
      <xdr:row>53</xdr:row>
      <xdr:rowOff>13482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2476500"/>
          <a:ext cx="1385521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183174</xdr:colOff>
      <xdr:row>89</xdr:row>
      <xdr:rowOff>51293</xdr:rowOff>
    </xdr:from>
    <xdr:to>
      <xdr:col>6</xdr:col>
      <xdr:colOff>454270</xdr:colOff>
      <xdr:row>91</xdr:row>
      <xdr:rowOff>13482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3867150"/>
          <a:ext cx="1385521" cy="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542194</xdr:colOff>
      <xdr:row>68</xdr:row>
      <xdr:rowOff>175845</xdr:rowOff>
    </xdr:from>
    <xdr:to>
      <xdr:col>27</xdr:col>
      <xdr:colOff>168520</xdr:colOff>
      <xdr:row>167</xdr:row>
      <xdr:rowOff>181467</xdr:rowOff>
    </xdr:to>
    <xdr:pic>
      <xdr:nvPicPr>
        <xdr:cNvPr id="8" name="Picture 7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6867" y="16016653"/>
          <a:ext cx="3069980" cy="3425828"/>
        </a:xfrm>
        <a:prstGeom prst="rect">
          <a:avLst/>
        </a:prstGeom>
      </xdr:spPr>
    </xdr:pic>
    <xdr:clientData/>
  </xdr:twoCellAnchor>
  <xdr:twoCellAnchor>
    <xdr:from>
      <xdr:col>11</xdr:col>
      <xdr:colOff>363499</xdr:colOff>
      <xdr:row>80</xdr:row>
      <xdr:rowOff>80594</xdr:rowOff>
    </xdr:from>
    <xdr:to>
      <xdr:col>15</xdr:col>
      <xdr:colOff>14654</xdr:colOff>
      <xdr:row>86</xdr:row>
      <xdr:rowOff>219807</xdr:rowOff>
    </xdr:to>
    <xdr:grpSp>
      <xdr:nvGrpSpPr>
        <xdr:cNvPr id="10" name="Group 9"/>
        <xdr:cNvGrpSpPr/>
      </xdr:nvGrpSpPr>
      <xdr:grpSpPr>
        <a:xfrm>
          <a:off x="3859174" y="3719144"/>
          <a:ext cx="1556155" cy="148006"/>
          <a:chOff x="6384074" y="21936808"/>
          <a:chExt cx="3003911" cy="1414096"/>
        </a:xfrm>
      </xdr:grpSpPr>
      <xdr:sp macro="" textlink="">
        <xdr:nvSpPr>
          <xdr:cNvPr id="11" name="Freeform 10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12" name="Freeform 11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3" name="Straight Arrow Connector 12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4" name="TextBox 13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352008</xdr:colOff>
      <xdr:row>104</xdr:row>
      <xdr:rowOff>58616</xdr:rowOff>
    </xdr:from>
    <xdr:to>
      <xdr:col>16</xdr:col>
      <xdr:colOff>17254</xdr:colOff>
      <xdr:row>164</xdr:row>
      <xdr:rowOff>180984</xdr:rowOff>
    </xdr:to>
    <xdr:pic>
      <xdr:nvPicPr>
        <xdr:cNvPr id="15" name="Picture 14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47683" y="3867150"/>
          <a:ext cx="2046496" cy="1341569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131</xdr:row>
      <xdr:rowOff>51293</xdr:rowOff>
    </xdr:from>
    <xdr:to>
      <xdr:col>6</xdr:col>
      <xdr:colOff>454270</xdr:colOff>
      <xdr:row>133</xdr:row>
      <xdr:rowOff>13482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5029200"/>
          <a:ext cx="1385521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234462</xdr:colOff>
      <xdr:row>110</xdr:row>
      <xdr:rowOff>146537</xdr:rowOff>
    </xdr:from>
    <xdr:to>
      <xdr:col>21</xdr:col>
      <xdr:colOff>139212</xdr:colOff>
      <xdr:row>218</xdr:row>
      <xdr:rowOff>39598</xdr:rowOff>
    </xdr:to>
    <xdr:pic>
      <xdr:nvPicPr>
        <xdr:cNvPr id="17" name="Picture 16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1531" r="37800"/>
        <a:stretch>
          <a:fillRect/>
        </a:stretch>
      </xdr:blipFill>
      <xdr:spPr>
        <a:xfrm>
          <a:off x="5649058" y="25658883"/>
          <a:ext cx="2388577" cy="3758744"/>
        </a:xfrm>
        <a:prstGeom prst="rect">
          <a:avLst/>
        </a:prstGeom>
      </xdr:spPr>
    </xdr:pic>
    <xdr:clientData/>
  </xdr:twoCellAnchor>
  <xdr:twoCellAnchor>
    <xdr:from>
      <xdr:col>11</xdr:col>
      <xdr:colOff>413659</xdr:colOff>
      <xdr:row>120</xdr:row>
      <xdr:rowOff>148635</xdr:rowOff>
    </xdr:from>
    <xdr:to>
      <xdr:col>16</xdr:col>
      <xdr:colOff>102579</xdr:colOff>
      <xdr:row>125</xdr:row>
      <xdr:rowOff>161191</xdr:rowOff>
    </xdr:to>
    <xdr:grpSp>
      <xdr:nvGrpSpPr>
        <xdr:cNvPr id="18" name="Group 17"/>
        <xdr:cNvGrpSpPr/>
      </xdr:nvGrpSpPr>
      <xdr:grpSpPr>
        <a:xfrm>
          <a:off x="3909334" y="4949235"/>
          <a:ext cx="2070170" cy="79965"/>
          <a:chOff x="6440277" y="21936818"/>
          <a:chExt cx="2072249" cy="1414096"/>
        </a:xfrm>
      </xdr:grpSpPr>
      <xdr:sp macro="" textlink="">
        <xdr:nvSpPr>
          <xdr:cNvPr id="19" name="Freeform 18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0" name="Straight Arrow Connector 19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359335</xdr:colOff>
      <xdr:row>144</xdr:row>
      <xdr:rowOff>1</xdr:rowOff>
    </xdr:from>
    <xdr:to>
      <xdr:col>16</xdr:col>
      <xdr:colOff>17254</xdr:colOff>
      <xdr:row>170</xdr:row>
      <xdr:rowOff>109181</xdr:rowOff>
    </xdr:to>
    <xdr:pic>
      <xdr:nvPicPr>
        <xdr:cNvPr id="22" name="Picture 21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55010" y="5029200"/>
          <a:ext cx="2039169" cy="1515949"/>
        </a:xfrm>
        <a:prstGeom prst="rect">
          <a:avLst/>
        </a:prstGeom>
      </xdr:spPr>
    </xdr:pic>
    <xdr:clientData/>
  </xdr:twoCellAnchor>
  <xdr:twoCellAnchor editAs="oneCell">
    <xdr:from>
      <xdr:col>11</xdr:col>
      <xdr:colOff>315056</xdr:colOff>
      <xdr:row>151</xdr:row>
      <xdr:rowOff>180069</xdr:rowOff>
    </xdr:from>
    <xdr:to>
      <xdr:col>17</xdr:col>
      <xdr:colOff>476249</xdr:colOff>
      <xdr:row>214</xdr:row>
      <xdr:rowOff>26360</xdr:rowOff>
    </xdr:to>
    <xdr:pic>
      <xdr:nvPicPr>
        <xdr:cNvPr id="23" name="Picture 22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731" y="5029200"/>
          <a:ext cx="3018693" cy="1667590"/>
        </a:xfrm>
        <a:prstGeom prst="rect">
          <a:avLst/>
        </a:prstGeom>
      </xdr:spPr>
    </xdr:pic>
    <xdr:clientData/>
  </xdr:twoCellAnchor>
  <xdr:twoCellAnchor editAs="oneCell">
    <xdr:from>
      <xdr:col>19</xdr:col>
      <xdr:colOff>139212</xdr:colOff>
      <xdr:row>218</xdr:row>
      <xdr:rowOff>175846</xdr:rowOff>
    </xdr:from>
    <xdr:to>
      <xdr:col>25</xdr:col>
      <xdr:colOff>87923</xdr:colOff>
      <xdr:row>266</xdr:row>
      <xdr:rowOff>208544</xdr:rowOff>
    </xdr:to>
    <xdr:pic>
      <xdr:nvPicPr>
        <xdr:cNvPr id="24" name="Picture 23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44887" y="7776796"/>
          <a:ext cx="3063386" cy="3578928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181</xdr:row>
      <xdr:rowOff>51293</xdr:rowOff>
    </xdr:from>
    <xdr:to>
      <xdr:col>6</xdr:col>
      <xdr:colOff>454270</xdr:colOff>
      <xdr:row>183</xdr:row>
      <xdr:rowOff>13482</xdr:rowOff>
    </xdr:to>
    <xdr:pic>
      <xdr:nvPicPr>
        <xdr:cNvPr id="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6667500"/>
          <a:ext cx="1385521" cy="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170</xdr:row>
      <xdr:rowOff>148642</xdr:rowOff>
    </xdr:from>
    <xdr:to>
      <xdr:col>14</xdr:col>
      <xdr:colOff>175847</xdr:colOff>
      <xdr:row>175</xdr:row>
      <xdr:rowOff>87923</xdr:rowOff>
    </xdr:to>
    <xdr:grpSp>
      <xdr:nvGrpSpPr>
        <xdr:cNvPr id="26" name="Group 25"/>
        <xdr:cNvGrpSpPr/>
      </xdr:nvGrpSpPr>
      <xdr:grpSpPr>
        <a:xfrm>
          <a:off x="3997256" y="6587542"/>
          <a:ext cx="1103016" cy="79958"/>
          <a:chOff x="6528288" y="21936825"/>
          <a:chExt cx="1984238" cy="1414096"/>
        </a:xfrm>
      </xdr:grpSpPr>
      <xdr:sp macro="" textlink="">
        <xdr:nvSpPr>
          <xdr:cNvPr id="27" name="Freeform 26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12</xdr:col>
      <xdr:colOff>425278</xdr:colOff>
      <xdr:row>189</xdr:row>
      <xdr:rowOff>139213</xdr:rowOff>
    </xdr:from>
    <xdr:to>
      <xdr:col>19</xdr:col>
      <xdr:colOff>14480</xdr:colOff>
      <xdr:row>256</xdr:row>
      <xdr:rowOff>74732</xdr:rowOff>
    </xdr:to>
    <xdr:pic>
      <xdr:nvPicPr>
        <xdr:cNvPr id="30" name="Picture 29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97203" y="6667500"/>
          <a:ext cx="2922952" cy="2176094"/>
        </a:xfrm>
        <a:prstGeom prst="rect">
          <a:avLst/>
        </a:prstGeom>
      </xdr:spPr>
    </xdr:pic>
    <xdr:clientData/>
  </xdr:twoCellAnchor>
  <xdr:twoCellAnchor editAs="oneCell">
    <xdr:from>
      <xdr:col>12</xdr:col>
      <xdr:colOff>461912</xdr:colOff>
      <xdr:row>200</xdr:row>
      <xdr:rowOff>14653</xdr:rowOff>
    </xdr:from>
    <xdr:to>
      <xdr:col>21</xdr:col>
      <xdr:colOff>200716</xdr:colOff>
      <xdr:row>255</xdr:row>
      <xdr:rowOff>147813</xdr:rowOff>
    </xdr:to>
    <xdr:pic>
      <xdr:nvPicPr>
        <xdr:cNvPr id="31" name="Picture 30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33837" y="6667500"/>
          <a:ext cx="3653579" cy="2017644"/>
        </a:xfrm>
        <a:prstGeom prst="rect">
          <a:avLst/>
        </a:prstGeom>
      </xdr:spPr>
    </xdr:pic>
    <xdr:clientData/>
  </xdr:twoCellAnchor>
  <xdr:twoCellAnchor editAs="oneCell">
    <xdr:from>
      <xdr:col>14</xdr:col>
      <xdr:colOff>7326</xdr:colOff>
      <xdr:row>323</xdr:row>
      <xdr:rowOff>215964</xdr:rowOff>
    </xdr:from>
    <xdr:to>
      <xdr:col>18</xdr:col>
      <xdr:colOff>461596</xdr:colOff>
      <xdr:row>339</xdr:row>
      <xdr:rowOff>99244</xdr:rowOff>
    </xdr:to>
    <xdr:pic>
      <xdr:nvPicPr>
        <xdr:cNvPr id="32" name="Picture 31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406" r="34251"/>
        <a:stretch>
          <a:fillRect/>
        </a:stretch>
      </xdr:blipFill>
      <xdr:spPr>
        <a:xfrm>
          <a:off x="4945672" y="75734560"/>
          <a:ext cx="2359270" cy="3715261"/>
        </a:xfrm>
        <a:prstGeom prst="rect">
          <a:avLst/>
        </a:prstGeom>
      </xdr:spPr>
    </xdr:pic>
    <xdr:clientData/>
  </xdr:twoCellAnchor>
  <xdr:twoCellAnchor editAs="oneCell">
    <xdr:from>
      <xdr:col>15</xdr:col>
      <xdr:colOff>85085</xdr:colOff>
      <xdr:row>237</xdr:row>
      <xdr:rowOff>107674</xdr:rowOff>
    </xdr:from>
    <xdr:to>
      <xdr:col>27</xdr:col>
      <xdr:colOff>79448</xdr:colOff>
      <xdr:row>270</xdr:row>
      <xdr:rowOff>21054</xdr:rowOff>
    </xdr:to>
    <xdr:pic>
      <xdr:nvPicPr>
        <xdr:cNvPr id="33" name="Picture 32" descr="jõutegurid vantidele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85760" y="8534400"/>
          <a:ext cx="6385638" cy="35614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40774</xdr:colOff>
      <xdr:row>6</xdr:row>
      <xdr:rowOff>86647</xdr:rowOff>
    </xdr:from>
    <xdr:to>
      <xdr:col>21</xdr:col>
      <xdr:colOff>36475</xdr:colOff>
      <xdr:row>21</xdr:row>
      <xdr:rowOff>1590</xdr:rowOff>
    </xdr:to>
    <xdr:pic>
      <xdr:nvPicPr>
        <xdr:cNvPr id="2" name="Picture 1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5199" y="1686847"/>
          <a:ext cx="2957976" cy="3305843"/>
        </a:xfrm>
        <a:prstGeom prst="rect">
          <a:avLst/>
        </a:prstGeom>
      </xdr:spPr>
    </xdr:pic>
    <xdr:clientData/>
  </xdr:twoCellAnchor>
  <xdr:twoCellAnchor editAs="oneCell">
    <xdr:from>
      <xdr:col>15</xdr:col>
      <xdr:colOff>241789</xdr:colOff>
      <xdr:row>21</xdr:row>
      <xdr:rowOff>161194</xdr:rowOff>
    </xdr:from>
    <xdr:to>
      <xdr:col>21</xdr:col>
      <xdr:colOff>124558</xdr:colOff>
      <xdr:row>37</xdr:row>
      <xdr:rowOff>95285</xdr:rowOff>
    </xdr:to>
    <xdr:pic>
      <xdr:nvPicPr>
        <xdr:cNvPr id="3" name="Picture 2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3199" r="2468"/>
        <a:stretch>
          <a:fillRect/>
        </a:stretch>
      </xdr:blipFill>
      <xdr:spPr>
        <a:xfrm>
          <a:off x="5656385" y="5150829"/>
          <a:ext cx="2366596" cy="3678148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51</xdr:row>
      <xdr:rowOff>51293</xdr:rowOff>
    </xdr:from>
    <xdr:to>
      <xdr:col>6</xdr:col>
      <xdr:colOff>454270</xdr:colOff>
      <xdr:row>53</xdr:row>
      <xdr:rowOff>13482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12033743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4</xdr:col>
      <xdr:colOff>183174</xdr:colOff>
      <xdr:row>89</xdr:row>
      <xdr:rowOff>51293</xdr:rowOff>
    </xdr:from>
    <xdr:to>
      <xdr:col>6</xdr:col>
      <xdr:colOff>454270</xdr:colOff>
      <xdr:row>91</xdr:row>
      <xdr:rowOff>13482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20796743"/>
          <a:ext cx="1385521" cy="41938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542194</xdr:colOff>
      <xdr:row>68</xdr:row>
      <xdr:rowOff>175845</xdr:rowOff>
    </xdr:from>
    <xdr:to>
      <xdr:col>27</xdr:col>
      <xdr:colOff>168520</xdr:colOff>
      <xdr:row>124</xdr:row>
      <xdr:rowOff>201981</xdr:rowOff>
    </xdr:to>
    <xdr:pic>
      <xdr:nvPicPr>
        <xdr:cNvPr id="7" name="Picture 6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5144" y="16044495"/>
          <a:ext cx="3055326" cy="3439017"/>
        </a:xfrm>
        <a:prstGeom prst="rect">
          <a:avLst/>
        </a:prstGeom>
      </xdr:spPr>
    </xdr:pic>
    <xdr:clientData/>
  </xdr:twoCellAnchor>
  <xdr:twoCellAnchor editAs="oneCell">
    <xdr:from>
      <xdr:col>11</xdr:col>
      <xdr:colOff>352008</xdr:colOff>
      <xdr:row>104</xdr:row>
      <xdr:rowOff>58616</xdr:rowOff>
    </xdr:from>
    <xdr:to>
      <xdr:col>16</xdr:col>
      <xdr:colOff>17254</xdr:colOff>
      <xdr:row>121</xdr:row>
      <xdr:rowOff>179518</xdr:rowOff>
    </xdr:to>
    <xdr:pic>
      <xdr:nvPicPr>
        <xdr:cNvPr id="13" name="Picture 12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47683" y="24233066"/>
          <a:ext cx="2046496" cy="1343034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131</xdr:row>
      <xdr:rowOff>51293</xdr:rowOff>
    </xdr:from>
    <xdr:to>
      <xdr:col>6</xdr:col>
      <xdr:colOff>454270</xdr:colOff>
      <xdr:row>133</xdr:row>
      <xdr:rowOff>13482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30512243"/>
          <a:ext cx="1385521" cy="4193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234462</xdr:colOff>
      <xdr:row>110</xdr:row>
      <xdr:rowOff>146537</xdr:rowOff>
    </xdr:from>
    <xdr:to>
      <xdr:col>21</xdr:col>
      <xdr:colOff>139212</xdr:colOff>
      <xdr:row>132</xdr:row>
      <xdr:rowOff>58648</xdr:rowOff>
    </xdr:to>
    <xdr:pic>
      <xdr:nvPicPr>
        <xdr:cNvPr id="15" name="Picture 14" descr="tuulesuun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1531" r="37800"/>
        <a:stretch>
          <a:fillRect/>
        </a:stretch>
      </xdr:blipFill>
      <xdr:spPr>
        <a:xfrm>
          <a:off x="5635137" y="25711637"/>
          <a:ext cx="2390775" cy="3773398"/>
        </a:xfrm>
        <a:prstGeom prst="rect">
          <a:avLst/>
        </a:prstGeom>
      </xdr:spPr>
    </xdr:pic>
    <xdr:clientData/>
  </xdr:twoCellAnchor>
  <xdr:twoCellAnchor>
    <xdr:from>
      <xdr:col>11</xdr:col>
      <xdr:colOff>413659</xdr:colOff>
      <xdr:row>120</xdr:row>
      <xdr:rowOff>148635</xdr:rowOff>
    </xdr:from>
    <xdr:to>
      <xdr:col>16</xdr:col>
      <xdr:colOff>102579</xdr:colOff>
      <xdr:row>125</xdr:row>
      <xdr:rowOff>161191</xdr:rowOff>
    </xdr:to>
    <xdr:grpSp>
      <xdr:nvGrpSpPr>
        <xdr:cNvPr id="16" name="Group 15"/>
        <xdr:cNvGrpSpPr/>
      </xdr:nvGrpSpPr>
      <xdr:grpSpPr>
        <a:xfrm>
          <a:off x="3909334" y="12835935"/>
          <a:ext cx="2070170" cy="1155556"/>
          <a:chOff x="6440277" y="21936818"/>
          <a:chExt cx="2072249" cy="1414096"/>
        </a:xfrm>
      </xdr:grpSpPr>
      <xdr:sp macro="" textlink="">
        <xdr:nvSpPr>
          <xdr:cNvPr id="17" name="Freeform 16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8" name="Straight Arrow Connector 17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359335</xdr:colOff>
      <xdr:row>144</xdr:row>
      <xdr:rowOff>1</xdr:rowOff>
    </xdr:from>
    <xdr:to>
      <xdr:col>16</xdr:col>
      <xdr:colOff>17254</xdr:colOff>
      <xdr:row>150</xdr:row>
      <xdr:rowOff>128231</xdr:rowOff>
    </xdr:to>
    <xdr:pic>
      <xdr:nvPicPr>
        <xdr:cNvPr id="20" name="Picture 19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55010" y="33528001"/>
          <a:ext cx="2039169" cy="1518881"/>
        </a:xfrm>
        <a:prstGeom prst="rect">
          <a:avLst/>
        </a:prstGeom>
      </xdr:spPr>
    </xdr:pic>
    <xdr:clientData/>
  </xdr:twoCellAnchor>
  <xdr:twoCellAnchor editAs="oneCell">
    <xdr:from>
      <xdr:col>11</xdr:col>
      <xdr:colOff>315056</xdr:colOff>
      <xdr:row>151</xdr:row>
      <xdr:rowOff>180069</xdr:rowOff>
    </xdr:from>
    <xdr:to>
      <xdr:col>17</xdr:col>
      <xdr:colOff>476249</xdr:colOff>
      <xdr:row>158</xdr:row>
      <xdr:rowOff>187378</xdr:rowOff>
    </xdr:to>
    <xdr:pic>
      <xdr:nvPicPr>
        <xdr:cNvPr id="21" name="Picture 20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731" y="35327319"/>
          <a:ext cx="3018693" cy="1664660"/>
        </a:xfrm>
        <a:prstGeom prst="rect">
          <a:avLst/>
        </a:prstGeom>
      </xdr:spPr>
    </xdr:pic>
    <xdr:clientData/>
  </xdr:twoCellAnchor>
  <xdr:twoCellAnchor editAs="oneCell">
    <xdr:from>
      <xdr:col>19</xdr:col>
      <xdr:colOff>139212</xdr:colOff>
      <xdr:row>218</xdr:row>
      <xdr:rowOff>175846</xdr:rowOff>
    </xdr:from>
    <xdr:to>
      <xdr:col>25</xdr:col>
      <xdr:colOff>87923</xdr:colOff>
      <xdr:row>234</xdr:row>
      <xdr:rowOff>75193</xdr:rowOff>
    </xdr:to>
    <xdr:pic>
      <xdr:nvPicPr>
        <xdr:cNvPr id="22" name="Picture 21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44887" y="51077446"/>
          <a:ext cx="3063386" cy="3595048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181</xdr:row>
      <xdr:rowOff>51293</xdr:rowOff>
    </xdr:from>
    <xdr:to>
      <xdr:col>6</xdr:col>
      <xdr:colOff>454270</xdr:colOff>
      <xdr:row>183</xdr:row>
      <xdr:rowOff>13482</xdr:rowOff>
    </xdr:to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42247043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170</xdr:row>
      <xdr:rowOff>148642</xdr:rowOff>
    </xdr:from>
    <xdr:to>
      <xdr:col>14</xdr:col>
      <xdr:colOff>175847</xdr:colOff>
      <xdr:row>175</xdr:row>
      <xdr:rowOff>87923</xdr:rowOff>
    </xdr:to>
    <xdr:grpSp>
      <xdr:nvGrpSpPr>
        <xdr:cNvPr id="24" name="Group 23"/>
        <xdr:cNvGrpSpPr/>
      </xdr:nvGrpSpPr>
      <xdr:grpSpPr>
        <a:xfrm>
          <a:off x="3997256" y="24570742"/>
          <a:ext cx="1103016" cy="1082281"/>
          <a:chOff x="6528288" y="21936825"/>
          <a:chExt cx="1984238" cy="1414096"/>
        </a:xfrm>
      </xdr:grpSpPr>
      <xdr:sp macro="" textlink="">
        <xdr:nvSpPr>
          <xdr:cNvPr id="25" name="Freeform 24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6" name="Straight Arrow Connector 25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12</xdr:col>
      <xdr:colOff>425278</xdr:colOff>
      <xdr:row>189</xdr:row>
      <xdr:rowOff>139213</xdr:rowOff>
    </xdr:from>
    <xdr:to>
      <xdr:col>19</xdr:col>
      <xdr:colOff>14480</xdr:colOff>
      <xdr:row>198</xdr:row>
      <xdr:rowOff>175845</xdr:rowOff>
    </xdr:to>
    <xdr:pic>
      <xdr:nvPicPr>
        <xdr:cNvPr id="28" name="Picture 27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97203" y="44201863"/>
          <a:ext cx="2922952" cy="2170232"/>
        </a:xfrm>
        <a:prstGeom prst="rect">
          <a:avLst/>
        </a:prstGeom>
      </xdr:spPr>
    </xdr:pic>
    <xdr:clientData/>
  </xdr:twoCellAnchor>
  <xdr:twoCellAnchor editAs="oneCell">
    <xdr:from>
      <xdr:col>12</xdr:col>
      <xdr:colOff>461912</xdr:colOff>
      <xdr:row>200</xdr:row>
      <xdr:rowOff>14653</xdr:rowOff>
    </xdr:from>
    <xdr:to>
      <xdr:col>21</xdr:col>
      <xdr:colOff>200716</xdr:colOff>
      <xdr:row>208</xdr:row>
      <xdr:rowOff>143417</xdr:rowOff>
    </xdr:to>
    <xdr:pic>
      <xdr:nvPicPr>
        <xdr:cNvPr id="29" name="Picture 28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33837" y="46668103"/>
          <a:ext cx="3653579" cy="2014713"/>
        </a:xfrm>
        <a:prstGeom prst="rect">
          <a:avLst/>
        </a:prstGeom>
      </xdr:spPr>
    </xdr:pic>
    <xdr:clientData/>
  </xdr:twoCellAnchor>
  <xdr:twoCellAnchor editAs="oneCell">
    <xdr:from>
      <xdr:col>13</xdr:col>
      <xdr:colOff>212481</xdr:colOff>
      <xdr:row>322</xdr:row>
      <xdr:rowOff>223291</xdr:rowOff>
    </xdr:from>
    <xdr:to>
      <xdr:col>18</xdr:col>
      <xdr:colOff>219808</xdr:colOff>
      <xdr:row>338</xdr:row>
      <xdr:rowOff>128552</xdr:rowOff>
    </xdr:to>
    <xdr:pic>
      <xdr:nvPicPr>
        <xdr:cNvPr id="30" name="Picture 29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5536" r="-305"/>
        <a:stretch>
          <a:fillRect/>
        </a:stretch>
      </xdr:blipFill>
      <xdr:spPr>
        <a:xfrm>
          <a:off x="4674577" y="60326041"/>
          <a:ext cx="2388577" cy="3715261"/>
        </a:xfrm>
        <a:prstGeom prst="rect">
          <a:avLst/>
        </a:prstGeom>
      </xdr:spPr>
    </xdr:pic>
    <xdr:clientData/>
  </xdr:twoCellAnchor>
  <xdr:twoCellAnchor editAs="oneCell">
    <xdr:from>
      <xdr:col>15</xdr:col>
      <xdr:colOff>85085</xdr:colOff>
      <xdr:row>237</xdr:row>
      <xdr:rowOff>107674</xdr:rowOff>
    </xdr:from>
    <xdr:to>
      <xdr:col>27</xdr:col>
      <xdr:colOff>79448</xdr:colOff>
      <xdr:row>252</xdr:row>
      <xdr:rowOff>147778</xdr:rowOff>
    </xdr:to>
    <xdr:pic>
      <xdr:nvPicPr>
        <xdr:cNvPr id="31" name="Picture 30" descr="jõutegurid vantidele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85760" y="55409824"/>
          <a:ext cx="6385638" cy="3564354"/>
        </a:xfrm>
        <a:prstGeom prst="rect">
          <a:avLst/>
        </a:prstGeom>
      </xdr:spPr>
    </xdr:pic>
    <xdr:clientData/>
  </xdr:twoCellAnchor>
  <xdr:twoCellAnchor editAs="oneCell">
    <xdr:from>
      <xdr:col>13</xdr:col>
      <xdr:colOff>212480</xdr:colOff>
      <xdr:row>295</xdr:row>
      <xdr:rowOff>168520</xdr:rowOff>
    </xdr:from>
    <xdr:to>
      <xdr:col>18</xdr:col>
      <xdr:colOff>227134</xdr:colOff>
      <xdr:row>311</xdr:row>
      <xdr:rowOff>95762</xdr:rowOff>
    </xdr:to>
    <xdr:pic>
      <xdr:nvPicPr>
        <xdr:cNvPr id="34" name="Picture 33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5643" r="-519"/>
        <a:stretch>
          <a:fillRect/>
        </a:stretch>
      </xdr:blipFill>
      <xdr:spPr>
        <a:xfrm>
          <a:off x="4674576" y="53874866"/>
          <a:ext cx="2395904" cy="37152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40774</xdr:colOff>
      <xdr:row>6</xdr:row>
      <xdr:rowOff>86647</xdr:rowOff>
    </xdr:from>
    <xdr:to>
      <xdr:col>21</xdr:col>
      <xdr:colOff>36475</xdr:colOff>
      <xdr:row>20</xdr:row>
      <xdr:rowOff>143732</xdr:rowOff>
    </xdr:to>
    <xdr:pic>
      <xdr:nvPicPr>
        <xdr:cNvPr id="2" name="Picture 1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4699" y="1686847"/>
          <a:ext cx="2957976" cy="3314635"/>
        </a:xfrm>
        <a:prstGeom prst="rect">
          <a:avLst/>
        </a:prstGeom>
      </xdr:spPr>
    </xdr:pic>
    <xdr:clientData/>
  </xdr:twoCellAnchor>
  <xdr:twoCellAnchor editAs="oneCell">
    <xdr:from>
      <xdr:col>15</xdr:col>
      <xdr:colOff>253254</xdr:colOff>
      <xdr:row>39</xdr:row>
      <xdr:rowOff>225857</xdr:rowOff>
    </xdr:from>
    <xdr:to>
      <xdr:col>22</xdr:col>
      <xdr:colOff>248955</xdr:colOff>
      <xdr:row>54</xdr:row>
      <xdr:rowOff>32234</xdr:rowOff>
    </xdr:to>
    <xdr:pic>
      <xdr:nvPicPr>
        <xdr:cNvPr id="3" name="Picture 2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3429" y="9446057"/>
          <a:ext cx="2957976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53</xdr:row>
      <xdr:rowOff>84424</xdr:rowOff>
    </xdr:from>
    <xdr:to>
      <xdr:col>6</xdr:col>
      <xdr:colOff>454270</xdr:colOff>
      <xdr:row>55</xdr:row>
      <xdr:rowOff>46613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12581224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191457</xdr:colOff>
      <xdr:row>91</xdr:row>
      <xdr:rowOff>59576</xdr:rowOff>
    </xdr:from>
    <xdr:to>
      <xdr:col>6</xdr:col>
      <xdr:colOff>462553</xdr:colOff>
      <xdr:row>93</xdr:row>
      <xdr:rowOff>21765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21319376"/>
          <a:ext cx="1385521" cy="41938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219809</xdr:colOff>
      <xdr:row>70</xdr:row>
      <xdr:rowOff>131884</xdr:rowOff>
    </xdr:from>
    <xdr:to>
      <xdr:col>25</xdr:col>
      <xdr:colOff>168520</xdr:colOff>
      <xdr:row>85</xdr:row>
      <xdr:rowOff>83285</xdr:rowOff>
    </xdr:to>
    <xdr:pic>
      <xdr:nvPicPr>
        <xdr:cNvPr id="6" name="Picture 5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984" y="16514884"/>
          <a:ext cx="3063386" cy="3437551"/>
        </a:xfrm>
        <a:prstGeom prst="rect">
          <a:avLst/>
        </a:prstGeom>
      </xdr:spPr>
    </xdr:pic>
    <xdr:clientData/>
  </xdr:twoCellAnchor>
  <xdr:twoCellAnchor editAs="oneCell">
    <xdr:from>
      <xdr:col>24</xdr:col>
      <xdr:colOff>480392</xdr:colOff>
      <xdr:row>81</xdr:row>
      <xdr:rowOff>36634</xdr:rowOff>
    </xdr:from>
    <xdr:to>
      <xdr:col>28</xdr:col>
      <xdr:colOff>41413</xdr:colOff>
      <xdr:row>97</xdr:row>
      <xdr:rowOff>127520</xdr:rowOff>
    </xdr:to>
    <xdr:pic>
      <xdr:nvPicPr>
        <xdr:cNvPr id="7" name="Picture 6" descr="tuulesuunad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62987" r="3874"/>
        <a:stretch>
          <a:fillRect/>
        </a:stretch>
      </xdr:blipFill>
      <xdr:spPr>
        <a:xfrm>
          <a:off x="10063370" y="19169460"/>
          <a:ext cx="2310847" cy="3726951"/>
        </a:xfrm>
        <a:prstGeom prst="rect">
          <a:avLst/>
        </a:prstGeom>
      </xdr:spPr>
    </xdr:pic>
    <xdr:clientData/>
  </xdr:twoCellAnchor>
  <xdr:twoCellAnchor>
    <xdr:from>
      <xdr:col>11</xdr:col>
      <xdr:colOff>363499</xdr:colOff>
      <xdr:row>82</xdr:row>
      <xdr:rowOff>80595</xdr:rowOff>
    </xdr:from>
    <xdr:to>
      <xdr:col>15</xdr:col>
      <xdr:colOff>43962</xdr:colOff>
      <xdr:row>88</xdr:row>
      <xdr:rowOff>131884</xdr:rowOff>
    </xdr:to>
    <xdr:grpSp>
      <xdr:nvGrpSpPr>
        <xdr:cNvPr id="8" name="Group 7"/>
        <xdr:cNvGrpSpPr/>
      </xdr:nvGrpSpPr>
      <xdr:grpSpPr>
        <a:xfrm>
          <a:off x="3668674" y="18806745"/>
          <a:ext cx="1585463" cy="1422889"/>
          <a:chOff x="6384074" y="21936808"/>
          <a:chExt cx="3003911" cy="1414096"/>
        </a:xfrm>
      </xdr:grpSpPr>
      <xdr:sp macro="" textlink="">
        <xdr:nvSpPr>
          <xdr:cNvPr id="9" name="Freeform 8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10" name="Freeform 9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1" name="Straight Arrow Connector 10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352008</xdr:colOff>
      <xdr:row>106</xdr:row>
      <xdr:rowOff>58616</xdr:rowOff>
    </xdr:from>
    <xdr:to>
      <xdr:col>16</xdr:col>
      <xdr:colOff>17254</xdr:colOff>
      <xdr:row>112</xdr:row>
      <xdr:rowOff>9535</xdr:rowOff>
    </xdr:to>
    <xdr:pic>
      <xdr:nvPicPr>
        <xdr:cNvPr id="13" name="Picture 12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57183" y="24747416"/>
          <a:ext cx="2046496" cy="1341569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133</xdr:row>
      <xdr:rowOff>76141</xdr:rowOff>
    </xdr:from>
    <xdr:to>
      <xdr:col>6</xdr:col>
      <xdr:colOff>462553</xdr:colOff>
      <xdr:row>135</xdr:row>
      <xdr:rowOff>38330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31051441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11</xdr:col>
      <xdr:colOff>413659</xdr:colOff>
      <xdr:row>122</xdr:row>
      <xdr:rowOff>148636</xdr:rowOff>
    </xdr:from>
    <xdr:to>
      <xdr:col>16</xdr:col>
      <xdr:colOff>102579</xdr:colOff>
      <xdr:row>129</xdr:row>
      <xdr:rowOff>87922</xdr:rowOff>
    </xdr:to>
    <xdr:grpSp>
      <xdr:nvGrpSpPr>
        <xdr:cNvPr id="15" name="Group 14"/>
        <xdr:cNvGrpSpPr/>
      </xdr:nvGrpSpPr>
      <xdr:grpSpPr>
        <a:xfrm>
          <a:off x="3718834" y="27923536"/>
          <a:ext cx="2070170" cy="1539486"/>
          <a:chOff x="6440277" y="21936818"/>
          <a:chExt cx="2072249" cy="1414096"/>
        </a:xfrm>
      </xdr:grpSpPr>
      <xdr:sp macro="" textlink="">
        <xdr:nvSpPr>
          <xdr:cNvPr id="16" name="Freeform 15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7" name="Straight Arrow Connector 16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8" name="TextBox 17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11</xdr:col>
      <xdr:colOff>359335</xdr:colOff>
      <xdr:row>146</xdr:row>
      <xdr:rowOff>1</xdr:rowOff>
    </xdr:from>
    <xdr:to>
      <xdr:col>16</xdr:col>
      <xdr:colOff>17254</xdr:colOff>
      <xdr:row>152</xdr:row>
      <xdr:rowOff>125300</xdr:rowOff>
    </xdr:to>
    <xdr:pic>
      <xdr:nvPicPr>
        <xdr:cNvPr id="19" name="Picture 18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64510" y="34042351"/>
          <a:ext cx="2039169" cy="1515949"/>
        </a:xfrm>
        <a:prstGeom prst="rect">
          <a:avLst/>
        </a:prstGeom>
      </xdr:spPr>
    </xdr:pic>
    <xdr:clientData/>
  </xdr:twoCellAnchor>
  <xdr:twoCellAnchor editAs="oneCell">
    <xdr:from>
      <xdr:col>11</xdr:col>
      <xdr:colOff>315056</xdr:colOff>
      <xdr:row>153</xdr:row>
      <xdr:rowOff>180069</xdr:rowOff>
    </xdr:from>
    <xdr:to>
      <xdr:col>17</xdr:col>
      <xdr:colOff>476249</xdr:colOff>
      <xdr:row>160</xdr:row>
      <xdr:rowOff>190309</xdr:rowOff>
    </xdr:to>
    <xdr:pic>
      <xdr:nvPicPr>
        <xdr:cNvPr id="20" name="Picture 19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20231" y="35841669"/>
          <a:ext cx="3018693" cy="1667590"/>
        </a:xfrm>
        <a:prstGeom prst="rect">
          <a:avLst/>
        </a:prstGeom>
      </xdr:spPr>
    </xdr:pic>
    <xdr:clientData/>
  </xdr:twoCellAnchor>
  <xdr:twoCellAnchor editAs="oneCell">
    <xdr:from>
      <xdr:col>19</xdr:col>
      <xdr:colOff>139212</xdr:colOff>
      <xdr:row>220</xdr:row>
      <xdr:rowOff>175846</xdr:rowOff>
    </xdr:from>
    <xdr:to>
      <xdr:col>25</xdr:col>
      <xdr:colOff>87923</xdr:colOff>
      <xdr:row>236</xdr:row>
      <xdr:rowOff>59074</xdr:rowOff>
    </xdr:to>
    <xdr:pic>
      <xdr:nvPicPr>
        <xdr:cNvPr id="21" name="Picture 20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4387" y="51591796"/>
          <a:ext cx="3063386" cy="3578928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183</xdr:row>
      <xdr:rowOff>59576</xdr:rowOff>
    </xdr:from>
    <xdr:to>
      <xdr:col>6</xdr:col>
      <xdr:colOff>462553</xdr:colOff>
      <xdr:row>185</xdr:row>
      <xdr:rowOff>21765</xdr:rowOff>
    </xdr:to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42769676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172</xdr:row>
      <xdr:rowOff>148642</xdr:rowOff>
    </xdr:from>
    <xdr:to>
      <xdr:col>14</xdr:col>
      <xdr:colOff>175847</xdr:colOff>
      <xdr:row>179</xdr:row>
      <xdr:rowOff>87928</xdr:rowOff>
    </xdr:to>
    <xdr:grpSp>
      <xdr:nvGrpSpPr>
        <xdr:cNvPr id="23" name="Group 22"/>
        <xdr:cNvGrpSpPr/>
      </xdr:nvGrpSpPr>
      <xdr:grpSpPr>
        <a:xfrm>
          <a:off x="3806756" y="39353542"/>
          <a:ext cx="1103016" cy="1539486"/>
          <a:chOff x="6528288" y="21936825"/>
          <a:chExt cx="1984238" cy="1414096"/>
        </a:xfrm>
      </xdr:grpSpPr>
      <xdr:sp macro="" textlink="">
        <xdr:nvSpPr>
          <xdr:cNvPr id="24" name="Freeform 23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5" name="Straight Arrow Connector 24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TextBox 25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12</xdr:col>
      <xdr:colOff>425278</xdr:colOff>
      <xdr:row>191</xdr:row>
      <xdr:rowOff>139213</xdr:rowOff>
    </xdr:from>
    <xdr:to>
      <xdr:col>19</xdr:col>
      <xdr:colOff>14480</xdr:colOff>
      <xdr:row>200</xdr:row>
      <xdr:rowOff>181707</xdr:rowOff>
    </xdr:to>
    <xdr:pic>
      <xdr:nvPicPr>
        <xdr:cNvPr id="27" name="Picture 26" descr="otsa mõju tegur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06703" y="44716213"/>
          <a:ext cx="2922952" cy="2176094"/>
        </a:xfrm>
        <a:prstGeom prst="rect">
          <a:avLst/>
        </a:prstGeom>
      </xdr:spPr>
    </xdr:pic>
    <xdr:clientData/>
  </xdr:twoCellAnchor>
  <xdr:twoCellAnchor editAs="oneCell">
    <xdr:from>
      <xdr:col>12</xdr:col>
      <xdr:colOff>461912</xdr:colOff>
      <xdr:row>202</xdr:row>
      <xdr:rowOff>14653</xdr:rowOff>
    </xdr:from>
    <xdr:to>
      <xdr:col>21</xdr:col>
      <xdr:colOff>200716</xdr:colOff>
      <xdr:row>210</xdr:row>
      <xdr:rowOff>146347</xdr:rowOff>
    </xdr:to>
    <xdr:pic>
      <xdr:nvPicPr>
        <xdr:cNvPr id="28" name="Picture 27" descr="ümarate nurkade mõju tegu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43337" y="47182453"/>
          <a:ext cx="3653579" cy="2017644"/>
        </a:xfrm>
        <a:prstGeom prst="rect">
          <a:avLst/>
        </a:prstGeom>
      </xdr:spPr>
    </xdr:pic>
    <xdr:clientData/>
  </xdr:twoCellAnchor>
  <xdr:twoCellAnchor editAs="oneCell">
    <xdr:from>
      <xdr:col>15</xdr:col>
      <xdr:colOff>66261</xdr:colOff>
      <xdr:row>255</xdr:row>
      <xdr:rowOff>103191</xdr:rowOff>
    </xdr:from>
    <xdr:to>
      <xdr:col>20</xdr:col>
      <xdr:colOff>99391</xdr:colOff>
      <xdr:row>271</xdr:row>
      <xdr:rowOff>32917</xdr:rowOff>
    </xdr:to>
    <xdr:pic>
      <xdr:nvPicPr>
        <xdr:cNvPr id="29" name="Picture 28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5299" r="-354"/>
        <a:stretch>
          <a:fillRect/>
        </a:stretch>
      </xdr:blipFill>
      <xdr:spPr>
        <a:xfrm>
          <a:off x="5284304" y="60309474"/>
          <a:ext cx="2435087" cy="3756291"/>
        </a:xfrm>
        <a:prstGeom prst="rect">
          <a:avLst/>
        </a:prstGeom>
      </xdr:spPr>
    </xdr:pic>
    <xdr:clientData/>
  </xdr:twoCellAnchor>
  <xdr:twoCellAnchor editAs="oneCell">
    <xdr:from>
      <xdr:col>15</xdr:col>
      <xdr:colOff>85085</xdr:colOff>
      <xdr:row>239</xdr:row>
      <xdr:rowOff>107674</xdr:rowOff>
    </xdr:from>
    <xdr:to>
      <xdr:col>27</xdr:col>
      <xdr:colOff>79448</xdr:colOff>
      <xdr:row>254</xdr:row>
      <xdr:rowOff>144847</xdr:rowOff>
    </xdr:to>
    <xdr:pic>
      <xdr:nvPicPr>
        <xdr:cNvPr id="30" name="Picture 29" descr="jõutegurid vantidele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95260" y="55924174"/>
          <a:ext cx="6385638" cy="3561423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171451</xdr:colOff>
      <xdr:row>274</xdr:row>
      <xdr:rowOff>0</xdr:rowOff>
    </xdr:from>
    <xdr:to>
      <xdr:col>23</xdr:col>
      <xdr:colOff>86600</xdr:colOff>
      <xdr:row>284</xdr:row>
      <xdr:rowOff>57830</xdr:rowOff>
    </xdr:to>
    <xdr:pic>
      <xdr:nvPicPr>
        <xdr:cNvPr id="31" name="Picture 30" descr="tuulejõud juhtmetele_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57876" y="64065150"/>
          <a:ext cx="3086974" cy="240098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92851</xdr:colOff>
      <xdr:row>284</xdr:row>
      <xdr:rowOff>33942</xdr:rowOff>
    </xdr:from>
    <xdr:to>
      <xdr:col>22</xdr:col>
      <xdr:colOff>571500</xdr:colOff>
      <xdr:row>299</xdr:row>
      <xdr:rowOff>8199</xdr:rowOff>
    </xdr:to>
    <xdr:pic>
      <xdr:nvPicPr>
        <xdr:cNvPr id="32" name="Picture 31" descr="tuulejõud juhtmetele_2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779276" y="66442242"/>
          <a:ext cx="2964674" cy="3517557"/>
        </a:xfrm>
        <a:prstGeom prst="rect">
          <a:avLst/>
        </a:prstGeom>
      </xdr:spPr>
    </xdr:pic>
    <xdr:clientData/>
  </xdr:twoCellAnchor>
  <xdr:twoCellAnchor editAs="oneCell">
    <xdr:from>
      <xdr:col>22</xdr:col>
      <xdr:colOff>670680</xdr:colOff>
      <xdr:row>288</xdr:row>
      <xdr:rowOff>47625</xdr:rowOff>
    </xdr:from>
    <xdr:to>
      <xdr:col>27</xdr:col>
      <xdr:colOff>658053</xdr:colOff>
      <xdr:row>292</xdr:row>
      <xdr:rowOff>38329</xdr:rowOff>
    </xdr:to>
    <xdr:pic>
      <xdr:nvPicPr>
        <xdr:cNvPr id="33" name="Picture 32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843130" y="67389375"/>
          <a:ext cx="3416373" cy="943204"/>
        </a:xfrm>
        <a:prstGeom prst="rect">
          <a:avLst/>
        </a:prstGeom>
      </xdr:spPr>
    </xdr:pic>
    <xdr:clientData/>
  </xdr:twoCellAnchor>
  <xdr:twoCellAnchor editAs="oneCell">
    <xdr:from>
      <xdr:col>22</xdr:col>
      <xdr:colOff>619125</xdr:colOff>
      <xdr:row>292</xdr:row>
      <xdr:rowOff>11392</xdr:rowOff>
    </xdr:from>
    <xdr:to>
      <xdr:col>28</xdr:col>
      <xdr:colOff>458054</xdr:colOff>
      <xdr:row>295</xdr:row>
      <xdr:rowOff>38258</xdr:rowOff>
    </xdr:to>
    <xdr:pic>
      <xdr:nvPicPr>
        <xdr:cNvPr id="34" name="Picture 33" descr="juhtme tuuletakistustegur_jää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91575" y="68305642"/>
          <a:ext cx="3953729" cy="731716"/>
        </a:xfrm>
        <a:prstGeom prst="rect">
          <a:avLst/>
        </a:prstGeom>
      </xdr:spPr>
    </xdr:pic>
    <xdr:clientData/>
  </xdr:twoCellAnchor>
  <xdr:twoCellAnchor editAs="oneCell">
    <xdr:from>
      <xdr:col>16</xdr:col>
      <xdr:colOff>70605</xdr:colOff>
      <xdr:row>341</xdr:row>
      <xdr:rowOff>219075</xdr:rowOff>
    </xdr:from>
    <xdr:to>
      <xdr:col>23</xdr:col>
      <xdr:colOff>315153</xdr:colOff>
      <xdr:row>345</xdr:row>
      <xdr:rowOff>209780</xdr:rowOff>
    </xdr:to>
    <xdr:pic>
      <xdr:nvPicPr>
        <xdr:cNvPr id="35" name="Picture 34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57030" y="80095725"/>
          <a:ext cx="3416373" cy="943205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345</xdr:row>
      <xdr:rowOff>182842</xdr:rowOff>
    </xdr:from>
    <xdr:to>
      <xdr:col>24</xdr:col>
      <xdr:colOff>115154</xdr:colOff>
      <xdr:row>348</xdr:row>
      <xdr:rowOff>209708</xdr:rowOff>
    </xdr:to>
    <xdr:pic>
      <xdr:nvPicPr>
        <xdr:cNvPr id="36" name="Picture 35" descr="juhtme tuuletakistustegur_jää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05475" y="81011992"/>
          <a:ext cx="3953729" cy="73171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365</xdr:row>
      <xdr:rowOff>0</xdr:rowOff>
    </xdr:from>
    <xdr:to>
      <xdr:col>22</xdr:col>
      <xdr:colOff>66675</xdr:colOff>
      <xdr:row>369</xdr:row>
      <xdr:rowOff>179410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90975" y="85591650"/>
          <a:ext cx="4248150" cy="1112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200025</xdr:colOff>
      <xdr:row>369</xdr:row>
      <xdr:rowOff>161926</xdr:rowOff>
    </xdr:from>
    <xdr:to>
      <xdr:col>22</xdr:col>
      <xdr:colOff>47625</xdr:colOff>
      <xdr:row>374</xdr:row>
      <xdr:rowOff>161926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81450" y="86687026"/>
          <a:ext cx="42386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219076</xdr:colOff>
      <xdr:row>366</xdr:row>
      <xdr:rowOff>104775</xdr:rowOff>
    </xdr:from>
    <xdr:to>
      <xdr:col>25</xdr:col>
      <xdr:colOff>7334</xdr:colOff>
      <xdr:row>370</xdr:row>
      <xdr:rowOff>219074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391526" y="85925025"/>
          <a:ext cx="1845658" cy="1066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200025</xdr:colOff>
      <xdr:row>313</xdr:row>
      <xdr:rowOff>161926</xdr:rowOff>
    </xdr:from>
    <xdr:to>
      <xdr:col>22</xdr:col>
      <xdr:colOff>47625</xdr:colOff>
      <xdr:row>318</xdr:row>
      <xdr:rowOff>161926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81450" y="73447276"/>
          <a:ext cx="42386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171451</xdr:colOff>
      <xdr:row>385</xdr:row>
      <xdr:rowOff>0</xdr:rowOff>
    </xdr:from>
    <xdr:to>
      <xdr:col>23</xdr:col>
      <xdr:colOff>86600</xdr:colOff>
      <xdr:row>395</xdr:row>
      <xdr:rowOff>57830</xdr:rowOff>
    </xdr:to>
    <xdr:pic>
      <xdr:nvPicPr>
        <xdr:cNvPr id="41" name="Picture 40" descr="tuulejõud juhtmetele_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57876" y="90316050"/>
          <a:ext cx="3086974" cy="2400980"/>
        </a:xfrm>
        <a:prstGeom prst="rect">
          <a:avLst/>
        </a:prstGeom>
      </xdr:spPr>
    </xdr:pic>
    <xdr:clientData/>
  </xdr:twoCellAnchor>
  <xdr:twoCellAnchor editAs="oneCell">
    <xdr:from>
      <xdr:col>17</xdr:col>
      <xdr:colOff>165855</xdr:colOff>
      <xdr:row>397</xdr:row>
      <xdr:rowOff>142875</xdr:rowOff>
    </xdr:from>
    <xdr:to>
      <xdr:col>24</xdr:col>
      <xdr:colOff>200853</xdr:colOff>
      <xdr:row>401</xdr:row>
      <xdr:rowOff>133578</xdr:rowOff>
    </xdr:to>
    <xdr:pic>
      <xdr:nvPicPr>
        <xdr:cNvPr id="42" name="Picture 41" descr="juhtme tuuletakistustegur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28530" y="93259275"/>
          <a:ext cx="3416373" cy="943203"/>
        </a:xfrm>
        <a:prstGeom prst="rect">
          <a:avLst/>
        </a:prstGeom>
      </xdr:spPr>
    </xdr:pic>
    <xdr:clientData/>
  </xdr:twoCellAnchor>
  <xdr:twoCellAnchor>
    <xdr:from>
      <xdr:col>29</xdr:col>
      <xdr:colOff>581025</xdr:colOff>
      <xdr:row>334</xdr:row>
      <xdr:rowOff>133350</xdr:rowOff>
    </xdr:from>
    <xdr:to>
      <xdr:col>30</xdr:col>
      <xdr:colOff>180975</xdr:colOff>
      <xdr:row>335</xdr:row>
      <xdr:rowOff>171450</xdr:rowOff>
    </xdr:to>
    <xdr:sp macro="" textlink="">
      <xdr:nvSpPr>
        <xdr:cNvPr id="43" name="TextBox 42"/>
        <xdr:cNvSpPr txBox="1"/>
      </xdr:nvSpPr>
      <xdr:spPr>
        <a:xfrm>
          <a:off x="13554075" y="78390750"/>
          <a:ext cx="285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V</a:t>
          </a:r>
        </a:p>
      </xdr:txBody>
    </xdr:sp>
    <xdr:clientData/>
  </xdr:twoCellAnchor>
  <xdr:twoCellAnchor>
    <xdr:from>
      <xdr:col>16</xdr:col>
      <xdr:colOff>171451</xdr:colOff>
      <xdr:row>327</xdr:row>
      <xdr:rowOff>142875</xdr:rowOff>
    </xdr:from>
    <xdr:to>
      <xdr:col>30</xdr:col>
      <xdr:colOff>76200</xdr:colOff>
      <xdr:row>339</xdr:row>
      <xdr:rowOff>57830</xdr:rowOff>
    </xdr:to>
    <xdr:grpSp>
      <xdr:nvGrpSpPr>
        <xdr:cNvPr id="44" name="Group 43"/>
        <xdr:cNvGrpSpPr/>
      </xdr:nvGrpSpPr>
      <xdr:grpSpPr>
        <a:xfrm>
          <a:off x="5857876" y="74780775"/>
          <a:ext cx="7877174" cy="2658155"/>
          <a:chOff x="5869886" y="86124636"/>
          <a:chExt cx="7914031" cy="2747607"/>
        </a:xfrm>
      </xdr:grpSpPr>
      <xdr:cxnSp macro="">
        <xdr:nvCxnSpPr>
          <xdr:cNvPr id="45" name="Straight Arrow Connector 44"/>
          <xdr:cNvCxnSpPr/>
        </xdr:nvCxnSpPr>
        <xdr:spPr>
          <a:xfrm flipH="1">
            <a:off x="12637604" y="87838308"/>
            <a:ext cx="982732" cy="20333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6" name="Group 92"/>
          <xdr:cNvGrpSpPr/>
        </xdr:nvGrpSpPr>
        <xdr:grpSpPr>
          <a:xfrm>
            <a:off x="5869886" y="86124636"/>
            <a:ext cx="7914031" cy="2747607"/>
            <a:chOff x="5869886" y="86124636"/>
            <a:chExt cx="7914031" cy="2747607"/>
          </a:xfrm>
        </xdr:grpSpPr>
        <xdr:pic>
          <xdr:nvPicPr>
            <xdr:cNvPr id="48" name="Picture 47" descr="tuulejõud juhtmetele_1.PNG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/>
            <a:stretch>
              <a:fillRect/>
            </a:stretch>
          </xdr:blipFill>
          <xdr:spPr>
            <a:xfrm>
              <a:off x="5869886" y="86445587"/>
              <a:ext cx="3112236" cy="2426656"/>
            </a:xfrm>
            <a:prstGeom prst="rect">
              <a:avLst/>
            </a:prstGeom>
          </xdr:spPr>
        </xdr:pic>
        <xdr:grpSp>
          <xdr:nvGrpSpPr>
            <xdr:cNvPr id="49" name="Group 91"/>
            <xdr:cNvGrpSpPr/>
          </xdr:nvGrpSpPr>
          <xdr:grpSpPr>
            <a:xfrm>
              <a:off x="9524172" y="86124636"/>
              <a:ext cx="4259745" cy="2534064"/>
              <a:chOff x="9486900" y="85220175"/>
              <a:chExt cx="4248150" cy="2505075"/>
            </a:xfrm>
          </xdr:grpSpPr>
          <xdr:cxnSp macro="">
            <xdr:nvCxnSpPr>
              <xdr:cNvPr id="50" name="Straight Connector 49"/>
              <xdr:cNvCxnSpPr/>
            </xdr:nvCxnSpPr>
            <xdr:spPr>
              <a:xfrm>
                <a:off x="9486900" y="86591775"/>
                <a:ext cx="16287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1" name="Rectangle 50"/>
              <xdr:cNvSpPr/>
            </xdr:nvSpPr>
            <xdr:spPr>
              <a:xfrm>
                <a:off x="11068050" y="86382225"/>
                <a:ext cx="523875" cy="476250"/>
              </a:xfrm>
              <a:prstGeom prst="rect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lang="et-EE" sz="1100"/>
                  <a:t>mast</a:t>
                </a:r>
              </a:p>
            </xdr:txBody>
          </xdr:sp>
          <xdr:cxnSp macro="">
            <xdr:nvCxnSpPr>
              <xdr:cNvPr id="52" name="Straight Connector 51"/>
              <xdr:cNvCxnSpPr>
                <a:stCxn id="51" idx="3"/>
              </xdr:cNvCxnSpPr>
            </xdr:nvCxnSpPr>
            <xdr:spPr>
              <a:xfrm flipV="1">
                <a:off x="11591925" y="86610826"/>
                <a:ext cx="581025" cy="9524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" name="Straight Connector 52"/>
              <xdr:cNvCxnSpPr>
                <a:stCxn id="51" idx="3"/>
              </xdr:cNvCxnSpPr>
            </xdr:nvCxnSpPr>
            <xdr:spPr>
              <a:xfrm>
                <a:off x="11591925" y="86620350"/>
                <a:ext cx="2143125" cy="110490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Straight Connector 53"/>
              <xdr:cNvCxnSpPr/>
            </xdr:nvCxnSpPr>
            <xdr:spPr>
              <a:xfrm flipV="1">
                <a:off x="12582525" y="86506050"/>
                <a:ext cx="447675" cy="6191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Straight Arrow Connector 54"/>
              <xdr:cNvCxnSpPr/>
            </xdr:nvCxnSpPr>
            <xdr:spPr>
              <a:xfrm>
                <a:off x="11353800" y="85220175"/>
                <a:ext cx="0" cy="809625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Straight Arrow Connector 55"/>
              <xdr:cNvCxnSpPr/>
            </xdr:nvCxnSpPr>
            <xdr:spPr>
              <a:xfrm>
                <a:off x="11182350" y="85658325"/>
                <a:ext cx="800100" cy="0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7" name="TextBox 56"/>
              <xdr:cNvSpPr txBox="1"/>
            </xdr:nvSpPr>
            <xdr:spPr>
              <a:xfrm>
                <a:off x="11649075" y="85448775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x</a:t>
                </a:r>
              </a:p>
            </xdr:txBody>
          </xdr:sp>
          <xdr:sp macro="" textlink="">
            <xdr:nvSpPr>
              <xdr:cNvPr id="58" name="TextBox 57"/>
              <xdr:cNvSpPr txBox="1"/>
            </xdr:nvSpPr>
            <xdr:spPr>
              <a:xfrm>
                <a:off x="11039475" y="85239225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y</a:t>
                </a:r>
              </a:p>
            </xdr:txBody>
          </xdr:sp>
          <xdr:sp macro="" textlink="">
            <xdr:nvSpPr>
              <xdr:cNvPr id="59" name="TextBox 58"/>
              <xdr:cNvSpPr txBox="1"/>
            </xdr:nvSpPr>
            <xdr:spPr>
              <a:xfrm>
                <a:off x="11849100" y="86582250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t-EE" sz="1100"/>
                  <a:t>α</a:t>
                </a:r>
              </a:p>
            </xdr:txBody>
          </xdr:sp>
          <xdr:sp macro="" textlink="">
            <xdr:nvSpPr>
              <xdr:cNvPr id="60" name="TextBox 59"/>
              <xdr:cNvSpPr txBox="1"/>
            </xdr:nvSpPr>
            <xdr:spPr>
              <a:xfrm>
                <a:off x="12753975" y="86772750"/>
                <a:ext cx="285750" cy="2667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l-GR" sz="1100"/>
                  <a:t>φ</a:t>
                </a:r>
                <a:endParaRPr lang="et-EE" sz="1100"/>
              </a:p>
            </xdr:txBody>
          </xdr:sp>
          <xdr:sp macro="" textlink="">
            <xdr:nvSpPr>
              <xdr:cNvPr id="61" name="Arc 60"/>
              <xdr:cNvSpPr/>
            </xdr:nvSpPr>
            <xdr:spPr>
              <a:xfrm>
                <a:off x="12582525" y="86744175"/>
                <a:ext cx="552450" cy="571499"/>
              </a:xfrm>
              <a:prstGeom prst="arc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t-EE" sz="1100"/>
              </a:p>
            </xdr:txBody>
          </xdr:sp>
        </xdr:grpSp>
      </xdr:grpSp>
      <xdr:sp macro="" textlink="">
        <xdr:nvSpPr>
          <xdr:cNvPr id="47" name="Arc 46"/>
          <xdr:cNvSpPr/>
        </xdr:nvSpPr>
        <xdr:spPr>
          <a:xfrm rot="5689720">
            <a:off x="11785236" y="87301366"/>
            <a:ext cx="487440" cy="437067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</xdr:grpSp>
    <xdr:clientData/>
  </xdr:twoCellAnchor>
  <xdr:twoCellAnchor editAs="oneCell">
    <xdr:from>
      <xdr:col>14</xdr:col>
      <xdr:colOff>165653</xdr:colOff>
      <xdr:row>21</xdr:row>
      <xdr:rowOff>132522</xdr:rowOff>
    </xdr:from>
    <xdr:to>
      <xdr:col>19</xdr:col>
      <xdr:colOff>414131</xdr:colOff>
      <xdr:row>37</xdr:row>
      <xdr:rowOff>95379</xdr:rowOff>
    </xdr:to>
    <xdr:pic>
      <xdr:nvPicPr>
        <xdr:cNvPr id="62" name="Picture 61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746" r="-2902"/>
        <a:stretch>
          <a:fillRect/>
        </a:stretch>
      </xdr:blipFill>
      <xdr:spPr>
        <a:xfrm>
          <a:off x="4903305" y="5176631"/>
          <a:ext cx="2650435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455544</xdr:colOff>
      <xdr:row>55</xdr:row>
      <xdr:rowOff>74543</xdr:rowOff>
    </xdr:from>
    <xdr:to>
      <xdr:col>20</xdr:col>
      <xdr:colOff>41414</xdr:colOff>
      <xdr:row>71</xdr:row>
      <xdr:rowOff>145073</xdr:rowOff>
    </xdr:to>
    <xdr:pic>
      <xdr:nvPicPr>
        <xdr:cNvPr id="63" name="Picture 62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865" r="-398"/>
        <a:stretch>
          <a:fillRect/>
        </a:stretch>
      </xdr:blipFill>
      <xdr:spPr>
        <a:xfrm>
          <a:off x="5193196" y="13152782"/>
          <a:ext cx="2468218" cy="3756291"/>
        </a:xfrm>
        <a:prstGeom prst="rect">
          <a:avLst/>
        </a:prstGeom>
      </xdr:spPr>
    </xdr:pic>
    <xdr:clientData/>
  </xdr:twoCellAnchor>
  <xdr:twoCellAnchor editAs="oneCell">
    <xdr:from>
      <xdr:col>16</xdr:col>
      <xdr:colOff>430695</xdr:colOff>
      <xdr:row>110</xdr:row>
      <xdr:rowOff>165652</xdr:rowOff>
    </xdr:from>
    <xdr:to>
      <xdr:col>22</xdr:col>
      <xdr:colOff>339587</xdr:colOff>
      <xdr:row>126</xdr:row>
      <xdr:rowOff>145074</xdr:rowOff>
    </xdr:to>
    <xdr:pic>
      <xdr:nvPicPr>
        <xdr:cNvPr id="64" name="Picture 63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5462" r="-280"/>
        <a:stretch>
          <a:fillRect/>
        </a:stretch>
      </xdr:blipFill>
      <xdr:spPr>
        <a:xfrm>
          <a:off x="6129130" y="26015674"/>
          <a:ext cx="2418522" cy="3756291"/>
        </a:xfrm>
        <a:prstGeom prst="rect">
          <a:avLst/>
        </a:prstGeom>
      </xdr:spPr>
    </xdr:pic>
    <xdr:clientData/>
  </xdr:twoCellAnchor>
  <xdr:twoCellAnchor editAs="oneCell">
    <xdr:from>
      <xdr:col>15</xdr:col>
      <xdr:colOff>16566</xdr:colOff>
      <xdr:row>159</xdr:row>
      <xdr:rowOff>165652</xdr:rowOff>
    </xdr:from>
    <xdr:to>
      <xdr:col>21</xdr:col>
      <xdr:colOff>74543</xdr:colOff>
      <xdr:row>175</xdr:row>
      <xdr:rowOff>128508</xdr:rowOff>
    </xdr:to>
    <xdr:pic>
      <xdr:nvPicPr>
        <xdr:cNvPr id="65" name="Picture 64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746" r="-1710"/>
        <a:stretch>
          <a:fillRect/>
        </a:stretch>
      </xdr:blipFill>
      <xdr:spPr>
        <a:xfrm>
          <a:off x="5234609" y="37627891"/>
          <a:ext cx="2567608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323022</xdr:colOff>
      <xdr:row>297</xdr:row>
      <xdr:rowOff>49696</xdr:rowOff>
    </xdr:from>
    <xdr:to>
      <xdr:col>19</xdr:col>
      <xdr:colOff>438977</xdr:colOff>
      <xdr:row>312</xdr:row>
      <xdr:rowOff>211335</xdr:rowOff>
    </xdr:to>
    <xdr:pic>
      <xdr:nvPicPr>
        <xdr:cNvPr id="66" name="Picture 65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583" r="-831"/>
        <a:stretch>
          <a:fillRect/>
        </a:stretch>
      </xdr:blipFill>
      <xdr:spPr>
        <a:xfrm>
          <a:off x="5060674" y="70244805"/>
          <a:ext cx="2517912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331304</xdr:colOff>
      <xdr:row>349</xdr:row>
      <xdr:rowOff>124238</xdr:rowOff>
    </xdr:from>
    <xdr:to>
      <xdr:col>19</xdr:col>
      <xdr:colOff>455543</xdr:colOff>
      <xdr:row>365</xdr:row>
      <xdr:rowOff>37399</xdr:rowOff>
    </xdr:to>
    <xdr:pic>
      <xdr:nvPicPr>
        <xdr:cNvPr id="67" name="Picture 66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464" r="-832"/>
        <a:stretch>
          <a:fillRect/>
        </a:stretch>
      </xdr:blipFill>
      <xdr:spPr>
        <a:xfrm>
          <a:off x="5068956" y="82743260"/>
          <a:ext cx="2526196" cy="3756291"/>
        </a:xfrm>
        <a:prstGeom prst="rect">
          <a:avLst/>
        </a:prstGeom>
      </xdr:spPr>
    </xdr:pic>
    <xdr:clientData/>
  </xdr:twoCellAnchor>
  <xdr:twoCellAnchor editAs="oneCell">
    <xdr:from>
      <xdr:col>14</xdr:col>
      <xdr:colOff>140804</xdr:colOff>
      <xdr:row>404</xdr:row>
      <xdr:rowOff>115956</xdr:rowOff>
    </xdr:from>
    <xdr:to>
      <xdr:col>19</xdr:col>
      <xdr:colOff>215347</xdr:colOff>
      <xdr:row>420</xdr:row>
      <xdr:rowOff>12551</xdr:rowOff>
    </xdr:to>
    <xdr:pic>
      <xdr:nvPicPr>
        <xdr:cNvPr id="68" name="Picture 67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584" r="-235"/>
        <a:stretch>
          <a:fillRect/>
        </a:stretch>
      </xdr:blipFill>
      <xdr:spPr>
        <a:xfrm>
          <a:off x="4878456" y="95854630"/>
          <a:ext cx="2476500" cy="37562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213634</xdr:colOff>
      <xdr:row>45</xdr:row>
      <xdr:rowOff>167685</xdr:rowOff>
    </xdr:from>
    <xdr:to>
      <xdr:col>15</xdr:col>
      <xdr:colOff>304800</xdr:colOff>
      <xdr:row>49</xdr:row>
      <xdr:rowOff>19050</xdr:rowOff>
    </xdr:to>
    <xdr:grpSp>
      <xdr:nvGrpSpPr>
        <xdr:cNvPr id="10" name="Group 9"/>
        <xdr:cNvGrpSpPr/>
      </xdr:nvGrpSpPr>
      <xdr:grpSpPr>
        <a:xfrm>
          <a:off x="4185559" y="10854735"/>
          <a:ext cx="1519916" cy="765765"/>
          <a:chOff x="6440277" y="21936818"/>
          <a:chExt cx="2072249" cy="1414096"/>
        </a:xfrm>
      </xdr:grpSpPr>
      <xdr:sp macro="" textlink="">
        <xdr:nvSpPr>
          <xdr:cNvPr id="11" name="Freeform 10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12" name="Straight Arrow Connector 11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19</xdr:col>
      <xdr:colOff>367812</xdr:colOff>
      <xdr:row>39</xdr:row>
      <xdr:rowOff>200025</xdr:rowOff>
    </xdr:from>
    <xdr:to>
      <xdr:col>25</xdr:col>
      <xdr:colOff>316523</xdr:colOff>
      <xdr:row>55</xdr:row>
      <xdr:rowOff>61272</xdr:rowOff>
    </xdr:to>
    <xdr:pic>
      <xdr:nvPicPr>
        <xdr:cNvPr id="16" name="Picture 15" descr="masti_skeem_2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73487" y="9477375"/>
          <a:ext cx="3063386" cy="3595047"/>
        </a:xfrm>
        <a:prstGeom prst="rect">
          <a:avLst/>
        </a:prstGeom>
      </xdr:spPr>
    </xdr:pic>
    <xdr:clientData/>
  </xdr:twoCellAnchor>
  <xdr:twoCellAnchor>
    <xdr:from>
      <xdr:col>12</xdr:col>
      <xdr:colOff>133350</xdr:colOff>
      <xdr:row>57</xdr:row>
      <xdr:rowOff>5767</xdr:rowOff>
    </xdr:from>
    <xdr:to>
      <xdr:col>14</xdr:col>
      <xdr:colOff>428625</xdr:colOff>
      <xdr:row>60</xdr:row>
      <xdr:rowOff>85725</xdr:rowOff>
    </xdr:to>
    <xdr:grpSp>
      <xdr:nvGrpSpPr>
        <xdr:cNvPr id="18" name="Group 17"/>
        <xdr:cNvGrpSpPr/>
      </xdr:nvGrpSpPr>
      <xdr:grpSpPr>
        <a:xfrm>
          <a:off x="4105275" y="13474117"/>
          <a:ext cx="1247775" cy="765758"/>
          <a:chOff x="6528288" y="21936825"/>
          <a:chExt cx="1984238" cy="1414096"/>
        </a:xfrm>
      </xdr:grpSpPr>
      <xdr:sp macro="" textlink="">
        <xdr:nvSpPr>
          <xdr:cNvPr id="19" name="Freeform 18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0" name="Straight Arrow Connector 19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 editAs="oneCell">
    <xdr:from>
      <xdr:col>15</xdr:col>
      <xdr:colOff>314325</xdr:colOff>
      <xdr:row>65</xdr:row>
      <xdr:rowOff>133350</xdr:rowOff>
    </xdr:from>
    <xdr:to>
      <xdr:col>24</xdr:col>
      <xdr:colOff>76199</xdr:colOff>
      <xdr:row>78</xdr:row>
      <xdr:rowOff>132186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15468600"/>
          <a:ext cx="4095749" cy="30277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228600</xdr:colOff>
      <xdr:row>109</xdr:row>
      <xdr:rowOff>114300</xdr:rowOff>
    </xdr:from>
    <xdr:to>
      <xdr:col>24</xdr:col>
      <xdr:colOff>466724</xdr:colOff>
      <xdr:row>122</xdr:row>
      <xdr:rowOff>75036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05525" y="25812750"/>
          <a:ext cx="4095749" cy="30277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66674</xdr:colOff>
      <xdr:row>106</xdr:row>
      <xdr:rowOff>28575</xdr:rowOff>
    </xdr:from>
    <xdr:to>
      <xdr:col>18</xdr:col>
      <xdr:colOff>133349</xdr:colOff>
      <xdr:row>108</xdr:row>
      <xdr:rowOff>104775</xdr:rowOff>
    </xdr:to>
    <xdr:sp macro="" textlink="">
      <xdr:nvSpPr>
        <xdr:cNvPr id="17" name="TextBox 16"/>
        <xdr:cNvSpPr txBox="1"/>
      </xdr:nvSpPr>
      <xdr:spPr>
        <a:xfrm>
          <a:off x="400049" y="25727025"/>
          <a:ext cx="656272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Kuna jäitekoormus</a:t>
          </a:r>
          <a:r>
            <a:rPr lang="et-EE" sz="1100" baseline="0"/>
            <a:t> 330kV isolaatorketile jääb vahemikku 0,1-0,2 kN, ning 110kV isolaatorketile on jäitekoormus veelgi väiksem, siis jätan isolaatorkettidele mõjuva jäitekoormuse arvestamata. Koormus on hüljatavalt väike.</a:t>
          </a:r>
          <a:endParaRPr lang="et-E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24</xdr:row>
      <xdr:rowOff>133350</xdr:rowOff>
    </xdr:from>
    <xdr:to>
      <xdr:col>24</xdr:col>
      <xdr:colOff>36931</xdr:colOff>
      <xdr:row>39</xdr:row>
      <xdr:rowOff>19051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72713850"/>
          <a:ext cx="3808831" cy="36766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43</xdr:row>
      <xdr:rowOff>219076</xdr:rowOff>
    </xdr:from>
    <xdr:to>
      <xdr:col>23</xdr:col>
      <xdr:colOff>171451</xdr:colOff>
      <xdr:row>48</xdr:row>
      <xdr:rowOff>116206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6" y="76685776"/>
          <a:ext cx="3038475" cy="1135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49</xdr:row>
      <xdr:rowOff>104776</xdr:rowOff>
    </xdr:from>
    <xdr:to>
      <xdr:col>23</xdr:col>
      <xdr:colOff>104777</xdr:colOff>
      <xdr:row>53</xdr:row>
      <xdr:rowOff>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72177" y="77943076"/>
          <a:ext cx="2990850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85725</xdr:colOff>
      <xdr:row>64</xdr:row>
      <xdr:rowOff>133350</xdr:rowOff>
    </xdr:from>
    <xdr:to>
      <xdr:col>24</xdr:col>
      <xdr:colOff>36931</xdr:colOff>
      <xdr:row>79</xdr:row>
      <xdr:rowOff>19051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50" y="120015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82</xdr:row>
      <xdr:rowOff>219076</xdr:rowOff>
    </xdr:from>
    <xdr:to>
      <xdr:col>23</xdr:col>
      <xdr:colOff>171451</xdr:colOff>
      <xdr:row>87</xdr:row>
      <xdr:rowOff>116206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43626" y="528637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88</xdr:row>
      <xdr:rowOff>104776</xdr:rowOff>
    </xdr:from>
    <xdr:to>
      <xdr:col>23</xdr:col>
      <xdr:colOff>104777</xdr:colOff>
      <xdr:row>92</xdr:row>
      <xdr:rowOff>1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24577" y="6638926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85725</xdr:colOff>
      <xdr:row>103</xdr:row>
      <xdr:rowOff>133350</xdr:rowOff>
    </xdr:from>
    <xdr:to>
      <xdr:col>24</xdr:col>
      <xdr:colOff>36931</xdr:colOff>
      <xdr:row>118</xdr:row>
      <xdr:rowOff>19051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1049655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121</xdr:row>
      <xdr:rowOff>219076</xdr:rowOff>
    </xdr:from>
    <xdr:to>
      <xdr:col>23</xdr:col>
      <xdr:colOff>171451</xdr:colOff>
      <xdr:row>126</xdr:row>
      <xdr:rowOff>116206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1481137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127</xdr:row>
      <xdr:rowOff>104776</xdr:rowOff>
    </xdr:from>
    <xdr:to>
      <xdr:col>23</xdr:col>
      <xdr:colOff>104777</xdr:colOff>
      <xdr:row>131</xdr:row>
      <xdr:rowOff>1</xdr:rowOff>
    </xdr:to>
    <xdr:pic>
      <xdr:nvPicPr>
        <xdr:cNvPr id="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16163926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200025</xdr:colOff>
      <xdr:row>3</xdr:row>
      <xdr:rowOff>57150</xdr:rowOff>
    </xdr:from>
    <xdr:to>
      <xdr:col>11</xdr:col>
      <xdr:colOff>9525</xdr:colOff>
      <xdr:row>21</xdr:row>
      <xdr:rowOff>3441</xdr:rowOff>
    </xdr:to>
    <xdr:pic>
      <xdr:nvPicPr>
        <xdr:cNvPr id="29" name="Picture 28" descr="tuulesuunad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67587"/>
        <a:stretch>
          <a:fillRect/>
        </a:stretch>
      </xdr:blipFill>
      <xdr:spPr>
        <a:xfrm>
          <a:off x="1695450" y="685800"/>
          <a:ext cx="2228850" cy="3718191"/>
        </a:xfrm>
        <a:prstGeom prst="rect">
          <a:avLst/>
        </a:prstGeom>
      </xdr:spPr>
    </xdr:pic>
    <xdr:clientData/>
  </xdr:twoCellAnchor>
  <xdr:twoCellAnchor editAs="oneCell">
    <xdr:from>
      <xdr:col>14</xdr:col>
      <xdr:colOff>40774</xdr:colOff>
      <xdr:row>150</xdr:row>
      <xdr:rowOff>86647</xdr:rowOff>
    </xdr:from>
    <xdr:to>
      <xdr:col>21</xdr:col>
      <xdr:colOff>36475</xdr:colOff>
      <xdr:row>164</xdr:row>
      <xdr:rowOff>143732</xdr:rowOff>
    </xdr:to>
    <xdr:pic>
      <xdr:nvPicPr>
        <xdr:cNvPr id="12" name="Picture 11" descr="masti_skeem_2x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74699" y="1686847"/>
          <a:ext cx="2957976" cy="3314635"/>
        </a:xfrm>
        <a:prstGeom prst="rect">
          <a:avLst/>
        </a:prstGeom>
      </xdr:spPr>
    </xdr:pic>
    <xdr:clientData/>
  </xdr:twoCellAnchor>
  <xdr:twoCellAnchor editAs="oneCell">
    <xdr:from>
      <xdr:col>16</xdr:col>
      <xdr:colOff>318257</xdr:colOff>
      <xdr:row>165</xdr:row>
      <xdr:rowOff>65945</xdr:rowOff>
    </xdr:from>
    <xdr:to>
      <xdr:col>22</xdr:col>
      <xdr:colOff>51416</xdr:colOff>
      <xdr:row>180</xdr:row>
      <xdr:rowOff>233032</xdr:rowOff>
    </xdr:to>
    <xdr:pic>
      <xdr:nvPicPr>
        <xdr:cNvPr id="13" name="Picture 12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r="67837"/>
        <a:stretch>
          <a:fillRect/>
        </a:stretch>
      </xdr:blipFill>
      <xdr:spPr>
        <a:xfrm>
          <a:off x="6004682" y="5076095"/>
          <a:ext cx="2219184" cy="3691337"/>
        </a:xfrm>
        <a:prstGeom prst="rect">
          <a:avLst/>
        </a:prstGeom>
      </xdr:spPr>
    </xdr:pic>
    <xdr:clientData/>
  </xdr:twoCellAnchor>
  <xdr:twoCellAnchor editAs="oneCell">
    <xdr:from>
      <xdr:col>15</xdr:col>
      <xdr:colOff>253254</xdr:colOff>
      <xdr:row>177</xdr:row>
      <xdr:rowOff>225857</xdr:rowOff>
    </xdr:from>
    <xdr:to>
      <xdr:col>22</xdr:col>
      <xdr:colOff>248955</xdr:colOff>
      <xdr:row>192</xdr:row>
      <xdr:rowOff>32234</xdr:rowOff>
    </xdr:to>
    <xdr:pic>
      <xdr:nvPicPr>
        <xdr:cNvPr id="14" name="Picture 13" descr="masti_skeem_2x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63429" y="9446057"/>
          <a:ext cx="2957976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191</xdr:row>
      <xdr:rowOff>84424</xdr:rowOff>
    </xdr:from>
    <xdr:to>
      <xdr:col>6</xdr:col>
      <xdr:colOff>454270</xdr:colOff>
      <xdr:row>193</xdr:row>
      <xdr:rowOff>46613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0849" y="12581224"/>
          <a:ext cx="1385521" cy="4193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186104</xdr:colOff>
      <xdr:row>192</xdr:row>
      <xdr:rowOff>67768</xdr:rowOff>
    </xdr:from>
    <xdr:to>
      <xdr:col>22</xdr:col>
      <xdr:colOff>180975</xdr:colOff>
      <xdr:row>207</xdr:row>
      <xdr:rowOff>229366</xdr:rowOff>
    </xdr:to>
    <xdr:pic>
      <xdr:nvPicPr>
        <xdr:cNvPr id="16" name="Picture 15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r="67837"/>
        <a:stretch>
          <a:fillRect/>
        </a:stretch>
      </xdr:blipFill>
      <xdr:spPr>
        <a:xfrm>
          <a:off x="6615479" y="48835768"/>
          <a:ext cx="2090371" cy="3571548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222</xdr:row>
      <xdr:rowOff>59576</xdr:rowOff>
    </xdr:from>
    <xdr:to>
      <xdr:col>6</xdr:col>
      <xdr:colOff>462553</xdr:colOff>
      <xdr:row>224</xdr:row>
      <xdr:rowOff>21765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21319376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77749</xdr:colOff>
      <xdr:row>214</xdr:row>
      <xdr:rowOff>185370</xdr:rowOff>
    </xdr:from>
    <xdr:to>
      <xdr:col>16</xdr:col>
      <xdr:colOff>177312</xdr:colOff>
      <xdr:row>220</xdr:row>
      <xdr:rowOff>217609</xdr:rowOff>
    </xdr:to>
    <xdr:grpSp>
      <xdr:nvGrpSpPr>
        <xdr:cNvPr id="26" name="Group 25"/>
        <xdr:cNvGrpSpPr/>
      </xdr:nvGrpSpPr>
      <xdr:grpSpPr>
        <a:xfrm>
          <a:off x="4830724" y="52868145"/>
          <a:ext cx="1356863" cy="1422889"/>
          <a:chOff x="6384074" y="21936808"/>
          <a:chExt cx="3003911" cy="1414096"/>
        </a:xfrm>
      </xdr:grpSpPr>
      <xdr:sp macro="" textlink="">
        <xdr:nvSpPr>
          <xdr:cNvPr id="27" name="Freeform 26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28" name="Freeform 27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30" name="Straight Arrow Connector 29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1" name="TextBox 30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4</xdr:col>
      <xdr:colOff>191457</xdr:colOff>
      <xdr:row>255</xdr:row>
      <xdr:rowOff>76141</xdr:rowOff>
    </xdr:from>
    <xdr:to>
      <xdr:col>6</xdr:col>
      <xdr:colOff>462553</xdr:colOff>
      <xdr:row>257</xdr:row>
      <xdr:rowOff>38330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31051441"/>
          <a:ext cx="1385521" cy="4193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453062</xdr:colOff>
      <xdr:row>243</xdr:row>
      <xdr:rowOff>36634</xdr:rowOff>
    </xdr:from>
    <xdr:to>
      <xdr:col>21</xdr:col>
      <xdr:colOff>417019</xdr:colOff>
      <xdr:row>259</xdr:row>
      <xdr:rowOff>92351</xdr:rowOff>
    </xdr:to>
    <xdr:pic>
      <xdr:nvPicPr>
        <xdr:cNvPr id="34" name="Picture 33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r="67837"/>
        <a:stretch>
          <a:fillRect/>
        </a:stretch>
      </xdr:blipFill>
      <xdr:spPr>
        <a:xfrm>
          <a:off x="5663237" y="28230634"/>
          <a:ext cx="2507132" cy="3770467"/>
        </a:xfrm>
        <a:prstGeom prst="rect">
          <a:avLst/>
        </a:prstGeom>
      </xdr:spPr>
    </xdr:pic>
    <xdr:clientData/>
  </xdr:twoCellAnchor>
  <xdr:twoCellAnchor>
    <xdr:from>
      <xdr:col>11</xdr:col>
      <xdr:colOff>413659</xdr:colOff>
      <xdr:row>244</xdr:row>
      <xdr:rowOff>148636</xdr:rowOff>
    </xdr:from>
    <xdr:to>
      <xdr:col>16</xdr:col>
      <xdr:colOff>102579</xdr:colOff>
      <xdr:row>251</xdr:row>
      <xdr:rowOff>87922</xdr:rowOff>
    </xdr:to>
    <xdr:grpSp>
      <xdr:nvGrpSpPr>
        <xdr:cNvPr id="35" name="Group 34"/>
        <xdr:cNvGrpSpPr/>
      </xdr:nvGrpSpPr>
      <xdr:grpSpPr>
        <a:xfrm>
          <a:off x="4328434" y="59727511"/>
          <a:ext cx="1784420" cy="1539486"/>
          <a:chOff x="6440277" y="21936818"/>
          <a:chExt cx="2072249" cy="1414096"/>
        </a:xfrm>
      </xdr:grpSpPr>
      <xdr:sp macro="" textlink="">
        <xdr:nvSpPr>
          <xdr:cNvPr id="36" name="Freeform 35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37" name="Straight Arrow Connector 36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8" name="TextBox 37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4</xdr:col>
      <xdr:colOff>191457</xdr:colOff>
      <xdr:row>294</xdr:row>
      <xdr:rowOff>59576</xdr:rowOff>
    </xdr:from>
    <xdr:to>
      <xdr:col>6</xdr:col>
      <xdr:colOff>462553</xdr:colOff>
      <xdr:row>296</xdr:row>
      <xdr:rowOff>21765</xdr:rowOff>
    </xdr:to>
    <xdr:pic>
      <xdr:nvPicPr>
        <xdr:cNvPr id="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9132" y="42769676"/>
          <a:ext cx="1385521" cy="41938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283</xdr:row>
      <xdr:rowOff>148642</xdr:rowOff>
    </xdr:from>
    <xdr:to>
      <xdr:col>14</xdr:col>
      <xdr:colOff>175847</xdr:colOff>
      <xdr:row>290</xdr:row>
      <xdr:rowOff>87928</xdr:rowOff>
    </xdr:to>
    <xdr:grpSp>
      <xdr:nvGrpSpPr>
        <xdr:cNvPr id="42" name="Group 41"/>
        <xdr:cNvGrpSpPr/>
      </xdr:nvGrpSpPr>
      <xdr:grpSpPr>
        <a:xfrm>
          <a:off x="4359206" y="68909617"/>
          <a:ext cx="988716" cy="1539486"/>
          <a:chOff x="6528288" y="21936825"/>
          <a:chExt cx="1984238" cy="1414096"/>
        </a:xfrm>
      </xdr:grpSpPr>
      <xdr:sp macro="" textlink="">
        <xdr:nvSpPr>
          <xdr:cNvPr id="43" name="Freeform 42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44" name="Straight Arrow Connector 43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5" name="TextBox 44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22</xdr:col>
      <xdr:colOff>66676</xdr:colOff>
      <xdr:row>147</xdr:row>
      <xdr:rowOff>142875</xdr:rowOff>
    </xdr:from>
    <xdr:to>
      <xdr:col>37</xdr:col>
      <xdr:colOff>57150</xdr:colOff>
      <xdr:row>159</xdr:row>
      <xdr:rowOff>114876</xdr:rowOff>
    </xdr:to>
    <xdr:grpSp>
      <xdr:nvGrpSpPr>
        <xdr:cNvPr id="50" name="Group 49"/>
        <xdr:cNvGrpSpPr/>
      </xdr:nvGrpSpPr>
      <xdr:grpSpPr>
        <a:xfrm>
          <a:off x="8591551" y="37318950"/>
          <a:ext cx="6276974" cy="2810451"/>
          <a:chOff x="762000" y="35833050"/>
          <a:chExt cx="8211697" cy="4124901"/>
        </a:xfrm>
      </xdr:grpSpPr>
      <xdr:pic>
        <xdr:nvPicPr>
          <xdr:cNvPr id="48" name="Picture 47" descr="varraste tuuletakistustegur jääga.PNG"/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762000" y="35833050"/>
            <a:ext cx="8211697" cy="4124901"/>
          </a:xfrm>
          <a:prstGeom prst="rect">
            <a:avLst/>
          </a:prstGeom>
        </xdr:spPr>
      </xdr:pic>
      <xdr:sp macro="" textlink="">
        <xdr:nvSpPr>
          <xdr:cNvPr id="49" name="TextBox 48"/>
          <xdr:cNvSpPr txBox="1"/>
        </xdr:nvSpPr>
        <xdr:spPr>
          <a:xfrm>
            <a:off x="6915150" y="35947350"/>
            <a:ext cx="1247775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DIN</a:t>
            </a:r>
            <a:r>
              <a:rPr lang="et-EE" sz="1100" baseline="0"/>
              <a:t> EN  10143</a:t>
            </a:r>
            <a:endParaRPr lang="et-EE" sz="1100"/>
          </a:p>
        </xdr:txBody>
      </xdr:sp>
    </xdr:grpSp>
    <xdr:clientData/>
  </xdr:twoCellAnchor>
  <xdr:twoCellAnchor editAs="oneCell">
    <xdr:from>
      <xdr:col>16</xdr:col>
      <xdr:colOff>85725</xdr:colOff>
      <xdr:row>324</xdr:row>
      <xdr:rowOff>133350</xdr:rowOff>
    </xdr:from>
    <xdr:to>
      <xdr:col>24</xdr:col>
      <xdr:colOff>36931</xdr:colOff>
      <xdr:row>339</xdr:row>
      <xdr:rowOff>19051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560320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342</xdr:row>
      <xdr:rowOff>219076</xdr:rowOff>
    </xdr:from>
    <xdr:to>
      <xdr:col>23</xdr:col>
      <xdr:colOff>171451</xdr:colOff>
      <xdr:row>347</xdr:row>
      <xdr:rowOff>116206</xdr:rowOff>
    </xdr:to>
    <xdr:pic>
      <xdr:nvPicPr>
        <xdr:cNvPr id="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6" y="3037522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348</xdr:row>
      <xdr:rowOff>104776</xdr:rowOff>
    </xdr:from>
    <xdr:to>
      <xdr:col>23</xdr:col>
      <xdr:colOff>104777</xdr:colOff>
      <xdr:row>352</xdr:row>
      <xdr:rowOff>1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7" y="31851601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24</xdr:row>
      <xdr:rowOff>133350</xdr:rowOff>
    </xdr:from>
    <xdr:to>
      <xdr:col>24</xdr:col>
      <xdr:colOff>36931</xdr:colOff>
      <xdr:row>39</xdr:row>
      <xdr:rowOff>19051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5210175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42</xdr:row>
      <xdr:rowOff>219076</xdr:rowOff>
    </xdr:from>
    <xdr:to>
      <xdr:col>23</xdr:col>
      <xdr:colOff>171451</xdr:colOff>
      <xdr:row>47</xdr:row>
      <xdr:rowOff>116206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9982201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48</xdr:row>
      <xdr:rowOff>104776</xdr:rowOff>
    </xdr:from>
    <xdr:to>
      <xdr:col>23</xdr:col>
      <xdr:colOff>104777</xdr:colOff>
      <xdr:row>52</xdr:row>
      <xdr:rowOff>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11458576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85725</xdr:colOff>
      <xdr:row>63</xdr:row>
      <xdr:rowOff>133350</xdr:rowOff>
    </xdr:from>
    <xdr:to>
      <xdr:col>24</xdr:col>
      <xdr:colOff>36931</xdr:colOff>
      <xdr:row>78</xdr:row>
      <xdr:rowOff>19051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1543050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81</xdr:row>
      <xdr:rowOff>219076</xdr:rowOff>
    </xdr:from>
    <xdr:to>
      <xdr:col>23</xdr:col>
      <xdr:colOff>171451</xdr:colOff>
      <xdr:row>86</xdr:row>
      <xdr:rowOff>116206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2020252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87</xdr:row>
      <xdr:rowOff>104776</xdr:rowOff>
    </xdr:from>
    <xdr:to>
      <xdr:col>23</xdr:col>
      <xdr:colOff>104777</xdr:colOff>
      <xdr:row>91</xdr:row>
      <xdr:rowOff>1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21678901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85725</xdr:colOff>
      <xdr:row>102</xdr:row>
      <xdr:rowOff>133350</xdr:rowOff>
    </xdr:from>
    <xdr:to>
      <xdr:col>24</xdr:col>
      <xdr:colOff>36931</xdr:colOff>
      <xdr:row>117</xdr:row>
      <xdr:rowOff>19051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2560320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120</xdr:row>
      <xdr:rowOff>219076</xdr:rowOff>
    </xdr:from>
    <xdr:to>
      <xdr:col>23</xdr:col>
      <xdr:colOff>171451</xdr:colOff>
      <xdr:row>125</xdr:row>
      <xdr:rowOff>116206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3037522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126</xdr:row>
      <xdr:rowOff>104776</xdr:rowOff>
    </xdr:from>
    <xdr:to>
      <xdr:col>23</xdr:col>
      <xdr:colOff>104777</xdr:colOff>
      <xdr:row>130</xdr:row>
      <xdr:rowOff>1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31851601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95250</xdr:colOff>
      <xdr:row>3</xdr:row>
      <xdr:rowOff>57150</xdr:rowOff>
    </xdr:from>
    <xdr:to>
      <xdr:col>16</xdr:col>
      <xdr:colOff>285750</xdr:colOff>
      <xdr:row>21</xdr:row>
      <xdr:rowOff>3441</xdr:rowOff>
    </xdr:to>
    <xdr:pic>
      <xdr:nvPicPr>
        <xdr:cNvPr id="11" name="Picture 10" descr="tuulesuunad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2136" r="34620"/>
        <a:stretch>
          <a:fillRect/>
        </a:stretch>
      </xdr:blipFill>
      <xdr:spPr>
        <a:xfrm>
          <a:off x="3905250" y="685800"/>
          <a:ext cx="2286000" cy="3718191"/>
        </a:xfrm>
        <a:prstGeom prst="rect">
          <a:avLst/>
        </a:prstGeom>
      </xdr:spPr>
    </xdr:pic>
    <xdr:clientData/>
  </xdr:twoCellAnchor>
  <xdr:twoCellAnchor editAs="oneCell">
    <xdr:from>
      <xdr:col>14</xdr:col>
      <xdr:colOff>40774</xdr:colOff>
      <xdr:row>147</xdr:row>
      <xdr:rowOff>86647</xdr:rowOff>
    </xdr:from>
    <xdr:to>
      <xdr:col>21</xdr:col>
      <xdr:colOff>36475</xdr:colOff>
      <xdr:row>161</xdr:row>
      <xdr:rowOff>143732</xdr:rowOff>
    </xdr:to>
    <xdr:pic>
      <xdr:nvPicPr>
        <xdr:cNvPr id="12" name="Picture 11" descr="masti_skeem_2x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2849" y="37729447"/>
          <a:ext cx="2929401" cy="3314635"/>
        </a:xfrm>
        <a:prstGeom prst="rect">
          <a:avLst/>
        </a:prstGeom>
      </xdr:spPr>
    </xdr:pic>
    <xdr:clientData/>
  </xdr:twoCellAnchor>
  <xdr:twoCellAnchor editAs="oneCell">
    <xdr:from>
      <xdr:col>21</xdr:col>
      <xdr:colOff>209550</xdr:colOff>
      <xdr:row>158</xdr:row>
      <xdr:rowOff>27845</xdr:rowOff>
    </xdr:from>
    <xdr:to>
      <xdr:col>26</xdr:col>
      <xdr:colOff>323850</xdr:colOff>
      <xdr:row>174</xdr:row>
      <xdr:rowOff>61582</xdr:rowOff>
    </xdr:to>
    <xdr:pic>
      <xdr:nvPicPr>
        <xdr:cNvPr id="13" name="Picture 12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154" r="37226"/>
        <a:stretch>
          <a:fillRect/>
        </a:stretch>
      </xdr:blipFill>
      <xdr:spPr>
        <a:xfrm>
          <a:off x="8286750" y="39680420"/>
          <a:ext cx="2209800" cy="3691337"/>
        </a:xfrm>
        <a:prstGeom prst="rect">
          <a:avLst/>
        </a:prstGeom>
      </xdr:spPr>
    </xdr:pic>
    <xdr:clientData/>
  </xdr:twoCellAnchor>
  <xdr:twoCellAnchor editAs="oneCell">
    <xdr:from>
      <xdr:col>15</xdr:col>
      <xdr:colOff>253254</xdr:colOff>
      <xdr:row>174</xdr:row>
      <xdr:rowOff>225857</xdr:rowOff>
    </xdr:from>
    <xdr:to>
      <xdr:col>22</xdr:col>
      <xdr:colOff>248955</xdr:colOff>
      <xdr:row>189</xdr:row>
      <xdr:rowOff>32234</xdr:rowOff>
    </xdr:to>
    <xdr:pic>
      <xdr:nvPicPr>
        <xdr:cNvPr id="14" name="Picture 13" descr="masti_skeem_2x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844429" y="45488657"/>
          <a:ext cx="2929401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188</xdr:row>
      <xdr:rowOff>84424</xdr:rowOff>
    </xdr:from>
    <xdr:to>
      <xdr:col>6</xdr:col>
      <xdr:colOff>454270</xdr:colOff>
      <xdr:row>190</xdr:row>
      <xdr:rowOff>46613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59499" y="48623824"/>
          <a:ext cx="1261696" cy="4193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142875</xdr:colOff>
      <xdr:row>190</xdr:row>
      <xdr:rowOff>124918</xdr:rowOff>
    </xdr:from>
    <xdr:to>
      <xdr:col>21</xdr:col>
      <xdr:colOff>104775</xdr:colOff>
      <xdr:row>206</xdr:row>
      <xdr:rowOff>38866</xdr:rowOff>
    </xdr:to>
    <xdr:pic>
      <xdr:nvPicPr>
        <xdr:cNvPr id="16" name="Picture 15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430" r="36915"/>
        <a:stretch>
          <a:fillRect/>
        </a:stretch>
      </xdr:blipFill>
      <xdr:spPr>
        <a:xfrm>
          <a:off x="6124575" y="47168893"/>
          <a:ext cx="2057400" cy="3571548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219</xdr:row>
      <xdr:rowOff>59576</xdr:rowOff>
    </xdr:from>
    <xdr:to>
      <xdr:col>6</xdr:col>
      <xdr:colOff>462553</xdr:colOff>
      <xdr:row>221</xdr:row>
      <xdr:rowOff>21765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7782" y="55723676"/>
          <a:ext cx="1252171" cy="4193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77749</xdr:colOff>
      <xdr:row>211</xdr:row>
      <xdr:rowOff>185370</xdr:rowOff>
    </xdr:from>
    <xdr:to>
      <xdr:col>16</xdr:col>
      <xdr:colOff>177312</xdr:colOff>
      <xdr:row>217</xdr:row>
      <xdr:rowOff>208084</xdr:rowOff>
    </xdr:to>
    <xdr:grpSp>
      <xdr:nvGrpSpPr>
        <xdr:cNvPr id="18" name="Group 17"/>
        <xdr:cNvGrpSpPr/>
      </xdr:nvGrpSpPr>
      <xdr:grpSpPr>
        <a:xfrm>
          <a:off x="4802149" y="52048995"/>
          <a:ext cx="1356863" cy="1413364"/>
          <a:chOff x="6384074" y="21936808"/>
          <a:chExt cx="3003911" cy="1414096"/>
        </a:xfrm>
      </xdr:grpSpPr>
      <xdr:sp macro="" textlink="">
        <xdr:nvSpPr>
          <xdr:cNvPr id="19" name="Freeform 18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20" name="Freeform 19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1" name="Straight Arrow Connector 20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TextBox 21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4</xdr:col>
      <xdr:colOff>191457</xdr:colOff>
      <xdr:row>252</xdr:row>
      <xdr:rowOff>76141</xdr:rowOff>
    </xdr:from>
    <xdr:to>
      <xdr:col>6</xdr:col>
      <xdr:colOff>462553</xdr:colOff>
      <xdr:row>254</xdr:row>
      <xdr:rowOff>38330</xdr:rowOff>
    </xdr:to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7782" y="63341191"/>
          <a:ext cx="1252171" cy="4193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57150</xdr:colOff>
      <xdr:row>262</xdr:row>
      <xdr:rowOff>55684</xdr:rowOff>
    </xdr:from>
    <xdr:to>
      <xdr:col>22</xdr:col>
      <xdr:colOff>400050</xdr:colOff>
      <xdr:row>278</xdr:row>
      <xdr:rowOff>16151</xdr:rowOff>
    </xdr:to>
    <xdr:pic>
      <xdr:nvPicPr>
        <xdr:cNvPr id="24" name="Picture 23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703" r="37134"/>
        <a:stretch>
          <a:fillRect/>
        </a:stretch>
      </xdr:blipFill>
      <xdr:spPr>
        <a:xfrm>
          <a:off x="6457950" y="63711259"/>
          <a:ext cx="2438400" cy="3770467"/>
        </a:xfrm>
        <a:prstGeom prst="rect">
          <a:avLst/>
        </a:prstGeom>
      </xdr:spPr>
    </xdr:pic>
    <xdr:clientData/>
  </xdr:twoCellAnchor>
  <xdr:twoCellAnchor>
    <xdr:from>
      <xdr:col>11</xdr:col>
      <xdr:colOff>413659</xdr:colOff>
      <xdr:row>241</xdr:row>
      <xdr:rowOff>148636</xdr:rowOff>
    </xdr:from>
    <xdr:to>
      <xdr:col>16</xdr:col>
      <xdr:colOff>102579</xdr:colOff>
      <xdr:row>248</xdr:row>
      <xdr:rowOff>87922</xdr:rowOff>
    </xdr:to>
    <xdr:grpSp>
      <xdr:nvGrpSpPr>
        <xdr:cNvPr id="25" name="Group 24"/>
        <xdr:cNvGrpSpPr/>
      </xdr:nvGrpSpPr>
      <xdr:grpSpPr>
        <a:xfrm>
          <a:off x="4299859" y="58908361"/>
          <a:ext cx="1784420" cy="1539486"/>
          <a:chOff x="6440277" y="21936818"/>
          <a:chExt cx="2072249" cy="1414096"/>
        </a:xfrm>
      </xdr:grpSpPr>
      <xdr:sp macro="" textlink="">
        <xdr:nvSpPr>
          <xdr:cNvPr id="26" name="Freeform 25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7" name="Straight Arrow Connector 26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TextBox 27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4</xdr:col>
      <xdr:colOff>191457</xdr:colOff>
      <xdr:row>291</xdr:row>
      <xdr:rowOff>59576</xdr:rowOff>
    </xdr:from>
    <xdr:to>
      <xdr:col>6</xdr:col>
      <xdr:colOff>462553</xdr:colOff>
      <xdr:row>293</xdr:row>
      <xdr:rowOff>21765</xdr:rowOff>
    </xdr:to>
    <xdr:pic>
      <xdr:nvPicPr>
        <xdr:cNvPr id="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7782" y="72506726"/>
          <a:ext cx="1252171" cy="41938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280</xdr:row>
      <xdr:rowOff>148642</xdr:rowOff>
    </xdr:from>
    <xdr:to>
      <xdr:col>14</xdr:col>
      <xdr:colOff>175847</xdr:colOff>
      <xdr:row>287</xdr:row>
      <xdr:rowOff>87928</xdr:rowOff>
    </xdr:to>
    <xdr:grpSp>
      <xdr:nvGrpSpPr>
        <xdr:cNvPr id="30" name="Group 29"/>
        <xdr:cNvGrpSpPr/>
      </xdr:nvGrpSpPr>
      <xdr:grpSpPr>
        <a:xfrm>
          <a:off x="4330631" y="68090467"/>
          <a:ext cx="988716" cy="1539486"/>
          <a:chOff x="6528288" y="21936825"/>
          <a:chExt cx="1984238" cy="1414096"/>
        </a:xfrm>
      </xdr:grpSpPr>
      <xdr:sp macro="" textlink="">
        <xdr:nvSpPr>
          <xdr:cNvPr id="31" name="Freeform 30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32" name="Straight Arrow Connector 31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3" name="TextBox 32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22</xdr:col>
      <xdr:colOff>66676</xdr:colOff>
      <xdr:row>144</xdr:row>
      <xdr:rowOff>142875</xdr:rowOff>
    </xdr:from>
    <xdr:to>
      <xdr:col>37</xdr:col>
      <xdr:colOff>57150</xdr:colOff>
      <xdr:row>156</xdr:row>
      <xdr:rowOff>114876</xdr:rowOff>
    </xdr:to>
    <xdr:grpSp>
      <xdr:nvGrpSpPr>
        <xdr:cNvPr id="34" name="Group 33"/>
        <xdr:cNvGrpSpPr/>
      </xdr:nvGrpSpPr>
      <xdr:grpSpPr>
        <a:xfrm>
          <a:off x="8562976" y="36499800"/>
          <a:ext cx="6276974" cy="2810451"/>
          <a:chOff x="762000" y="35833050"/>
          <a:chExt cx="8211697" cy="4124901"/>
        </a:xfrm>
      </xdr:grpSpPr>
      <xdr:pic>
        <xdr:nvPicPr>
          <xdr:cNvPr id="35" name="Picture 34" descr="varraste tuuletakistustegur jääga.PNG"/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762000" y="35833050"/>
            <a:ext cx="8211697" cy="4124901"/>
          </a:xfrm>
          <a:prstGeom prst="rect">
            <a:avLst/>
          </a:prstGeom>
        </xdr:spPr>
      </xdr:pic>
      <xdr:sp macro="" textlink="">
        <xdr:nvSpPr>
          <xdr:cNvPr id="36" name="TextBox 35"/>
          <xdr:cNvSpPr txBox="1"/>
        </xdr:nvSpPr>
        <xdr:spPr>
          <a:xfrm>
            <a:off x="6915150" y="35947350"/>
            <a:ext cx="1247775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DIN</a:t>
            </a:r>
            <a:r>
              <a:rPr lang="et-EE" sz="1100" baseline="0"/>
              <a:t> EN  10143</a:t>
            </a:r>
            <a:endParaRPr lang="et-EE" sz="1100"/>
          </a:p>
        </xdr:txBody>
      </xdr:sp>
    </xdr:grpSp>
    <xdr:clientData/>
  </xdr:twoCellAnchor>
  <xdr:twoCellAnchor editAs="oneCell">
    <xdr:from>
      <xdr:col>16</xdr:col>
      <xdr:colOff>85725</xdr:colOff>
      <xdr:row>321</xdr:row>
      <xdr:rowOff>133350</xdr:rowOff>
    </xdr:from>
    <xdr:to>
      <xdr:col>24</xdr:col>
      <xdr:colOff>36931</xdr:colOff>
      <xdr:row>336</xdr:row>
      <xdr:rowOff>19051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78305025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339</xdr:row>
      <xdr:rowOff>219076</xdr:rowOff>
    </xdr:from>
    <xdr:to>
      <xdr:col>23</xdr:col>
      <xdr:colOff>171451</xdr:colOff>
      <xdr:row>344</xdr:row>
      <xdr:rowOff>116206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6" y="83077051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345</xdr:row>
      <xdr:rowOff>104776</xdr:rowOff>
    </xdr:from>
    <xdr:to>
      <xdr:col>23</xdr:col>
      <xdr:colOff>104777</xdr:colOff>
      <xdr:row>349</xdr:row>
      <xdr:rowOff>1</xdr:rowOff>
    </xdr:to>
    <xdr:pic>
      <xdr:nvPicPr>
        <xdr:cNvPr id="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7" y="84553426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24</xdr:row>
      <xdr:rowOff>133350</xdr:rowOff>
    </xdr:from>
    <xdr:to>
      <xdr:col>24</xdr:col>
      <xdr:colOff>36931</xdr:colOff>
      <xdr:row>39</xdr:row>
      <xdr:rowOff>19051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5210175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42</xdr:row>
      <xdr:rowOff>219076</xdr:rowOff>
    </xdr:from>
    <xdr:to>
      <xdr:col>23</xdr:col>
      <xdr:colOff>171451</xdr:colOff>
      <xdr:row>47</xdr:row>
      <xdr:rowOff>116206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9982201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48</xdr:row>
      <xdr:rowOff>104776</xdr:rowOff>
    </xdr:from>
    <xdr:to>
      <xdr:col>23</xdr:col>
      <xdr:colOff>104777</xdr:colOff>
      <xdr:row>52</xdr:row>
      <xdr:rowOff>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11458576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85725</xdr:colOff>
      <xdr:row>63</xdr:row>
      <xdr:rowOff>133350</xdr:rowOff>
    </xdr:from>
    <xdr:to>
      <xdr:col>24</xdr:col>
      <xdr:colOff>36931</xdr:colOff>
      <xdr:row>78</xdr:row>
      <xdr:rowOff>19051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1543050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81</xdr:row>
      <xdr:rowOff>219076</xdr:rowOff>
    </xdr:from>
    <xdr:to>
      <xdr:col>23</xdr:col>
      <xdr:colOff>171451</xdr:colOff>
      <xdr:row>86</xdr:row>
      <xdr:rowOff>116206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2020252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87</xdr:row>
      <xdr:rowOff>104776</xdr:rowOff>
    </xdr:from>
    <xdr:to>
      <xdr:col>23</xdr:col>
      <xdr:colOff>104777</xdr:colOff>
      <xdr:row>91</xdr:row>
      <xdr:rowOff>1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21678901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85725</xdr:colOff>
      <xdr:row>102</xdr:row>
      <xdr:rowOff>133350</xdr:rowOff>
    </xdr:from>
    <xdr:to>
      <xdr:col>24</xdr:col>
      <xdr:colOff>36931</xdr:colOff>
      <xdr:row>117</xdr:row>
      <xdr:rowOff>19051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2560320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120</xdr:row>
      <xdr:rowOff>219076</xdr:rowOff>
    </xdr:from>
    <xdr:to>
      <xdr:col>23</xdr:col>
      <xdr:colOff>171451</xdr:colOff>
      <xdr:row>125</xdr:row>
      <xdr:rowOff>116206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1" y="3037522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126</xdr:row>
      <xdr:rowOff>104776</xdr:rowOff>
    </xdr:from>
    <xdr:to>
      <xdr:col>23</xdr:col>
      <xdr:colOff>104777</xdr:colOff>
      <xdr:row>130</xdr:row>
      <xdr:rowOff>1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2" y="31851601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209550</xdr:colOff>
      <xdr:row>3</xdr:row>
      <xdr:rowOff>57150</xdr:rowOff>
    </xdr:from>
    <xdr:to>
      <xdr:col>13</xdr:col>
      <xdr:colOff>28575</xdr:colOff>
      <xdr:row>21</xdr:row>
      <xdr:rowOff>3441</xdr:rowOff>
    </xdr:to>
    <xdr:pic>
      <xdr:nvPicPr>
        <xdr:cNvPr id="11" name="Picture 10" descr="tuulesuunad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65103" r="-979"/>
        <a:stretch>
          <a:fillRect/>
        </a:stretch>
      </xdr:blipFill>
      <xdr:spPr>
        <a:xfrm>
          <a:off x="2209800" y="685800"/>
          <a:ext cx="2466975" cy="3718191"/>
        </a:xfrm>
        <a:prstGeom prst="rect">
          <a:avLst/>
        </a:prstGeom>
      </xdr:spPr>
    </xdr:pic>
    <xdr:clientData/>
  </xdr:twoCellAnchor>
  <xdr:twoCellAnchor editAs="oneCell">
    <xdr:from>
      <xdr:col>14</xdr:col>
      <xdr:colOff>40774</xdr:colOff>
      <xdr:row>146</xdr:row>
      <xdr:rowOff>86647</xdr:rowOff>
    </xdr:from>
    <xdr:to>
      <xdr:col>21</xdr:col>
      <xdr:colOff>36475</xdr:colOff>
      <xdr:row>160</xdr:row>
      <xdr:rowOff>143732</xdr:rowOff>
    </xdr:to>
    <xdr:pic>
      <xdr:nvPicPr>
        <xdr:cNvPr id="12" name="Picture 11" descr="masti_skeem_2x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84274" y="37167472"/>
          <a:ext cx="2929401" cy="3314635"/>
        </a:xfrm>
        <a:prstGeom prst="rect">
          <a:avLst/>
        </a:prstGeom>
      </xdr:spPr>
    </xdr:pic>
    <xdr:clientData/>
  </xdr:twoCellAnchor>
  <xdr:twoCellAnchor editAs="oneCell">
    <xdr:from>
      <xdr:col>21</xdr:col>
      <xdr:colOff>104775</xdr:colOff>
      <xdr:row>157</xdr:row>
      <xdr:rowOff>199295</xdr:rowOff>
    </xdr:from>
    <xdr:to>
      <xdr:col>26</xdr:col>
      <xdr:colOff>333375</xdr:colOff>
      <xdr:row>173</xdr:row>
      <xdr:rowOff>233032</xdr:rowOff>
    </xdr:to>
    <xdr:pic>
      <xdr:nvPicPr>
        <xdr:cNvPr id="13" name="Picture 12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3592" r="3153"/>
        <a:stretch>
          <a:fillRect/>
        </a:stretch>
      </xdr:blipFill>
      <xdr:spPr>
        <a:xfrm>
          <a:off x="8105775" y="39594695"/>
          <a:ext cx="2324100" cy="3691337"/>
        </a:xfrm>
        <a:prstGeom prst="rect">
          <a:avLst/>
        </a:prstGeom>
      </xdr:spPr>
    </xdr:pic>
    <xdr:clientData/>
  </xdr:twoCellAnchor>
  <xdr:twoCellAnchor editAs="oneCell">
    <xdr:from>
      <xdr:col>15</xdr:col>
      <xdr:colOff>253254</xdr:colOff>
      <xdr:row>173</xdr:row>
      <xdr:rowOff>225857</xdr:rowOff>
    </xdr:from>
    <xdr:to>
      <xdr:col>22</xdr:col>
      <xdr:colOff>248955</xdr:colOff>
      <xdr:row>188</xdr:row>
      <xdr:rowOff>32234</xdr:rowOff>
    </xdr:to>
    <xdr:pic>
      <xdr:nvPicPr>
        <xdr:cNvPr id="14" name="Picture 13" descr="masti_skeem_2x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815854" y="43536032"/>
          <a:ext cx="2929401" cy="3311577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187</xdr:row>
      <xdr:rowOff>84424</xdr:rowOff>
    </xdr:from>
    <xdr:to>
      <xdr:col>6</xdr:col>
      <xdr:colOff>454270</xdr:colOff>
      <xdr:row>189</xdr:row>
      <xdr:rowOff>46613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59499" y="46671199"/>
          <a:ext cx="1233121" cy="4193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228600</xdr:colOff>
      <xdr:row>189</xdr:row>
      <xdr:rowOff>48718</xdr:rowOff>
    </xdr:from>
    <xdr:to>
      <xdr:col>21</xdr:col>
      <xdr:colOff>85725</xdr:colOff>
      <xdr:row>204</xdr:row>
      <xdr:rowOff>191266</xdr:rowOff>
    </xdr:to>
    <xdr:pic>
      <xdr:nvPicPr>
        <xdr:cNvPr id="16" name="Picture 15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2499" r="1010"/>
        <a:stretch>
          <a:fillRect/>
        </a:stretch>
      </xdr:blipFill>
      <xdr:spPr>
        <a:xfrm>
          <a:off x="5715000" y="46835518"/>
          <a:ext cx="2371725" cy="3571548"/>
        </a:xfrm>
        <a:prstGeom prst="rect">
          <a:avLst/>
        </a:prstGeom>
      </xdr:spPr>
    </xdr:pic>
    <xdr:clientData/>
  </xdr:twoCellAnchor>
  <xdr:twoCellAnchor>
    <xdr:from>
      <xdr:col>4</xdr:col>
      <xdr:colOff>191457</xdr:colOff>
      <xdr:row>218</xdr:row>
      <xdr:rowOff>59576</xdr:rowOff>
    </xdr:from>
    <xdr:to>
      <xdr:col>6</xdr:col>
      <xdr:colOff>462553</xdr:colOff>
      <xdr:row>220</xdr:row>
      <xdr:rowOff>21765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7782" y="53771051"/>
          <a:ext cx="1223596" cy="4193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77749</xdr:colOff>
      <xdr:row>210</xdr:row>
      <xdr:rowOff>185370</xdr:rowOff>
    </xdr:from>
    <xdr:to>
      <xdr:col>16</xdr:col>
      <xdr:colOff>177312</xdr:colOff>
      <xdr:row>216</xdr:row>
      <xdr:rowOff>208084</xdr:rowOff>
    </xdr:to>
    <xdr:grpSp>
      <xdr:nvGrpSpPr>
        <xdr:cNvPr id="18" name="Group 17"/>
        <xdr:cNvGrpSpPr/>
      </xdr:nvGrpSpPr>
      <xdr:grpSpPr>
        <a:xfrm>
          <a:off x="4764049" y="51791820"/>
          <a:ext cx="1356863" cy="1413364"/>
          <a:chOff x="6384074" y="21936808"/>
          <a:chExt cx="3003911" cy="1414096"/>
        </a:xfrm>
      </xdr:grpSpPr>
      <xdr:sp macro="" textlink="">
        <xdr:nvSpPr>
          <xdr:cNvPr id="19" name="Freeform 18"/>
          <xdr:cNvSpPr/>
        </xdr:nvSpPr>
        <xdr:spPr>
          <a:xfrm>
            <a:off x="7319596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sp macro="" textlink="">
        <xdr:nvSpPr>
          <xdr:cNvPr id="20" name="Freeform 19"/>
          <xdr:cNvSpPr/>
        </xdr:nvSpPr>
        <xdr:spPr>
          <a:xfrm rot="10800000">
            <a:off x="8806961" y="21936808"/>
            <a:ext cx="581024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858179"/>
                </a:lnTo>
                <a:lnTo>
                  <a:pt x="273579" y="858179"/>
                </a:lnTo>
                <a:lnTo>
                  <a:pt x="273579" y="133609"/>
                </a:lnTo>
                <a:lnTo>
                  <a:pt x="0" y="133609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1" name="Straight Arrow Connector 20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TextBox 21"/>
          <xdr:cNvSpPr txBox="1"/>
        </xdr:nvSpPr>
        <xdr:spPr>
          <a:xfrm>
            <a:off x="6384074" y="22288500"/>
            <a:ext cx="1032663" cy="241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4</xdr:col>
      <xdr:colOff>191457</xdr:colOff>
      <xdr:row>251</xdr:row>
      <xdr:rowOff>76141</xdr:rowOff>
    </xdr:from>
    <xdr:to>
      <xdr:col>6</xdr:col>
      <xdr:colOff>462553</xdr:colOff>
      <xdr:row>253</xdr:row>
      <xdr:rowOff>38330</xdr:rowOff>
    </xdr:to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7782" y="61388566"/>
          <a:ext cx="1223596" cy="41938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38100</xdr:colOff>
      <xdr:row>261</xdr:row>
      <xdr:rowOff>179509</xdr:rowOff>
    </xdr:from>
    <xdr:to>
      <xdr:col>25</xdr:col>
      <xdr:colOff>57150</xdr:colOff>
      <xdr:row>277</xdr:row>
      <xdr:rowOff>139976</xdr:rowOff>
    </xdr:to>
    <xdr:pic>
      <xdr:nvPicPr>
        <xdr:cNvPr id="24" name="Picture 23" descr="tuulesuunad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3353" r="4266"/>
        <a:stretch>
          <a:fillRect/>
        </a:stretch>
      </xdr:blipFill>
      <xdr:spPr>
        <a:xfrm>
          <a:off x="7200900" y="63577909"/>
          <a:ext cx="2533650" cy="3770467"/>
        </a:xfrm>
        <a:prstGeom prst="rect">
          <a:avLst/>
        </a:prstGeom>
      </xdr:spPr>
    </xdr:pic>
    <xdr:clientData/>
  </xdr:twoCellAnchor>
  <xdr:twoCellAnchor>
    <xdr:from>
      <xdr:col>11</xdr:col>
      <xdr:colOff>413659</xdr:colOff>
      <xdr:row>240</xdr:row>
      <xdr:rowOff>148636</xdr:rowOff>
    </xdr:from>
    <xdr:to>
      <xdr:col>16</xdr:col>
      <xdr:colOff>102579</xdr:colOff>
      <xdr:row>247</xdr:row>
      <xdr:rowOff>87922</xdr:rowOff>
    </xdr:to>
    <xdr:grpSp>
      <xdr:nvGrpSpPr>
        <xdr:cNvPr id="25" name="Group 24"/>
        <xdr:cNvGrpSpPr/>
      </xdr:nvGrpSpPr>
      <xdr:grpSpPr>
        <a:xfrm>
          <a:off x="4261759" y="58651186"/>
          <a:ext cx="1784420" cy="1539486"/>
          <a:chOff x="6440277" y="21936818"/>
          <a:chExt cx="2072249" cy="1414096"/>
        </a:xfrm>
      </xdr:grpSpPr>
      <xdr:sp macro="" textlink="">
        <xdr:nvSpPr>
          <xdr:cNvPr id="26" name="Freeform 25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27" name="Straight Arrow Connector 26"/>
          <xdr:cNvCxnSpPr/>
        </xdr:nvCxnSpPr>
        <xdr:spPr>
          <a:xfrm>
            <a:off x="6440277" y="22588904"/>
            <a:ext cx="842598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TextBox 27"/>
          <xdr:cNvSpPr txBox="1"/>
        </xdr:nvSpPr>
        <xdr:spPr>
          <a:xfrm>
            <a:off x="6577270" y="22261956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4</xdr:col>
      <xdr:colOff>191457</xdr:colOff>
      <xdr:row>290</xdr:row>
      <xdr:rowOff>59576</xdr:rowOff>
    </xdr:from>
    <xdr:to>
      <xdr:col>6</xdr:col>
      <xdr:colOff>462553</xdr:colOff>
      <xdr:row>292</xdr:row>
      <xdr:rowOff>21765</xdr:rowOff>
    </xdr:to>
    <xdr:pic>
      <xdr:nvPicPr>
        <xdr:cNvPr id="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7782" y="70554101"/>
          <a:ext cx="1223596" cy="41938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25331</xdr:colOff>
      <xdr:row>279</xdr:row>
      <xdr:rowOff>148642</xdr:rowOff>
    </xdr:from>
    <xdr:to>
      <xdr:col>14</xdr:col>
      <xdr:colOff>175847</xdr:colOff>
      <xdr:row>286</xdr:row>
      <xdr:rowOff>87928</xdr:rowOff>
    </xdr:to>
    <xdr:grpSp>
      <xdr:nvGrpSpPr>
        <xdr:cNvPr id="30" name="Group 29"/>
        <xdr:cNvGrpSpPr/>
      </xdr:nvGrpSpPr>
      <xdr:grpSpPr>
        <a:xfrm>
          <a:off x="4292531" y="67833292"/>
          <a:ext cx="988716" cy="1539486"/>
          <a:chOff x="6528288" y="21936825"/>
          <a:chExt cx="1984238" cy="1414096"/>
        </a:xfrm>
      </xdr:grpSpPr>
      <xdr:sp macro="" textlink="">
        <xdr:nvSpPr>
          <xdr:cNvPr id="31" name="Freeform 30"/>
          <xdr:cNvSpPr/>
        </xdr:nvSpPr>
        <xdr:spPr>
          <a:xfrm>
            <a:off x="7319599" y="21936818"/>
            <a:ext cx="1192927" cy="1414096"/>
          </a:xfrm>
          <a:custGeom>
            <a:avLst/>
            <a:gdLst>
              <a:gd name="connsiteX0" fmla="*/ 175846 w 1172308"/>
              <a:gd name="connsiteY0" fmla="*/ 0 h 1135674"/>
              <a:gd name="connsiteX1" fmla="*/ 1172308 w 1172308"/>
              <a:gd name="connsiteY1" fmla="*/ 0 h 1135674"/>
              <a:gd name="connsiteX2" fmla="*/ 1172308 w 1172308"/>
              <a:gd name="connsiteY2" fmla="*/ 1135674 h 1135674"/>
              <a:gd name="connsiteX3" fmla="*/ 293077 w 1172308"/>
              <a:gd name="connsiteY3" fmla="*/ 1135674 h 1135674"/>
              <a:gd name="connsiteX4" fmla="*/ 307731 w 1172308"/>
              <a:gd name="connsiteY4" fmla="*/ 981808 h 1135674"/>
              <a:gd name="connsiteX5" fmla="*/ 908538 w 1172308"/>
              <a:gd name="connsiteY5" fmla="*/ 981808 h 1135674"/>
              <a:gd name="connsiteX6" fmla="*/ 901212 w 1172308"/>
              <a:gd name="connsiteY6" fmla="*/ 212481 h 1135674"/>
              <a:gd name="connsiteX7" fmla="*/ 205154 w 1172308"/>
              <a:gd name="connsiteY7" fmla="*/ 175847 h 1135674"/>
              <a:gd name="connsiteX8" fmla="*/ 139212 w 1172308"/>
              <a:gd name="connsiteY8" fmla="*/ 36635 h 1135674"/>
              <a:gd name="connsiteX9" fmla="*/ 0 w 1172308"/>
              <a:gd name="connsiteY9" fmla="*/ 73270 h 1135674"/>
              <a:gd name="connsiteX10" fmla="*/ 175846 w 1172308"/>
              <a:gd name="connsiteY10" fmla="*/ 0 h 1135674"/>
              <a:gd name="connsiteX0" fmla="*/ 36634 w 1033096"/>
              <a:gd name="connsiteY0" fmla="*/ 0 h 1135674"/>
              <a:gd name="connsiteX1" fmla="*/ 1033096 w 1033096"/>
              <a:gd name="connsiteY1" fmla="*/ 0 h 1135674"/>
              <a:gd name="connsiteX2" fmla="*/ 1033096 w 1033096"/>
              <a:gd name="connsiteY2" fmla="*/ 1135674 h 1135674"/>
              <a:gd name="connsiteX3" fmla="*/ 153865 w 1033096"/>
              <a:gd name="connsiteY3" fmla="*/ 1135674 h 1135674"/>
              <a:gd name="connsiteX4" fmla="*/ 168519 w 1033096"/>
              <a:gd name="connsiteY4" fmla="*/ 981808 h 1135674"/>
              <a:gd name="connsiteX5" fmla="*/ 769326 w 1033096"/>
              <a:gd name="connsiteY5" fmla="*/ 981808 h 1135674"/>
              <a:gd name="connsiteX6" fmla="*/ 762000 w 1033096"/>
              <a:gd name="connsiteY6" fmla="*/ 212481 h 1135674"/>
              <a:gd name="connsiteX7" fmla="*/ 65942 w 1033096"/>
              <a:gd name="connsiteY7" fmla="*/ 175847 h 1135674"/>
              <a:gd name="connsiteX8" fmla="*/ 0 w 1033096"/>
              <a:gd name="connsiteY8" fmla="*/ 36635 h 1135674"/>
              <a:gd name="connsiteX9" fmla="*/ 36634 w 1033096"/>
              <a:gd name="connsiteY9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0 w 996462"/>
              <a:gd name="connsiteY0" fmla="*/ 0 h 1135674"/>
              <a:gd name="connsiteX1" fmla="*/ 996462 w 996462"/>
              <a:gd name="connsiteY1" fmla="*/ 0 h 1135674"/>
              <a:gd name="connsiteX2" fmla="*/ 996462 w 996462"/>
              <a:gd name="connsiteY2" fmla="*/ 1135674 h 1135674"/>
              <a:gd name="connsiteX3" fmla="*/ 117231 w 996462"/>
              <a:gd name="connsiteY3" fmla="*/ 1135674 h 1135674"/>
              <a:gd name="connsiteX4" fmla="*/ 131885 w 996462"/>
              <a:gd name="connsiteY4" fmla="*/ 981808 h 1135674"/>
              <a:gd name="connsiteX5" fmla="*/ 732692 w 996462"/>
              <a:gd name="connsiteY5" fmla="*/ 981808 h 1135674"/>
              <a:gd name="connsiteX6" fmla="*/ 725366 w 996462"/>
              <a:gd name="connsiteY6" fmla="*/ 212481 h 1135674"/>
              <a:gd name="connsiteX7" fmla="*/ 29308 w 996462"/>
              <a:gd name="connsiteY7" fmla="*/ 175847 h 1135674"/>
              <a:gd name="connsiteX8" fmla="*/ 0 w 996462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138322 w 1002899"/>
              <a:gd name="connsiteY4" fmla="*/ 981808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6437 w 1002899"/>
              <a:gd name="connsiteY0" fmla="*/ 0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6437 w 1002899"/>
              <a:gd name="connsiteY8" fmla="*/ 0 h 1135674"/>
              <a:gd name="connsiteX0" fmla="*/ 0 w 1002899"/>
              <a:gd name="connsiteY0" fmla="*/ 51389 h 1135674"/>
              <a:gd name="connsiteX1" fmla="*/ 1002899 w 1002899"/>
              <a:gd name="connsiteY1" fmla="*/ 0 h 1135674"/>
              <a:gd name="connsiteX2" fmla="*/ 1002899 w 1002899"/>
              <a:gd name="connsiteY2" fmla="*/ 1135674 h 1135674"/>
              <a:gd name="connsiteX3" fmla="*/ 123668 w 1002899"/>
              <a:gd name="connsiteY3" fmla="*/ 1135674 h 1135674"/>
              <a:gd name="connsiteX4" fmla="*/ 0 w 1002899"/>
              <a:gd name="connsiteY4" fmla="*/ 1043176 h 1135674"/>
              <a:gd name="connsiteX5" fmla="*/ 739129 w 1002899"/>
              <a:gd name="connsiteY5" fmla="*/ 981808 h 1135674"/>
              <a:gd name="connsiteX6" fmla="*/ 731803 w 1002899"/>
              <a:gd name="connsiteY6" fmla="*/ 212481 h 1135674"/>
              <a:gd name="connsiteX7" fmla="*/ 0 w 1002899"/>
              <a:gd name="connsiteY7" fmla="*/ 184997 h 1135674"/>
              <a:gd name="connsiteX8" fmla="*/ 0 w 1002899"/>
              <a:gd name="connsiteY8" fmla="*/ 51389 h 1135674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731803 w 1002899"/>
              <a:gd name="connsiteY6" fmla="*/ 161092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739129 w 1002899"/>
              <a:gd name="connsiteY5" fmla="*/ 930419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991787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123668 w 1002899"/>
              <a:gd name="connsiteY3" fmla="*/ 1084285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1002899"/>
              <a:gd name="connsiteY0" fmla="*/ 0 h 1084285"/>
              <a:gd name="connsiteX1" fmla="*/ 880925 w 1002899"/>
              <a:gd name="connsiteY1" fmla="*/ 0 h 1084285"/>
              <a:gd name="connsiteX2" fmla="*/ 1002899 w 1002899"/>
              <a:gd name="connsiteY2" fmla="*/ 1084285 h 1084285"/>
              <a:gd name="connsiteX3" fmla="*/ 0 w 1002899"/>
              <a:gd name="connsiteY3" fmla="*/ 991787 h 1084285"/>
              <a:gd name="connsiteX4" fmla="*/ 0 w 1002899"/>
              <a:gd name="connsiteY4" fmla="*/ 858178 h 1084285"/>
              <a:gd name="connsiteX5" fmla="*/ 660694 w 1002899"/>
              <a:gd name="connsiteY5" fmla="*/ 858178 h 1084285"/>
              <a:gd name="connsiteX6" fmla="*/ 660694 w 1002899"/>
              <a:gd name="connsiteY6" fmla="*/ 133608 h 1084285"/>
              <a:gd name="connsiteX7" fmla="*/ 0 w 1002899"/>
              <a:gd name="connsiteY7" fmla="*/ 133608 h 1084285"/>
              <a:gd name="connsiteX8" fmla="*/ 0 w 1002899"/>
              <a:gd name="connsiteY8" fmla="*/ 0 h 1084285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660694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660694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0 w 880925"/>
              <a:gd name="connsiteY7" fmla="*/ 133608 h 991787"/>
              <a:gd name="connsiteX8" fmla="*/ 0 w 880925"/>
              <a:gd name="connsiteY8" fmla="*/ 0 h 991787"/>
              <a:gd name="connsiteX0" fmla="*/ 0 w 880925"/>
              <a:gd name="connsiteY0" fmla="*/ 0 h 991787"/>
              <a:gd name="connsiteX1" fmla="*/ 880925 w 880925"/>
              <a:gd name="connsiteY1" fmla="*/ 0 h 991787"/>
              <a:gd name="connsiteX2" fmla="*/ 880925 w 880925"/>
              <a:gd name="connsiteY2" fmla="*/ 991787 h 991787"/>
              <a:gd name="connsiteX3" fmla="*/ 0 w 880925"/>
              <a:gd name="connsiteY3" fmla="*/ 991787 h 991787"/>
              <a:gd name="connsiteX4" fmla="*/ 0 w 880925"/>
              <a:gd name="connsiteY4" fmla="*/ 858178 h 991787"/>
              <a:gd name="connsiteX5" fmla="*/ 820738 w 880925"/>
              <a:gd name="connsiteY5" fmla="*/ 858178 h 991787"/>
              <a:gd name="connsiteX6" fmla="*/ 820738 w 880925"/>
              <a:gd name="connsiteY6" fmla="*/ 133608 h 991787"/>
              <a:gd name="connsiteX7" fmla="*/ 547159 w 880925"/>
              <a:gd name="connsiteY7" fmla="*/ 133608 h 991787"/>
              <a:gd name="connsiteX8" fmla="*/ 0 w 880925"/>
              <a:gd name="connsiteY8" fmla="*/ 0 h 991787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0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547159 w 880925"/>
              <a:gd name="connsiteY0" fmla="*/ 0 h 991788"/>
              <a:gd name="connsiteX1" fmla="*/ 880925 w 880925"/>
              <a:gd name="connsiteY1" fmla="*/ 1 h 991788"/>
              <a:gd name="connsiteX2" fmla="*/ 880925 w 880925"/>
              <a:gd name="connsiteY2" fmla="*/ 991788 h 991788"/>
              <a:gd name="connsiteX3" fmla="*/ 0 w 880925"/>
              <a:gd name="connsiteY3" fmla="*/ 991788 h 991788"/>
              <a:gd name="connsiteX4" fmla="*/ 547159 w 880925"/>
              <a:gd name="connsiteY4" fmla="*/ 858179 h 991788"/>
              <a:gd name="connsiteX5" fmla="*/ 820738 w 880925"/>
              <a:gd name="connsiteY5" fmla="*/ 858179 h 991788"/>
              <a:gd name="connsiteX6" fmla="*/ 820738 w 880925"/>
              <a:gd name="connsiteY6" fmla="*/ 133609 h 991788"/>
              <a:gd name="connsiteX7" fmla="*/ 547159 w 880925"/>
              <a:gd name="connsiteY7" fmla="*/ 133609 h 991788"/>
              <a:gd name="connsiteX8" fmla="*/ 547159 w 880925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73579 w 333766"/>
              <a:gd name="connsiteY6" fmla="*/ 133609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73579 w 333766"/>
              <a:gd name="connsiteY5" fmla="*/ 858179 h 991788"/>
              <a:gd name="connsiteX6" fmla="*/ 2447 w 333766"/>
              <a:gd name="connsiteY6" fmla="*/ 145778 h 991788"/>
              <a:gd name="connsiteX7" fmla="*/ 0 w 333766"/>
              <a:gd name="connsiteY7" fmla="*/ 133609 h 991788"/>
              <a:gd name="connsiteX8" fmla="*/ 0 w 333766"/>
              <a:gd name="connsiteY8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858179 h 991788"/>
              <a:gd name="connsiteX5" fmla="*/ 2447 w 333766"/>
              <a:gd name="connsiteY5" fmla="*/ 145778 h 991788"/>
              <a:gd name="connsiteX6" fmla="*/ 0 w 333766"/>
              <a:gd name="connsiteY6" fmla="*/ 133609 h 991788"/>
              <a:gd name="connsiteX7" fmla="*/ 0 w 333766"/>
              <a:gd name="connsiteY7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133609 h 991788"/>
              <a:gd name="connsiteX6" fmla="*/ 0 w 333766"/>
              <a:gd name="connsiteY6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2447 w 333766"/>
              <a:gd name="connsiteY4" fmla="*/ 145778 h 991788"/>
              <a:gd name="connsiteX5" fmla="*/ 0 w 333766"/>
              <a:gd name="connsiteY5" fmla="*/ 0 h 991788"/>
              <a:gd name="connsiteX0" fmla="*/ 55628 w 389394"/>
              <a:gd name="connsiteY0" fmla="*/ 0 h 991788"/>
              <a:gd name="connsiteX1" fmla="*/ 389394 w 389394"/>
              <a:gd name="connsiteY1" fmla="*/ 1 h 991788"/>
              <a:gd name="connsiteX2" fmla="*/ 389394 w 389394"/>
              <a:gd name="connsiteY2" fmla="*/ 991788 h 991788"/>
              <a:gd name="connsiteX3" fmla="*/ 55628 w 389394"/>
              <a:gd name="connsiteY3" fmla="*/ 991788 h 991788"/>
              <a:gd name="connsiteX4" fmla="*/ 55628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165298 h 1157086"/>
              <a:gd name="connsiteX1" fmla="*/ 333766 w 389394"/>
              <a:gd name="connsiteY1" fmla="*/ 165299 h 1157086"/>
              <a:gd name="connsiteX2" fmla="*/ 333766 w 389394"/>
              <a:gd name="connsiteY2" fmla="*/ 1157086 h 1157086"/>
              <a:gd name="connsiteX3" fmla="*/ 0 w 389394"/>
              <a:gd name="connsiteY3" fmla="*/ 1157086 h 1157086"/>
              <a:gd name="connsiteX4" fmla="*/ 0 w 389394"/>
              <a:gd name="connsiteY4" fmla="*/ 165298 h 1157086"/>
              <a:gd name="connsiteX0" fmla="*/ 0 w 389394"/>
              <a:gd name="connsiteY0" fmla="*/ 0 h 991788"/>
              <a:gd name="connsiteX1" fmla="*/ 333766 w 389394"/>
              <a:gd name="connsiteY1" fmla="*/ 1 h 991788"/>
              <a:gd name="connsiteX2" fmla="*/ 333766 w 389394"/>
              <a:gd name="connsiteY2" fmla="*/ 991788 h 991788"/>
              <a:gd name="connsiteX3" fmla="*/ 0 w 389394"/>
              <a:gd name="connsiteY3" fmla="*/ 991788 h 991788"/>
              <a:gd name="connsiteX4" fmla="*/ 0 w 389394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  <a:gd name="connsiteX0" fmla="*/ 0 w 333766"/>
              <a:gd name="connsiteY0" fmla="*/ 0 h 991788"/>
              <a:gd name="connsiteX1" fmla="*/ 333766 w 333766"/>
              <a:gd name="connsiteY1" fmla="*/ 1 h 991788"/>
              <a:gd name="connsiteX2" fmla="*/ 333766 w 333766"/>
              <a:gd name="connsiteY2" fmla="*/ 991788 h 991788"/>
              <a:gd name="connsiteX3" fmla="*/ 0 w 333766"/>
              <a:gd name="connsiteY3" fmla="*/ 991788 h 991788"/>
              <a:gd name="connsiteX4" fmla="*/ 0 w 333766"/>
              <a:gd name="connsiteY4" fmla="*/ 0 h 991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33766" h="991788">
                <a:moveTo>
                  <a:pt x="0" y="0"/>
                </a:moveTo>
                <a:lnTo>
                  <a:pt x="333766" y="1"/>
                </a:lnTo>
                <a:lnTo>
                  <a:pt x="333766" y="991788"/>
                </a:lnTo>
                <a:lnTo>
                  <a:pt x="0" y="991788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t-EE" sz="1100"/>
          </a:p>
        </xdr:txBody>
      </xdr:sp>
      <xdr:cxnSp macro="">
        <xdr:nvCxnSpPr>
          <xdr:cNvPr id="32" name="Straight Arrow Connector 31"/>
          <xdr:cNvCxnSpPr/>
        </xdr:nvCxnSpPr>
        <xdr:spPr>
          <a:xfrm>
            <a:off x="6528288" y="22588904"/>
            <a:ext cx="842597" cy="0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3" name="TextBox 32"/>
          <xdr:cNvSpPr txBox="1"/>
        </xdr:nvSpPr>
        <xdr:spPr>
          <a:xfrm>
            <a:off x="6569938" y="22188694"/>
            <a:ext cx="478701" cy="345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r>
              <a:rPr lang="et-EE" sz="1100"/>
              <a:t>Tuul</a:t>
            </a:r>
          </a:p>
        </xdr:txBody>
      </xdr:sp>
    </xdr:grpSp>
    <xdr:clientData/>
  </xdr:twoCellAnchor>
  <xdr:twoCellAnchor>
    <xdr:from>
      <xdr:col>22</xdr:col>
      <xdr:colOff>66676</xdr:colOff>
      <xdr:row>143</xdr:row>
      <xdr:rowOff>142875</xdr:rowOff>
    </xdr:from>
    <xdr:to>
      <xdr:col>37</xdr:col>
      <xdr:colOff>57150</xdr:colOff>
      <xdr:row>155</xdr:row>
      <xdr:rowOff>114876</xdr:rowOff>
    </xdr:to>
    <xdr:grpSp>
      <xdr:nvGrpSpPr>
        <xdr:cNvPr id="34" name="Group 33"/>
        <xdr:cNvGrpSpPr/>
      </xdr:nvGrpSpPr>
      <xdr:grpSpPr>
        <a:xfrm>
          <a:off x="8524876" y="36242625"/>
          <a:ext cx="6276974" cy="2810451"/>
          <a:chOff x="762000" y="35833050"/>
          <a:chExt cx="8211697" cy="4124901"/>
        </a:xfrm>
      </xdr:grpSpPr>
      <xdr:pic>
        <xdr:nvPicPr>
          <xdr:cNvPr id="35" name="Picture 34" descr="varraste tuuletakistustegur jääga.PNG"/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762000" y="35833050"/>
            <a:ext cx="8211697" cy="4124901"/>
          </a:xfrm>
          <a:prstGeom prst="rect">
            <a:avLst/>
          </a:prstGeom>
        </xdr:spPr>
      </xdr:pic>
      <xdr:sp macro="" textlink="">
        <xdr:nvSpPr>
          <xdr:cNvPr id="36" name="TextBox 35"/>
          <xdr:cNvSpPr txBox="1"/>
        </xdr:nvSpPr>
        <xdr:spPr>
          <a:xfrm>
            <a:off x="6915150" y="35947350"/>
            <a:ext cx="1247775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t-EE" sz="1100"/>
              <a:t>DIN</a:t>
            </a:r>
            <a:r>
              <a:rPr lang="et-EE" sz="1100" baseline="0"/>
              <a:t> EN  10143</a:t>
            </a:r>
            <a:endParaRPr lang="et-EE" sz="1100"/>
          </a:p>
        </xdr:txBody>
      </xdr:sp>
    </xdr:grpSp>
    <xdr:clientData/>
  </xdr:twoCellAnchor>
  <xdr:twoCellAnchor editAs="oneCell">
    <xdr:from>
      <xdr:col>16</xdr:col>
      <xdr:colOff>85725</xdr:colOff>
      <xdr:row>321</xdr:row>
      <xdr:rowOff>133350</xdr:rowOff>
    </xdr:from>
    <xdr:to>
      <xdr:col>24</xdr:col>
      <xdr:colOff>36931</xdr:colOff>
      <xdr:row>336</xdr:row>
      <xdr:rowOff>19051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77724000"/>
          <a:ext cx="3304006" cy="379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304801</xdr:colOff>
      <xdr:row>339</xdr:row>
      <xdr:rowOff>219076</xdr:rowOff>
    </xdr:from>
    <xdr:to>
      <xdr:col>23</xdr:col>
      <xdr:colOff>171451</xdr:colOff>
      <xdr:row>344</xdr:row>
      <xdr:rowOff>116206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1" y="82496026"/>
          <a:ext cx="2800350" cy="1230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285752</xdr:colOff>
      <xdr:row>345</xdr:row>
      <xdr:rowOff>104776</xdr:rowOff>
    </xdr:from>
    <xdr:to>
      <xdr:col>23</xdr:col>
      <xdr:colOff>104777</xdr:colOff>
      <xdr:row>349</xdr:row>
      <xdr:rowOff>1</xdr:rowOff>
    </xdr:to>
    <xdr:pic>
      <xdr:nvPicPr>
        <xdr:cNvPr id="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67452" y="83972401"/>
          <a:ext cx="275272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29</xdr:row>
      <xdr:rowOff>23915</xdr:rowOff>
    </xdr:from>
    <xdr:to>
      <xdr:col>7</xdr:col>
      <xdr:colOff>477109</xdr:colOff>
      <xdr:row>53</xdr:row>
      <xdr:rowOff>48558</xdr:rowOff>
    </xdr:to>
    <xdr:pic>
      <xdr:nvPicPr>
        <xdr:cNvPr id="4" name="Picture 3" descr="Beeta leidmisek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00" y="6624740"/>
          <a:ext cx="4229959" cy="45966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25645</xdr:colOff>
      <xdr:row>26</xdr:row>
      <xdr:rowOff>25645</xdr:rowOff>
    </xdr:from>
    <xdr:to>
      <xdr:col>23</xdr:col>
      <xdr:colOff>35852</xdr:colOff>
      <xdr:row>36</xdr:row>
      <xdr:rowOff>81603</xdr:rowOff>
    </xdr:to>
    <xdr:pic>
      <xdr:nvPicPr>
        <xdr:cNvPr id="5" name="Picture 4" descr="vähendatud tõmm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70299" y="6466010"/>
          <a:ext cx="5520053" cy="19609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428625</xdr:colOff>
      <xdr:row>1</xdr:row>
      <xdr:rowOff>19050</xdr:rowOff>
    </xdr:from>
    <xdr:to>
      <xdr:col>18</xdr:col>
      <xdr:colOff>485775</xdr:colOff>
      <xdr:row>11</xdr:row>
      <xdr:rowOff>182473</xdr:rowOff>
    </xdr:to>
    <xdr:pic>
      <xdr:nvPicPr>
        <xdr:cNvPr id="7" name="Picture 6" descr="tuulesuunad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-322"/>
        <a:stretch>
          <a:fillRect/>
        </a:stretch>
      </xdr:blipFill>
      <xdr:spPr>
        <a:xfrm>
          <a:off x="7038975" y="209550"/>
          <a:ext cx="6915150" cy="3678148"/>
        </a:xfrm>
        <a:prstGeom prst="rect">
          <a:avLst/>
        </a:prstGeom>
      </xdr:spPr>
    </xdr:pic>
    <xdr:clientData/>
  </xdr:twoCellAnchor>
  <xdr:twoCellAnchor editAs="oneCell">
    <xdr:from>
      <xdr:col>8</xdr:col>
      <xdr:colOff>302602</xdr:colOff>
      <xdr:row>26</xdr:row>
      <xdr:rowOff>136280</xdr:rowOff>
    </xdr:from>
    <xdr:to>
      <xdr:col>13</xdr:col>
      <xdr:colOff>682025</xdr:colOff>
      <xdr:row>57</xdr:row>
      <xdr:rowOff>32705</xdr:rowOff>
    </xdr:to>
    <xdr:pic>
      <xdr:nvPicPr>
        <xdr:cNvPr id="3" name="Picture 2" descr="jäide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12952" y="9061205"/>
          <a:ext cx="3808423" cy="58019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152400</xdr:colOff>
      <xdr:row>12</xdr:row>
      <xdr:rowOff>146661</xdr:rowOff>
    </xdr:from>
    <xdr:to>
      <xdr:col>35</xdr:col>
      <xdr:colOff>173740</xdr:colOff>
      <xdr:row>24</xdr:row>
      <xdr:rowOff>104775</xdr:rowOff>
    </xdr:to>
    <xdr:pic>
      <xdr:nvPicPr>
        <xdr:cNvPr id="2" name="Picture 1" descr="Posti_R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7925" y="2661261"/>
          <a:ext cx="5660140" cy="2472714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0</xdr:row>
      <xdr:rowOff>47625</xdr:rowOff>
    </xdr:from>
    <xdr:to>
      <xdr:col>32</xdr:col>
      <xdr:colOff>33269</xdr:colOff>
      <xdr:row>9</xdr:row>
      <xdr:rowOff>192891</xdr:rowOff>
    </xdr:to>
    <xdr:pic>
      <xdr:nvPicPr>
        <xdr:cNvPr id="4" name="Picture 3" descr="varuteguri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0950" y="47625"/>
          <a:ext cx="3119369" cy="2031216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</xdr:colOff>
      <xdr:row>29</xdr:row>
      <xdr:rowOff>66751</xdr:rowOff>
    </xdr:from>
    <xdr:to>
      <xdr:col>32</xdr:col>
      <xdr:colOff>163056</xdr:colOff>
      <xdr:row>33</xdr:row>
      <xdr:rowOff>66881</xdr:rowOff>
    </xdr:to>
    <xdr:pic>
      <xdr:nvPicPr>
        <xdr:cNvPr id="5" name="Picture 4" descr="Posti_RK_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86525" y="6143701"/>
          <a:ext cx="4363581" cy="838330"/>
        </a:xfrm>
        <a:prstGeom prst="rect">
          <a:avLst/>
        </a:prstGeom>
      </xdr:spPr>
    </xdr:pic>
    <xdr:clientData/>
  </xdr:twoCellAnchor>
  <xdr:twoCellAnchor>
    <xdr:from>
      <xdr:col>12</xdr:col>
      <xdr:colOff>19050</xdr:colOff>
      <xdr:row>52</xdr:row>
      <xdr:rowOff>66676</xdr:rowOff>
    </xdr:from>
    <xdr:to>
      <xdr:col>18</xdr:col>
      <xdr:colOff>295275</xdr:colOff>
      <xdr:row>56</xdr:row>
      <xdr:rowOff>47626</xdr:rowOff>
    </xdr:to>
    <xdr:sp macro="" textlink="">
      <xdr:nvSpPr>
        <xdr:cNvPr id="6" name="TextBox 5"/>
        <xdr:cNvSpPr txBox="1"/>
      </xdr:nvSpPr>
      <xdr:spPr>
        <a:xfrm>
          <a:off x="4200525" y="10963276"/>
          <a:ext cx="25050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Lihtsustused toruprofiilidest varrastele:
*kiivetegur </a:t>
          </a:r>
          <a:r>
            <a:rPr lang="el-GR" sz="1100"/>
            <a:t>χ</a:t>
          </a:r>
          <a:r>
            <a:rPr lang="et-EE" sz="1100" baseline="-25000"/>
            <a:t>LT</a:t>
          </a:r>
          <a:r>
            <a:rPr lang="et-EE" sz="1100"/>
            <a:t> =1
*k</a:t>
          </a:r>
          <a:r>
            <a:rPr lang="et-EE" sz="1100" baseline="-25000"/>
            <a:t>yy</a:t>
          </a:r>
          <a:r>
            <a:rPr lang="et-EE" sz="1100"/>
            <a:t> määratakse tabelist 12.24a [Ins.Kr.]
*k</a:t>
          </a:r>
          <a:r>
            <a:rPr lang="et-EE" sz="1100" baseline="-25000"/>
            <a:t>zy</a:t>
          </a:r>
          <a:r>
            <a:rPr lang="et-EE" sz="1100"/>
            <a:t>=0</a:t>
          </a:r>
        </a:p>
      </xdr:txBody>
    </xdr:sp>
    <xdr:clientData/>
  </xdr:twoCellAnchor>
  <xdr:twoCellAnchor editAs="oneCell">
    <xdr:from>
      <xdr:col>19</xdr:col>
      <xdr:colOff>68162</xdr:colOff>
      <xdr:row>42</xdr:row>
      <xdr:rowOff>66674</xdr:rowOff>
    </xdr:from>
    <xdr:to>
      <xdr:col>36</xdr:col>
      <xdr:colOff>6104</xdr:colOff>
      <xdr:row>68</xdr:row>
      <xdr:rowOff>152399</xdr:rowOff>
    </xdr:to>
    <xdr:pic>
      <xdr:nvPicPr>
        <xdr:cNvPr id="7" name="Picture 6" descr="koosmõjutegurite_tabel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73687" y="8867774"/>
          <a:ext cx="5929167" cy="5534025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59</xdr:row>
      <xdr:rowOff>142875</xdr:rowOff>
    </xdr:from>
    <xdr:to>
      <xdr:col>18</xdr:col>
      <xdr:colOff>47625</xdr:colOff>
      <xdr:row>61</xdr:row>
      <xdr:rowOff>180975</xdr:rowOff>
    </xdr:to>
    <xdr:sp macro="" textlink="">
      <xdr:nvSpPr>
        <xdr:cNvPr id="8" name="TextBox 7"/>
        <xdr:cNvSpPr txBox="1"/>
      </xdr:nvSpPr>
      <xdr:spPr>
        <a:xfrm>
          <a:off x="2714625" y="12506325"/>
          <a:ext cx="37433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>
              <a:solidFill>
                <a:srgbClr val="FF0000"/>
              </a:solidFill>
            </a:rPr>
            <a:t>Siirduvate</a:t>
          </a:r>
          <a:r>
            <a:rPr lang="et-EE" sz="1100" baseline="0">
              <a:solidFill>
                <a:srgbClr val="FF0000"/>
              </a:solidFill>
            </a:rPr>
            <a:t> sõlmedega raamide varrastel  võib võtta Cmy=0,9.</a:t>
          </a:r>
        </a:p>
        <a:p>
          <a:r>
            <a:rPr lang="et-EE" sz="1100" baseline="0">
              <a:solidFill>
                <a:srgbClr val="FF0000"/>
              </a:solidFill>
            </a:rPr>
            <a:t>Kas kehtib ka siin?</a:t>
          </a:r>
        </a:p>
      </xdr:txBody>
    </xdr:sp>
    <xdr:clientData/>
  </xdr:twoCellAnchor>
  <xdr:twoCellAnchor>
    <xdr:from>
      <xdr:col>5</xdr:col>
      <xdr:colOff>9525</xdr:colOff>
      <xdr:row>60</xdr:row>
      <xdr:rowOff>161925</xdr:rowOff>
    </xdr:from>
    <xdr:to>
      <xdr:col>8</xdr:col>
      <xdr:colOff>19050</xdr:colOff>
      <xdr:row>62</xdr:row>
      <xdr:rowOff>66675</xdr:rowOff>
    </xdr:to>
    <xdr:cxnSp macro="">
      <xdr:nvCxnSpPr>
        <xdr:cNvPr id="10" name="Straight Arrow Connector 9"/>
        <xdr:cNvCxnSpPr>
          <a:stCxn id="8" idx="1"/>
        </xdr:cNvCxnSpPr>
      </xdr:nvCxnSpPr>
      <xdr:spPr>
        <a:xfrm flipH="1">
          <a:off x="1866900" y="12734925"/>
          <a:ext cx="8477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190500</xdr:colOff>
      <xdr:row>197</xdr:row>
      <xdr:rowOff>142875</xdr:rowOff>
    </xdr:from>
    <xdr:to>
      <xdr:col>31</xdr:col>
      <xdr:colOff>324981</xdr:colOff>
      <xdr:row>201</xdr:row>
      <xdr:rowOff>143005</xdr:rowOff>
    </xdr:to>
    <xdr:pic>
      <xdr:nvPicPr>
        <xdr:cNvPr id="9" name="Picture 8" descr="Posti_RK_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96025" y="38490525"/>
          <a:ext cx="4363581" cy="838330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154</xdr:row>
      <xdr:rowOff>114300</xdr:rowOff>
    </xdr:from>
    <xdr:to>
      <xdr:col>18</xdr:col>
      <xdr:colOff>180975</xdr:colOff>
      <xdr:row>157</xdr:row>
      <xdr:rowOff>123825</xdr:rowOff>
    </xdr:to>
    <xdr:sp macro="" textlink="">
      <xdr:nvSpPr>
        <xdr:cNvPr id="11" name="TextBox 10"/>
        <xdr:cNvSpPr txBox="1"/>
      </xdr:nvSpPr>
      <xdr:spPr>
        <a:xfrm>
          <a:off x="3829050" y="32385000"/>
          <a:ext cx="21050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Märkus.</a:t>
          </a:r>
          <a:r>
            <a:rPr lang="et-EE" sz="1100" baseline="0"/>
            <a:t> Ristlõikes töötab koos 2 profiili. </a:t>
          </a:r>
          <a:endParaRPr lang="et-EE" sz="1100"/>
        </a:p>
      </xdr:txBody>
    </xdr:sp>
    <xdr:clientData/>
  </xdr:twoCellAnchor>
  <xdr:twoCellAnchor>
    <xdr:from>
      <xdr:col>13</xdr:col>
      <xdr:colOff>66676</xdr:colOff>
      <xdr:row>170</xdr:row>
      <xdr:rowOff>193337</xdr:rowOff>
    </xdr:from>
    <xdr:to>
      <xdr:col>17</xdr:col>
      <xdr:colOff>228601</xdr:colOff>
      <xdr:row>178</xdr:row>
      <xdr:rowOff>67162</xdr:rowOff>
    </xdr:to>
    <xdr:grpSp>
      <xdr:nvGrpSpPr>
        <xdr:cNvPr id="39" name="Group 38"/>
        <xdr:cNvGrpSpPr/>
      </xdr:nvGrpSpPr>
      <xdr:grpSpPr>
        <a:xfrm>
          <a:off x="4286251" y="35816837"/>
          <a:ext cx="1647825" cy="1550225"/>
          <a:chOff x="4000500" y="33366087"/>
          <a:chExt cx="1409700" cy="1202545"/>
        </a:xfrm>
      </xdr:grpSpPr>
      <xdr:grpSp>
        <xdr:nvGrpSpPr>
          <xdr:cNvPr id="26" name="Group 25"/>
          <xdr:cNvGrpSpPr/>
        </xdr:nvGrpSpPr>
        <xdr:grpSpPr>
          <a:xfrm>
            <a:off x="4000500" y="33366087"/>
            <a:ext cx="1392612" cy="1202545"/>
            <a:chOff x="4105273" y="32889825"/>
            <a:chExt cx="1776783" cy="1330973"/>
          </a:xfrm>
        </xdr:grpSpPr>
        <xdr:grpSp>
          <xdr:nvGrpSpPr>
            <xdr:cNvPr id="17" name="Group 16"/>
            <xdr:cNvGrpSpPr/>
          </xdr:nvGrpSpPr>
          <xdr:grpSpPr>
            <a:xfrm>
              <a:off x="4105275" y="32889825"/>
              <a:ext cx="428625" cy="1085850"/>
              <a:chOff x="4076700" y="32823150"/>
              <a:chExt cx="428625" cy="1085850"/>
            </a:xfrm>
          </xdr:grpSpPr>
          <xdr:cxnSp macro="">
            <xdr:nvCxnSpPr>
              <xdr:cNvPr id="13" name="Straight Connector 12"/>
              <xdr:cNvCxnSpPr/>
            </xdr:nvCxnSpPr>
            <xdr:spPr>
              <a:xfrm>
                <a:off x="4076700" y="32823150"/>
                <a:ext cx="4095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Straight Connector 14"/>
              <xdr:cNvCxnSpPr/>
            </xdr:nvCxnSpPr>
            <xdr:spPr>
              <a:xfrm>
                <a:off x="4505325" y="32832675"/>
                <a:ext cx="0" cy="10763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Straight Connector 15"/>
              <xdr:cNvCxnSpPr/>
            </xdr:nvCxnSpPr>
            <xdr:spPr>
              <a:xfrm>
                <a:off x="4076700" y="33899475"/>
                <a:ext cx="4095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8" name="Group 17"/>
            <xdr:cNvGrpSpPr/>
          </xdr:nvGrpSpPr>
          <xdr:grpSpPr>
            <a:xfrm>
              <a:off x="5448300" y="32889825"/>
              <a:ext cx="419100" cy="1085850"/>
              <a:chOff x="4067175" y="32823150"/>
              <a:chExt cx="419100" cy="1085850"/>
            </a:xfrm>
          </xdr:grpSpPr>
          <xdr:cxnSp macro="">
            <xdr:nvCxnSpPr>
              <xdr:cNvPr id="19" name="Straight Connector 18"/>
              <xdr:cNvCxnSpPr/>
            </xdr:nvCxnSpPr>
            <xdr:spPr>
              <a:xfrm>
                <a:off x="4076700" y="32823150"/>
                <a:ext cx="4095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Straight Connector 19"/>
              <xdr:cNvCxnSpPr/>
            </xdr:nvCxnSpPr>
            <xdr:spPr>
              <a:xfrm>
                <a:off x="4067175" y="32832675"/>
                <a:ext cx="0" cy="10763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Straight Connector 20"/>
              <xdr:cNvCxnSpPr/>
            </xdr:nvCxnSpPr>
            <xdr:spPr>
              <a:xfrm>
                <a:off x="4076700" y="33899475"/>
                <a:ext cx="4095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4" name="Straight Arrow Connector 23"/>
            <xdr:cNvCxnSpPr/>
          </xdr:nvCxnSpPr>
          <xdr:spPr>
            <a:xfrm>
              <a:off x="4524375" y="33908541"/>
              <a:ext cx="904875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" name="TextBox 24"/>
            <xdr:cNvSpPr txBox="1"/>
          </xdr:nvSpPr>
          <xdr:spPr>
            <a:xfrm>
              <a:off x="4829176" y="33708516"/>
              <a:ext cx="323850" cy="2286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t-EE" sz="1100"/>
                <a:t>d</a:t>
              </a:r>
            </a:p>
          </xdr:txBody>
        </xdr:sp>
        <xdr:sp macro="" textlink="">
          <xdr:nvSpPr>
            <xdr:cNvPr id="37" name="TextBox 36"/>
            <xdr:cNvSpPr txBox="1"/>
          </xdr:nvSpPr>
          <xdr:spPr>
            <a:xfrm>
              <a:off x="5497568" y="33181401"/>
              <a:ext cx="323850" cy="2286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t-EE" sz="1100"/>
                <a:t>y</a:t>
              </a:r>
            </a:p>
          </xdr:txBody>
        </xdr:sp>
        <xdr:sp macro="" textlink="">
          <xdr:nvSpPr>
            <xdr:cNvPr id="38" name="TextBox 37"/>
            <xdr:cNvSpPr txBox="1"/>
          </xdr:nvSpPr>
          <xdr:spPr>
            <a:xfrm>
              <a:off x="4975006" y="33079584"/>
              <a:ext cx="515665" cy="2635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t-EE" sz="1100"/>
                <a:t>z</a:t>
              </a:r>
            </a:p>
          </xdr:txBody>
        </xdr:sp>
        <xdr:cxnSp macro="">
          <xdr:nvCxnSpPr>
            <xdr:cNvPr id="40" name="Straight Arrow Connector 39"/>
            <xdr:cNvCxnSpPr/>
          </xdr:nvCxnSpPr>
          <xdr:spPr>
            <a:xfrm>
              <a:off x="4105273" y="34192224"/>
              <a:ext cx="1776783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TextBox 40"/>
            <xdr:cNvSpPr txBox="1"/>
          </xdr:nvSpPr>
          <xdr:spPr>
            <a:xfrm>
              <a:off x="4829176" y="33992198"/>
              <a:ext cx="323850" cy="2286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t-EE" sz="1100"/>
                <a:t>b</a:t>
              </a:r>
            </a:p>
          </xdr:txBody>
        </xdr:sp>
      </xdr:grpSp>
      <xdr:cxnSp macro="">
        <xdr:nvCxnSpPr>
          <xdr:cNvPr id="28" name="Straight Arrow Connector 27"/>
          <xdr:cNvCxnSpPr/>
        </xdr:nvCxnSpPr>
        <xdr:spPr>
          <a:xfrm>
            <a:off x="4591050" y="33842325"/>
            <a:ext cx="81915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/>
          <xdr:cNvCxnSpPr/>
        </xdr:nvCxnSpPr>
        <xdr:spPr>
          <a:xfrm>
            <a:off x="4695825" y="33718500"/>
            <a:ext cx="0" cy="32385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657224</xdr:colOff>
      <xdr:row>31</xdr:row>
      <xdr:rowOff>236028</xdr:rowOff>
    </xdr:from>
    <xdr:to>
      <xdr:col>19</xdr:col>
      <xdr:colOff>19050</xdr:colOff>
      <xdr:row>40</xdr:row>
      <xdr:rowOff>0</xdr:rowOff>
    </xdr:to>
    <xdr:pic>
      <xdr:nvPicPr>
        <xdr:cNvPr id="19457" name="Picture 1" descr="UP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4" y="9389553"/>
          <a:ext cx="2124076" cy="242144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Energia%20ja%20Planeeringud/2010_0167_Harku_Lihula_Sindi_Trassivalik/1_Sisend/9_Mastide_projekteerimine/XLSX/2010_0167_Mastid_arvut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0_0167_Mastid_arvut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XLC/XLC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OONMAST-TUUL"/>
      <sheetName val="SÕRESTIK-TUUL"/>
      <sheetName val="VARRAS1"/>
      <sheetName val="Üldinfo"/>
      <sheetName val="Kontroll"/>
      <sheetName val="Ristlõiked"/>
      <sheetName val="Poltliide"/>
      <sheetName val="TUULEKOORMUS 1"/>
      <sheetName val="TUULEKOORMUS 2"/>
      <sheetName val="TUULEKOORMUS 3"/>
      <sheetName val="TUUL JÄITUND MASTILE 1"/>
      <sheetName val="TUUL JÄITUND MASTILE 2"/>
      <sheetName val="TUUL JÄITUND MASTILE 3"/>
      <sheetName val="KOORMUSED"/>
      <sheetName val="KOMBINATSIOONID_1"/>
      <sheetName val="KOMBINATSIOONID_2"/>
      <sheetName val="KOMB_7_SISEJ6UD"/>
      <sheetName val="MUDELI_KONTROLL"/>
      <sheetName val="RESUL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45×4</v>
          </cell>
          <cell r="B5">
            <v>2.74</v>
          </cell>
          <cell r="C5">
            <v>3.49</v>
          </cell>
          <cell r="D5">
            <v>7</v>
          </cell>
          <cell r="E5">
            <v>1.23</v>
          </cell>
          <cell r="F5">
            <v>1.75</v>
          </cell>
          <cell r="G5">
            <v>1.57</v>
          </cell>
          <cell r="H5">
            <v>6.43</v>
          </cell>
          <cell r="I5">
            <v>1.97</v>
          </cell>
          <cell r="J5">
            <v>1.36</v>
          </cell>
          <cell r="K5">
            <v>10.199999999999999</v>
          </cell>
          <cell r="L5">
            <v>1.71</v>
          </cell>
          <cell r="M5">
            <v>2.68</v>
          </cell>
          <cell r="N5">
            <v>1.53</v>
          </cell>
          <cell r="O5">
            <v>0.88</v>
          </cell>
          <cell r="P5">
            <v>45</v>
          </cell>
          <cell r="Q5">
            <v>4</v>
          </cell>
        </row>
        <row r="6">
          <cell r="A6" t="str">
            <v>45×5</v>
          </cell>
          <cell r="B6">
            <v>3.38</v>
          </cell>
          <cell r="C6">
            <v>4.3</v>
          </cell>
          <cell r="D6">
            <v>7</v>
          </cell>
          <cell r="E6">
            <v>1.28</v>
          </cell>
          <cell r="F6">
            <v>1.81</v>
          </cell>
          <cell r="G6">
            <v>1.58</v>
          </cell>
          <cell r="H6">
            <v>7.83</v>
          </cell>
          <cell r="I6">
            <v>2.4300000000000002</v>
          </cell>
          <cell r="J6">
            <v>1.35</v>
          </cell>
          <cell r="K6">
            <v>12.4</v>
          </cell>
          <cell r="L6">
            <v>1.7</v>
          </cell>
          <cell r="M6">
            <v>3.25</v>
          </cell>
          <cell r="N6">
            <v>1.8</v>
          </cell>
          <cell r="O6">
            <v>0.87</v>
          </cell>
          <cell r="P6">
            <v>45</v>
          </cell>
          <cell r="Q6">
            <v>5</v>
          </cell>
        </row>
        <row r="7">
          <cell r="A7" t="str">
            <v>50×5</v>
          </cell>
          <cell r="B7">
            <v>3.77</v>
          </cell>
          <cell r="C7">
            <v>4.8</v>
          </cell>
          <cell r="D7">
            <v>7</v>
          </cell>
          <cell r="E7">
            <v>1.4</v>
          </cell>
          <cell r="F7">
            <v>1.98</v>
          </cell>
          <cell r="G7">
            <v>1.76</v>
          </cell>
          <cell r="H7">
            <v>11</v>
          </cell>
          <cell r="I7">
            <v>3.05</v>
          </cell>
          <cell r="J7">
            <v>1.51</v>
          </cell>
          <cell r="K7">
            <v>17.399999999999999</v>
          </cell>
          <cell r="L7">
            <v>1.9</v>
          </cell>
          <cell r="M7">
            <v>4.59</v>
          </cell>
          <cell r="N7">
            <v>2.3199999999999998</v>
          </cell>
          <cell r="O7">
            <v>0.98</v>
          </cell>
          <cell r="P7">
            <v>50</v>
          </cell>
          <cell r="Q7">
            <v>5</v>
          </cell>
        </row>
        <row r="8">
          <cell r="A8" t="str">
            <v>50×6</v>
          </cell>
          <cell r="B8">
            <v>4.47</v>
          </cell>
          <cell r="C8">
            <v>5.69</v>
          </cell>
          <cell r="D8">
            <v>7</v>
          </cell>
          <cell r="E8">
            <v>1.45</v>
          </cell>
          <cell r="F8">
            <v>2.04</v>
          </cell>
          <cell r="G8">
            <v>1.77</v>
          </cell>
          <cell r="H8">
            <v>12.8</v>
          </cell>
          <cell r="I8">
            <v>3.61</v>
          </cell>
          <cell r="J8">
            <v>1.5</v>
          </cell>
          <cell r="K8">
            <v>20.399999999999999</v>
          </cell>
          <cell r="L8">
            <v>1.89</v>
          </cell>
          <cell r="M8">
            <v>5.24</v>
          </cell>
          <cell r="N8">
            <v>2.57</v>
          </cell>
          <cell r="O8">
            <v>0.96</v>
          </cell>
          <cell r="P8">
            <v>50</v>
          </cell>
          <cell r="Q8">
            <v>6</v>
          </cell>
        </row>
        <row r="9">
          <cell r="A9" t="str">
            <v>50×7</v>
          </cell>
          <cell r="B9">
            <v>5.15</v>
          </cell>
          <cell r="C9">
            <v>6.56</v>
          </cell>
          <cell r="D9">
            <v>7</v>
          </cell>
          <cell r="E9">
            <v>1.49</v>
          </cell>
          <cell r="F9">
            <v>2.11</v>
          </cell>
          <cell r="G9">
            <v>1.78</v>
          </cell>
          <cell r="H9">
            <v>14.6</v>
          </cell>
          <cell r="I9">
            <v>4.1500000000000004</v>
          </cell>
          <cell r="J9">
            <v>1.49</v>
          </cell>
          <cell r="K9">
            <v>23.1</v>
          </cell>
          <cell r="L9">
            <v>1.88</v>
          </cell>
          <cell r="M9">
            <v>6.02</v>
          </cell>
          <cell r="N9">
            <v>2.85</v>
          </cell>
          <cell r="O9">
            <v>0.96</v>
          </cell>
          <cell r="P9">
            <v>50</v>
          </cell>
          <cell r="Q9">
            <v>7</v>
          </cell>
        </row>
        <row r="10">
          <cell r="A10" t="str">
            <v>60×5</v>
          </cell>
          <cell r="B10">
            <v>4.57</v>
          </cell>
          <cell r="C10">
            <v>5.82</v>
          </cell>
          <cell r="D10">
            <v>8</v>
          </cell>
          <cell r="E10">
            <v>1.64</v>
          </cell>
          <cell r="F10">
            <v>2.3199999999999998</v>
          </cell>
          <cell r="G10">
            <v>2.11</v>
          </cell>
          <cell r="H10">
            <v>19.399999999999999</v>
          </cell>
          <cell r="I10">
            <v>4.45</v>
          </cell>
          <cell r="J10">
            <v>1.82</v>
          </cell>
          <cell r="K10">
            <v>30.7</v>
          </cell>
          <cell r="L10">
            <v>2.2999999999999998</v>
          </cell>
          <cell r="M10">
            <v>8.0299999999999994</v>
          </cell>
          <cell r="N10">
            <v>3.46</v>
          </cell>
          <cell r="O10">
            <v>1.17</v>
          </cell>
          <cell r="P10">
            <v>60</v>
          </cell>
          <cell r="Q10">
            <v>5</v>
          </cell>
        </row>
        <row r="11">
          <cell r="A11" t="str">
            <v>60×6</v>
          </cell>
          <cell r="B11">
            <v>5.42</v>
          </cell>
          <cell r="C11">
            <v>6.91</v>
          </cell>
          <cell r="D11">
            <v>8</v>
          </cell>
          <cell r="E11">
            <v>1.69</v>
          </cell>
          <cell r="F11">
            <v>2.39</v>
          </cell>
          <cell r="G11">
            <v>2.11</v>
          </cell>
          <cell r="H11">
            <v>22.8</v>
          </cell>
          <cell r="I11">
            <v>5.29</v>
          </cell>
          <cell r="J11">
            <v>1.82</v>
          </cell>
          <cell r="K11">
            <v>36.1</v>
          </cell>
          <cell r="L11">
            <v>2.29</v>
          </cell>
          <cell r="M11">
            <v>9.42</v>
          </cell>
          <cell r="N11">
            <v>3.95</v>
          </cell>
          <cell r="O11">
            <v>1.17</v>
          </cell>
          <cell r="P11">
            <v>60</v>
          </cell>
          <cell r="Q11">
            <v>6</v>
          </cell>
        </row>
        <row r="12">
          <cell r="A12" t="str">
            <v>60×8</v>
          </cell>
          <cell r="B12">
            <v>7.09</v>
          </cell>
          <cell r="C12">
            <v>9.0299999999999994</v>
          </cell>
          <cell r="D12">
            <v>8</v>
          </cell>
          <cell r="E12">
            <v>1.77</v>
          </cell>
          <cell r="F12">
            <v>2.5</v>
          </cell>
          <cell r="G12">
            <v>2.14</v>
          </cell>
          <cell r="H12">
            <v>29.1</v>
          </cell>
          <cell r="I12">
            <v>6.88</v>
          </cell>
          <cell r="J12">
            <v>1.8</v>
          </cell>
          <cell r="K12">
            <v>46.1</v>
          </cell>
          <cell r="L12">
            <v>2.2599999999999998</v>
          </cell>
          <cell r="M12">
            <v>12.1</v>
          </cell>
          <cell r="N12">
            <v>4.84</v>
          </cell>
          <cell r="O12">
            <v>1.1599999999999999</v>
          </cell>
          <cell r="P12">
            <v>60</v>
          </cell>
          <cell r="Q12">
            <v>8</v>
          </cell>
        </row>
        <row r="13">
          <cell r="A13" t="str">
            <v>65×7</v>
          </cell>
          <cell r="B13">
            <v>6.83</v>
          </cell>
          <cell r="C13">
            <v>8.6999999999999993</v>
          </cell>
          <cell r="D13">
            <v>9</v>
          </cell>
          <cell r="E13">
            <v>1.85</v>
          </cell>
          <cell r="F13">
            <v>2.62</v>
          </cell>
          <cell r="G13">
            <v>2.29</v>
          </cell>
          <cell r="H13">
            <v>33.4</v>
          </cell>
          <cell r="I13">
            <v>7.18</v>
          </cell>
          <cell r="J13">
            <v>1.96</v>
          </cell>
          <cell r="K13">
            <v>53</v>
          </cell>
          <cell r="L13">
            <v>2.4700000000000002</v>
          </cell>
          <cell r="M13">
            <v>13.8</v>
          </cell>
          <cell r="N13">
            <v>5.27</v>
          </cell>
          <cell r="O13">
            <v>1.26</v>
          </cell>
          <cell r="P13">
            <v>65</v>
          </cell>
          <cell r="Q13">
            <v>7</v>
          </cell>
        </row>
        <row r="14">
          <cell r="A14" t="str">
            <v>70×7</v>
          </cell>
          <cell r="B14">
            <v>7.38</v>
          </cell>
          <cell r="C14">
            <v>9.4</v>
          </cell>
          <cell r="D14">
            <v>9</v>
          </cell>
          <cell r="E14">
            <v>1.97</v>
          </cell>
          <cell r="F14">
            <v>2.79</v>
          </cell>
          <cell r="G14">
            <v>2.4700000000000002</v>
          </cell>
          <cell r="H14">
            <v>42.4</v>
          </cell>
          <cell r="I14">
            <v>8.43</v>
          </cell>
          <cell r="J14">
            <v>2.12</v>
          </cell>
          <cell r="K14">
            <v>67.099999999999994</v>
          </cell>
          <cell r="L14">
            <v>2.67</v>
          </cell>
          <cell r="M14">
            <v>17.600000000000001</v>
          </cell>
          <cell r="N14">
            <v>6.31</v>
          </cell>
          <cell r="O14">
            <v>1.37</v>
          </cell>
          <cell r="P14">
            <v>70</v>
          </cell>
          <cell r="Q14">
            <v>7</v>
          </cell>
        </row>
        <row r="15">
          <cell r="A15" t="str">
            <v>70×8</v>
          </cell>
          <cell r="B15">
            <v>9.34</v>
          </cell>
          <cell r="C15">
            <v>11.9</v>
          </cell>
          <cell r="D15">
            <v>9</v>
          </cell>
          <cell r="E15">
            <v>2.0499999999999998</v>
          </cell>
          <cell r="F15">
            <v>2.9</v>
          </cell>
          <cell r="G15">
            <v>2.5</v>
          </cell>
          <cell r="H15">
            <v>52.6</v>
          </cell>
          <cell r="I15">
            <v>10.6</v>
          </cell>
          <cell r="J15">
            <v>2.1</v>
          </cell>
          <cell r="K15">
            <v>83.1</v>
          </cell>
          <cell r="L15">
            <v>2.64</v>
          </cell>
          <cell r="M15">
            <v>22</v>
          </cell>
          <cell r="N15">
            <v>7.59</v>
          </cell>
          <cell r="O15">
            <v>1.36</v>
          </cell>
          <cell r="P15">
            <v>70</v>
          </cell>
          <cell r="Q15">
            <v>8</v>
          </cell>
        </row>
        <row r="16">
          <cell r="A16" t="str">
            <v>75×7</v>
          </cell>
          <cell r="B16">
            <v>7.94</v>
          </cell>
          <cell r="C16">
            <v>10.1</v>
          </cell>
          <cell r="D16">
            <v>10</v>
          </cell>
          <cell r="E16">
            <v>2.09</v>
          </cell>
          <cell r="F16">
            <v>2.95</v>
          </cell>
          <cell r="G16">
            <v>2.63</v>
          </cell>
          <cell r="H16">
            <v>52.4</v>
          </cell>
          <cell r="I16">
            <v>9.67</v>
          </cell>
          <cell r="J16">
            <v>2.2799999999999998</v>
          </cell>
          <cell r="K16">
            <v>83.6</v>
          </cell>
          <cell r="L16">
            <v>2.88</v>
          </cell>
          <cell r="M16">
            <v>21.1</v>
          </cell>
          <cell r="N16">
            <v>7.15</v>
          </cell>
          <cell r="O16">
            <v>1.45</v>
          </cell>
          <cell r="P16">
            <v>75</v>
          </cell>
          <cell r="Q16">
            <v>7</v>
          </cell>
        </row>
        <row r="17">
          <cell r="A17" t="str">
            <v>75×8</v>
          </cell>
          <cell r="B17">
            <v>9.0299999999999994</v>
          </cell>
          <cell r="C17">
            <v>11.5</v>
          </cell>
          <cell r="D17">
            <v>10</v>
          </cell>
          <cell r="E17">
            <v>2.13</v>
          </cell>
          <cell r="F17">
            <v>3.01</v>
          </cell>
          <cell r="G17">
            <v>2.65</v>
          </cell>
          <cell r="H17">
            <v>58.9</v>
          </cell>
          <cell r="I17">
            <v>11</v>
          </cell>
          <cell r="J17">
            <v>2.2599999999999998</v>
          </cell>
          <cell r="K17">
            <v>93.3</v>
          </cell>
          <cell r="L17">
            <v>2.85</v>
          </cell>
          <cell r="M17">
            <v>24.4</v>
          </cell>
          <cell r="N17">
            <v>8.11</v>
          </cell>
          <cell r="O17">
            <v>1.46</v>
          </cell>
          <cell r="P17">
            <v>75</v>
          </cell>
          <cell r="Q17">
            <v>8</v>
          </cell>
        </row>
        <row r="18">
          <cell r="A18" t="str">
            <v>80×6</v>
          </cell>
          <cell r="B18">
            <v>7.34</v>
          </cell>
          <cell r="C18">
            <v>9.35</v>
          </cell>
          <cell r="D18">
            <v>10</v>
          </cell>
          <cell r="E18">
            <v>2.17</v>
          </cell>
          <cell r="F18">
            <v>3.07</v>
          </cell>
          <cell r="G18">
            <v>2.8</v>
          </cell>
          <cell r="H18">
            <v>55.8</v>
          </cell>
          <cell r="I18">
            <v>9.57</v>
          </cell>
          <cell r="J18">
            <v>2.44</v>
          </cell>
          <cell r="K18">
            <v>88.5</v>
          </cell>
          <cell r="L18">
            <v>3.08</v>
          </cell>
          <cell r="M18">
            <v>23.1</v>
          </cell>
          <cell r="N18">
            <v>7.54</v>
          </cell>
          <cell r="O18">
            <v>1.57</v>
          </cell>
          <cell r="P18">
            <v>80</v>
          </cell>
          <cell r="Q18">
            <v>6</v>
          </cell>
        </row>
        <row r="19">
          <cell r="A19" t="str">
            <v>80×8</v>
          </cell>
          <cell r="B19">
            <v>9.66</v>
          </cell>
          <cell r="C19">
            <v>12.3</v>
          </cell>
          <cell r="D19">
            <v>10</v>
          </cell>
          <cell r="E19">
            <v>2.2599999999999998</v>
          </cell>
          <cell r="F19">
            <v>3.2</v>
          </cell>
          <cell r="G19">
            <v>2.82</v>
          </cell>
          <cell r="H19">
            <v>72.3</v>
          </cell>
          <cell r="I19">
            <v>12.6</v>
          </cell>
          <cell r="J19">
            <v>2.42</v>
          </cell>
          <cell r="K19">
            <v>115</v>
          </cell>
          <cell r="L19">
            <v>3.06</v>
          </cell>
          <cell r="M19">
            <v>29.6</v>
          </cell>
          <cell r="N19">
            <v>9.25</v>
          </cell>
          <cell r="O19">
            <v>1.55</v>
          </cell>
          <cell r="P19">
            <v>80</v>
          </cell>
          <cell r="Q19">
            <v>8</v>
          </cell>
        </row>
        <row r="20">
          <cell r="A20" t="str">
            <v>80×10</v>
          </cell>
          <cell r="B20">
            <v>11.9</v>
          </cell>
          <cell r="C20">
            <v>15.1</v>
          </cell>
          <cell r="D20">
            <v>10</v>
          </cell>
          <cell r="E20">
            <v>2.34</v>
          </cell>
          <cell r="F20">
            <v>3.31</v>
          </cell>
          <cell r="G20">
            <v>2.85</v>
          </cell>
          <cell r="H20">
            <v>87.5</v>
          </cell>
          <cell r="I20">
            <v>15.5</v>
          </cell>
          <cell r="J20">
            <v>2.41</v>
          </cell>
          <cell r="K20">
            <v>139</v>
          </cell>
          <cell r="L20">
            <v>3.03</v>
          </cell>
          <cell r="M20">
            <v>35.9</v>
          </cell>
          <cell r="N20">
            <v>10.9</v>
          </cell>
          <cell r="O20">
            <v>1.54</v>
          </cell>
          <cell r="P20">
            <v>80</v>
          </cell>
          <cell r="Q20">
            <v>10</v>
          </cell>
        </row>
        <row r="21">
          <cell r="A21" t="str">
            <v>90×7</v>
          </cell>
          <cell r="B21">
            <v>9.61</v>
          </cell>
          <cell r="C21">
            <v>12.2</v>
          </cell>
          <cell r="D21">
            <v>11</v>
          </cell>
          <cell r="E21">
            <v>2.4500000000000002</v>
          </cell>
          <cell r="F21">
            <v>3.47</v>
          </cell>
          <cell r="G21">
            <v>3.16</v>
          </cell>
          <cell r="H21">
            <v>92.6</v>
          </cell>
          <cell r="I21">
            <v>14.1</v>
          </cell>
          <cell r="J21">
            <v>2.75</v>
          </cell>
          <cell r="K21">
            <v>147</v>
          </cell>
          <cell r="L21">
            <v>3.46</v>
          </cell>
          <cell r="M21">
            <v>38.299999999999997</v>
          </cell>
          <cell r="N21">
            <v>11</v>
          </cell>
          <cell r="O21">
            <v>1.77</v>
          </cell>
          <cell r="P21">
            <v>90</v>
          </cell>
          <cell r="Q21">
            <v>7</v>
          </cell>
        </row>
        <row r="22">
          <cell r="A22" t="str">
            <v>90×9</v>
          </cell>
          <cell r="B22">
            <v>12.2</v>
          </cell>
          <cell r="C22">
            <v>15.5</v>
          </cell>
          <cell r="D22">
            <v>11</v>
          </cell>
          <cell r="E22">
            <v>2.54</v>
          </cell>
          <cell r="F22">
            <v>3.59</v>
          </cell>
          <cell r="G22">
            <v>3.18</v>
          </cell>
          <cell r="H22">
            <v>116</v>
          </cell>
          <cell r="I22">
            <v>18</v>
          </cell>
          <cell r="J22">
            <v>2.74</v>
          </cell>
          <cell r="K22">
            <v>184</v>
          </cell>
          <cell r="L22">
            <v>3.45</v>
          </cell>
          <cell r="M22">
            <v>47.8</v>
          </cell>
          <cell r="N22">
            <v>13.3</v>
          </cell>
          <cell r="O22">
            <v>1.76</v>
          </cell>
          <cell r="P22">
            <v>90</v>
          </cell>
          <cell r="Q22">
            <v>9</v>
          </cell>
        </row>
        <row r="23">
          <cell r="A23" t="str">
            <v>100×8</v>
          </cell>
          <cell r="B23">
            <v>12.2</v>
          </cell>
          <cell r="C23">
            <v>15.5</v>
          </cell>
          <cell r="D23">
            <v>12</v>
          </cell>
          <cell r="E23">
            <v>2.74</v>
          </cell>
          <cell r="F23">
            <v>3.87</v>
          </cell>
          <cell r="G23">
            <v>3.52</v>
          </cell>
          <cell r="H23">
            <v>145</v>
          </cell>
          <cell r="I23">
            <v>19.899999999999999</v>
          </cell>
          <cell r="J23">
            <v>3.06</v>
          </cell>
          <cell r="K23">
            <v>230</v>
          </cell>
          <cell r="L23">
            <v>3.85</v>
          </cell>
          <cell r="M23">
            <v>59.9</v>
          </cell>
          <cell r="N23">
            <v>15.5</v>
          </cell>
          <cell r="O23">
            <v>1.96</v>
          </cell>
          <cell r="P23">
            <v>100</v>
          </cell>
          <cell r="Q23">
            <v>8</v>
          </cell>
        </row>
        <row r="24">
          <cell r="A24" t="str">
            <v>100×10</v>
          </cell>
          <cell r="B24">
            <v>15.1</v>
          </cell>
          <cell r="C24">
            <v>19.2</v>
          </cell>
          <cell r="D24">
            <v>12</v>
          </cell>
          <cell r="E24">
            <v>2.82</v>
          </cell>
          <cell r="F24">
            <v>3.99</v>
          </cell>
          <cell r="G24">
            <v>3.54</v>
          </cell>
          <cell r="H24">
            <v>177</v>
          </cell>
          <cell r="I24">
            <v>24.7</v>
          </cell>
          <cell r="J24">
            <v>3.04</v>
          </cell>
          <cell r="K24">
            <v>280</v>
          </cell>
          <cell r="L24">
            <v>3.82</v>
          </cell>
          <cell r="M24">
            <v>73.3</v>
          </cell>
          <cell r="N24">
            <v>18.399999999999999</v>
          </cell>
          <cell r="O24">
            <v>1.95</v>
          </cell>
          <cell r="P24">
            <v>100</v>
          </cell>
          <cell r="Q24">
            <v>10</v>
          </cell>
        </row>
        <row r="25">
          <cell r="A25" t="str">
            <v>100×12</v>
          </cell>
          <cell r="B25">
            <v>17.8</v>
          </cell>
          <cell r="C25">
            <v>22.7</v>
          </cell>
          <cell r="D25">
            <v>12</v>
          </cell>
          <cell r="E25">
            <v>2.9</v>
          </cell>
          <cell r="F25">
            <v>4.0999999999999996</v>
          </cell>
          <cell r="G25">
            <v>3.57</v>
          </cell>
          <cell r="H25">
            <v>207</v>
          </cell>
          <cell r="I25">
            <v>29.2</v>
          </cell>
          <cell r="J25">
            <v>3.02</v>
          </cell>
          <cell r="K25">
            <v>328</v>
          </cell>
          <cell r="L25">
            <v>3.8</v>
          </cell>
          <cell r="M25">
            <v>86.2</v>
          </cell>
          <cell r="N25">
            <v>21</v>
          </cell>
          <cell r="O25">
            <v>1.95</v>
          </cell>
          <cell r="P25">
            <v>100</v>
          </cell>
          <cell r="Q25">
            <v>12</v>
          </cell>
        </row>
        <row r="26">
          <cell r="A26" t="str">
            <v>110×10</v>
          </cell>
          <cell r="B26">
            <v>16.600000000000001</v>
          </cell>
          <cell r="C26">
            <v>21.2</v>
          </cell>
          <cell r="D26">
            <v>12</v>
          </cell>
          <cell r="E26">
            <v>3.07</v>
          </cell>
          <cell r="F26">
            <v>4.34</v>
          </cell>
          <cell r="G26">
            <v>3.89</v>
          </cell>
          <cell r="H26">
            <v>239</v>
          </cell>
          <cell r="I26">
            <v>30.1</v>
          </cell>
          <cell r="J26">
            <v>3.36</v>
          </cell>
          <cell r="K26">
            <v>379</v>
          </cell>
          <cell r="L26">
            <v>4.2300000000000004</v>
          </cell>
          <cell r="M26">
            <v>98.6</v>
          </cell>
          <cell r="N26">
            <v>22.7</v>
          </cell>
          <cell r="O26">
            <v>2.16</v>
          </cell>
          <cell r="P26">
            <v>110</v>
          </cell>
          <cell r="Q26">
            <v>10</v>
          </cell>
        </row>
        <row r="27">
          <cell r="A27" t="str">
            <v>120×10</v>
          </cell>
          <cell r="B27">
            <v>18.2</v>
          </cell>
          <cell r="C27">
            <v>23.2</v>
          </cell>
          <cell r="D27">
            <v>13</v>
          </cell>
          <cell r="E27">
            <v>3.31</v>
          </cell>
          <cell r="F27">
            <v>4.6900000000000004</v>
          </cell>
          <cell r="G27">
            <v>4.22</v>
          </cell>
          <cell r="H27">
            <v>313</v>
          </cell>
          <cell r="I27">
            <v>36</v>
          </cell>
          <cell r="J27">
            <v>3.67</v>
          </cell>
          <cell r="K27">
            <v>497</v>
          </cell>
          <cell r="L27">
            <v>4.63</v>
          </cell>
          <cell r="M27">
            <v>129</v>
          </cell>
          <cell r="N27">
            <v>27.5</v>
          </cell>
          <cell r="O27">
            <v>2.36</v>
          </cell>
          <cell r="P27">
            <v>120</v>
          </cell>
          <cell r="Q27">
            <v>10</v>
          </cell>
        </row>
        <row r="28">
          <cell r="A28" t="str">
            <v>120×12</v>
          </cell>
          <cell r="B28">
            <v>21.6</v>
          </cell>
          <cell r="C28">
            <v>27.5</v>
          </cell>
          <cell r="D28">
            <v>13</v>
          </cell>
          <cell r="E28">
            <v>3.4</v>
          </cell>
          <cell r="F28">
            <v>4.8</v>
          </cell>
          <cell r="G28">
            <v>4.25</v>
          </cell>
          <cell r="H28">
            <v>368</v>
          </cell>
          <cell r="I28">
            <v>42.7</v>
          </cell>
          <cell r="J28">
            <v>3.65</v>
          </cell>
          <cell r="K28">
            <v>584</v>
          </cell>
          <cell r="L28">
            <v>4.5999999999999996</v>
          </cell>
          <cell r="M28">
            <v>152</v>
          </cell>
          <cell r="N28">
            <v>31.6</v>
          </cell>
          <cell r="O28">
            <v>2.35</v>
          </cell>
          <cell r="P28">
            <v>120</v>
          </cell>
          <cell r="Q28">
            <v>12</v>
          </cell>
        </row>
        <row r="29">
          <cell r="A29" t="str">
            <v>130×12</v>
          </cell>
          <cell r="B29">
            <v>23.6</v>
          </cell>
          <cell r="C29">
            <v>30</v>
          </cell>
          <cell r="D29">
            <v>14</v>
          </cell>
          <cell r="E29">
            <v>3.64</v>
          </cell>
          <cell r="F29">
            <v>5.15</v>
          </cell>
          <cell r="G29">
            <v>4.5999999999999996</v>
          </cell>
          <cell r="H29">
            <v>472</v>
          </cell>
          <cell r="I29">
            <v>50.4</v>
          </cell>
          <cell r="J29">
            <v>3.97</v>
          </cell>
          <cell r="K29">
            <v>750</v>
          </cell>
          <cell r="L29">
            <v>5</v>
          </cell>
          <cell r="M29">
            <v>194</v>
          </cell>
          <cell r="N29">
            <v>37.700000000000003</v>
          </cell>
          <cell r="O29">
            <v>2.54</v>
          </cell>
          <cell r="P29">
            <v>130</v>
          </cell>
          <cell r="Q29">
            <v>12</v>
          </cell>
        </row>
        <row r="30">
          <cell r="A30" t="str">
            <v>140×13</v>
          </cell>
          <cell r="B30">
            <v>27.6</v>
          </cell>
          <cell r="C30">
            <v>35</v>
          </cell>
          <cell r="D30">
            <v>15</v>
          </cell>
          <cell r="E30">
            <v>3.92</v>
          </cell>
          <cell r="F30">
            <v>5.54</v>
          </cell>
          <cell r="G30">
            <v>4.96</v>
          </cell>
          <cell r="H30">
            <v>638</v>
          </cell>
          <cell r="I30">
            <v>63.3</v>
          </cell>
          <cell r="J30">
            <v>4.2699999999999996</v>
          </cell>
          <cell r="K30">
            <v>1010</v>
          </cell>
          <cell r="L30">
            <v>5.38</v>
          </cell>
          <cell r="M30">
            <v>262</v>
          </cell>
          <cell r="N30">
            <v>47.3</v>
          </cell>
          <cell r="O30">
            <v>2.74</v>
          </cell>
          <cell r="P30">
            <v>140</v>
          </cell>
          <cell r="Q30">
            <v>13</v>
          </cell>
        </row>
        <row r="31">
          <cell r="A31" t="str">
            <v>150×12</v>
          </cell>
          <cell r="B31">
            <v>27.3</v>
          </cell>
          <cell r="C31">
            <v>34.799999999999997</v>
          </cell>
          <cell r="D31">
            <v>16</v>
          </cell>
          <cell r="E31">
            <v>4.12</v>
          </cell>
          <cell r="F31">
            <v>5.83</v>
          </cell>
          <cell r="G31">
            <v>5.29</v>
          </cell>
          <cell r="H31">
            <v>737</v>
          </cell>
          <cell r="I31">
            <v>67.7</v>
          </cell>
          <cell r="J31">
            <v>4.5999999999999996</v>
          </cell>
          <cell r="K31">
            <v>1170</v>
          </cell>
          <cell r="L31">
            <v>5.8</v>
          </cell>
          <cell r="M31">
            <v>303</v>
          </cell>
          <cell r="N31">
            <v>52</v>
          </cell>
          <cell r="O31">
            <v>2.95</v>
          </cell>
          <cell r="P31">
            <v>150</v>
          </cell>
          <cell r="Q31">
            <v>12</v>
          </cell>
        </row>
        <row r="32">
          <cell r="A32" t="str">
            <v>150×15</v>
          </cell>
          <cell r="B32">
            <v>33.799999999999997</v>
          </cell>
          <cell r="C32">
            <v>43</v>
          </cell>
          <cell r="D32">
            <v>16</v>
          </cell>
          <cell r="E32">
            <v>4.25</v>
          </cell>
          <cell r="F32">
            <v>6.01</v>
          </cell>
          <cell r="G32">
            <v>5.33</v>
          </cell>
          <cell r="H32">
            <v>898</v>
          </cell>
          <cell r="I32">
            <v>83.5</v>
          </cell>
          <cell r="J32">
            <v>4.57</v>
          </cell>
          <cell r="K32">
            <v>1430</v>
          </cell>
          <cell r="L32">
            <v>5.76</v>
          </cell>
          <cell r="M32">
            <v>370</v>
          </cell>
          <cell r="N32">
            <v>61.6</v>
          </cell>
          <cell r="O32">
            <v>2.93</v>
          </cell>
          <cell r="P32">
            <v>150</v>
          </cell>
          <cell r="Q32">
            <v>15</v>
          </cell>
        </row>
        <row r="33">
          <cell r="A33" t="str">
            <v>160×15</v>
          </cell>
          <cell r="B33">
            <v>36.200000000000003</v>
          </cell>
          <cell r="C33">
            <v>46.1</v>
          </cell>
          <cell r="D33">
            <v>17</v>
          </cell>
          <cell r="E33">
            <v>4.49</v>
          </cell>
          <cell r="F33">
            <v>6.35</v>
          </cell>
          <cell r="G33">
            <v>5.67</v>
          </cell>
          <cell r="H33">
            <v>1100</v>
          </cell>
          <cell r="I33">
            <v>95.6</v>
          </cell>
          <cell r="J33">
            <v>4.88</v>
          </cell>
          <cell r="K33">
            <v>1750</v>
          </cell>
          <cell r="L33">
            <v>6.15</v>
          </cell>
          <cell r="M33">
            <v>453</v>
          </cell>
          <cell r="N33">
            <v>71.3</v>
          </cell>
          <cell r="O33">
            <v>3.14</v>
          </cell>
          <cell r="P33">
            <v>160</v>
          </cell>
          <cell r="Q33">
            <v>15</v>
          </cell>
        </row>
        <row r="34">
          <cell r="A34" t="str">
            <v>180×16</v>
          </cell>
          <cell r="B34">
            <v>43.5</v>
          </cell>
          <cell r="C34">
            <v>55.4</v>
          </cell>
          <cell r="D34">
            <v>18</v>
          </cell>
          <cell r="E34">
            <v>5.0199999999999996</v>
          </cell>
          <cell r="F34">
            <v>7.11</v>
          </cell>
          <cell r="G34">
            <v>6.39</v>
          </cell>
          <cell r="H34">
            <v>1680</v>
          </cell>
          <cell r="I34">
            <v>130</v>
          </cell>
          <cell r="J34">
            <v>5.51</v>
          </cell>
          <cell r="K34">
            <v>2690</v>
          </cell>
          <cell r="L34">
            <v>6.96</v>
          </cell>
          <cell r="M34">
            <v>679</v>
          </cell>
          <cell r="N34">
            <v>95.5</v>
          </cell>
          <cell r="O34">
            <v>3.5</v>
          </cell>
          <cell r="P34">
            <v>180</v>
          </cell>
          <cell r="Q34">
            <v>16</v>
          </cell>
        </row>
        <row r="35">
          <cell r="A35" t="str">
            <v>180×18</v>
          </cell>
          <cell r="B35">
            <v>48.6</v>
          </cell>
          <cell r="C35">
            <v>61.9</v>
          </cell>
          <cell r="D35">
            <v>18</v>
          </cell>
          <cell r="E35">
            <v>5.0999999999999996</v>
          </cell>
          <cell r="F35">
            <v>7.22</v>
          </cell>
          <cell r="G35">
            <v>6.41</v>
          </cell>
          <cell r="H35">
            <v>1870</v>
          </cell>
          <cell r="I35">
            <v>145</v>
          </cell>
          <cell r="J35">
            <v>5.49</v>
          </cell>
          <cell r="K35">
            <v>2970</v>
          </cell>
          <cell r="L35">
            <v>6.93</v>
          </cell>
          <cell r="M35">
            <v>757</v>
          </cell>
          <cell r="N35">
            <v>105</v>
          </cell>
          <cell r="O35">
            <v>3.49</v>
          </cell>
          <cell r="P35">
            <v>180</v>
          </cell>
          <cell r="Q35">
            <v>18</v>
          </cell>
        </row>
        <row r="36">
          <cell r="A36" t="str">
            <v>200×16</v>
          </cell>
          <cell r="B36">
            <v>48.5</v>
          </cell>
          <cell r="C36">
            <v>61.8</v>
          </cell>
          <cell r="D36">
            <v>18</v>
          </cell>
          <cell r="E36">
            <v>5.52</v>
          </cell>
          <cell r="F36">
            <v>7.8</v>
          </cell>
          <cell r="G36">
            <v>7.09</v>
          </cell>
          <cell r="H36">
            <v>1340</v>
          </cell>
          <cell r="I36">
            <v>162</v>
          </cell>
          <cell r="J36">
            <v>6.15</v>
          </cell>
          <cell r="K36">
            <v>3740</v>
          </cell>
          <cell r="L36">
            <v>7.78</v>
          </cell>
          <cell r="M36">
            <v>943</v>
          </cell>
          <cell r="N36">
            <v>121</v>
          </cell>
          <cell r="O36">
            <v>3.91</v>
          </cell>
          <cell r="P36">
            <v>200</v>
          </cell>
          <cell r="Q36">
            <v>16</v>
          </cell>
        </row>
        <row r="37">
          <cell r="A37" t="str">
            <v>200×20</v>
          </cell>
          <cell r="B37">
            <v>59.9</v>
          </cell>
          <cell r="C37">
            <v>76.3</v>
          </cell>
          <cell r="D37">
            <v>18</v>
          </cell>
          <cell r="E37">
            <v>5.68</v>
          </cell>
          <cell r="F37">
            <v>8.0399999999999991</v>
          </cell>
          <cell r="G37">
            <v>7.15</v>
          </cell>
          <cell r="H37">
            <v>2850</v>
          </cell>
          <cell r="I37">
            <v>199</v>
          </cell>
          <cell r="J37">
            <v>6.11</v>
          </cell>
          <cell r="K37">
            <v>4540</v>
          </cell>
          <cell r="L37">
            <v>7.72</v>
          </cell>
          <cell r="M37">
            <v>1160</v>
          </cell>
          <cell r="N37">
            <v>144</v>
          </cell>
          <cell r="O37">
            <v>3.89</v>
          </cell>
          <cell r="P37">
            <v>200</v>
          </cell>
          <cell r="Q37">
            <v>20</v>
          </cell>
        </row>
        <row r="38">
          <cell r="A38" t="str">
            <v>200×24</v>
          </cell>
          <cell r="B38">
            <v>71.099999999999994</v>
          </cell>
          <cell r="C38">
            <v>90.6</v>
          </cell>
          <cell r="D38">
            <v>18</v>
          </cell>
          <cell r="E38">
            <v>5.84</v>
          </cell>
          <cell r="F38">
            <v>8.26</v>
          </cell>
          <cell r="G38">
            <v>7.21</v>
          </cell>
          <cell r="H38">
            <v>3330</v>
          </cell>
          <cell r="I38">
            <v>235</v>
          </cell>
          <cell r="J38">
            <v>6.06</v>
          </cell>
          <cell r="K38">
            <v>5280</v>
          </cell>
          <cell r="L38">
            <v>7.64</v>
          </cell>
          <cell r="M38">
            <v>1380</v>
          </cell>
          <cell r="N38">
            <v>167</v>
          </cell>
          <cell r="O38">
            <v>3.9</v>
          </cell>
          <cell r="P38">
            <v>200</v>
          </cell>
          <cell r="Q38">
            <v>24</v>
          </cell>
        </row>
        <row r="45">
          <cell r="A45" t="str">
            <v>S235</v>
          </cell>
          <cell r="B45">
            <v>235</v>
          </cell>
          <cell r="C45">
            <v>225</v>
          </cell>
          <cell r="D45">
            <v>215</v>
          </cell>
          <cell r="E45">
            <v>215</v>
          </cell>
        </row>
        <row r="46">
          <cell r="A46" t="str">
            <v>S275</v>
          </cell>
          <cell r="B46">
            <v>275</v>
          </cell>
          <cell r="C46">
            <v>265</v>
          </cell>
          <cell r="D46">
            <v>255</v>
          </cell>
          <cell r="E46">
            <v>245</v>
          </cell>
        </row>
        <row r="47">
          <cell r="A47" t="str">
            <v>S355</v>
          </cell>
          <cell r="B47">
            <v>355</v>
          </cell>
          <cell r="C47">
            <v>345</v>
          </cell>
          <cell r="D47">
            <v>335</v>
          </cell>
          <cell r="E47">
            <v>325</v>
          </cell>
        </row>
        <row r="48">
          <cell r="A48" t="str">
            <v>S450</v>
          </cell>
          <cell r="B48">
            <v>450</v>
          </cell>
          <cell r="C48">
            <v>430</v>
          </cell>
          <cell r="D48">
            <v>410</v>
          </cell>
          <cell r="E48">
            <v>390</v>
          </cell>
        </row>
        <row r="53">
          <cell r="A53" t="str">
            <v>S235</v>
          </cell>
          <cell r="B53">
            <v>360</v>
          </cell>
          <cell r="C53">
            <v>360</v>
          </cell>
          <cell r="D53">
            <v>350</v>
          </cell>
          <cell r="E53">
            <v>340</v>
          </cell>
        </row>
        <row r="54">
          <cell r="A54" t="str">
            <v>S275</v>
          </cell>
          <cell r="B54">
            <v>430</v>
          </cell>
          <cell r="C54">
            <v>410</v>
          </cell>
          <cell r="D54">
            <v>400</v>
          </cell>
          <cell r="E54">
            <v>380</v>
          </cell>
        </row>
        <row r="55">
          <cell r="A55" t="str">
            <v>S355</v>
          </cell>
          <cell r="B55">
            <v>510</v>
          </cell>
          <cell r="C55">
            <v>470</v>
          </cell>
          <cell r="D55">
            <v>450</v>
          </cell>
          <cell r="E55">
            <v>450</v>
          </cell>
        </row>
        <row r="56">
          <cell r="A56" t="str">
            <v>S450</v>
          </cell>
          <cell r="B56" t="str">
            <v>-</v>
          </cell>
          <cell r="C56">
            <v>550</v>
          </cell>
          <cell r="D56">
            <v>530</v>
          </cell>
          <cell r="E56" t="str">
            <v>-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OONMAST-TUUL"/>
      <sheetName val="SÕRESTIK-TUUL"/>
      <sheetName val="VARRAS1"/>
      <sheetName val="Üldinfo"/>
      <sheetName val="Kontroll"/>
      <sheetName val="Ristlõiked"/>
      <sheetName val="Poltliide"/>
      <sheetName val="TUULEKOORMUS 1"/>
      <sheetName val="TUULEKOORMUS 2"/>
      <sheetName val="TUULEKOORMUS 3"/>
      <sheetName val="TUUL JÄITUND MASTILE 1"/>
      <sheetName val="TUUL JÄITUND MASTILE 2"/>
      <sheetName val="TUUL JÄITUND MASTILE 3"/>
      <sheetName val="KOMBINATSIOON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45×4</v>
          </cell>
          <cell r="B5">
            <v>2.74</v>
          </cell>
          <cell r="C5">
            <v>3.49</v>
          </cell>
          <cell r="D5">
            <v>7</v>
          </cell>
          <cell r="E5">
            <v>1.23</v>
          </cell>
          <cell r="F5">
            <v>1.75</v>
          </cell>
          <cell r="G5">
            <v>1.57</v>
          </cell>
          <cell r="H5">
            <v>6.43</v>
          </cell>
          <cell r="I5">
            <v>1.97</v>
          </cell>
          <cell r="J5">
            <v>1.36</v>
          </cell>
          <cell r="K5">
            <v>10.199999999999999</v>
          </cell>
          <cell r="L5">
            <v>1.71</v>
          </cell>
          <cell r="M5">
            <v>2.68</v>
          </cell>
          <cell r="N5">
            <v>1.53</v>
          </cell>
          <cell r="O5">
            <v>0.88</v>
          </cell>
          <cell r="P5">
            <v>45</v>
          </cell>
          <cell r="Q5">
            <v>4</v>
          </cell>
        </row>
        <row r="6">
          <cell r="A6" t="str">
            <v>45×5</v>
          </cell>
          <cell r="B6">
            <v>3.38</v>
          </cell>
          <cell r="C6">
            <v>4.3</v>
          </cell>
          <cell r="D6">
            <v>7</v>
          </cell>
          <cell r="E6">
            <v>1.28</v>
          </cell>
          <cell r="F6">
            <v>1.81</v>
          </cell>
          <cell r="G6">
            <v>1.58</v>
          </cell>
          <cell r="H6">
            <v>7.83</v>
          </cell>
          <cell r="I6">
            <v>2.4300000000000002</v>
          </cell>
          <cell r="J6">
            <v>1.35</v>
          </cell>
          <cell r="K6">
            <v>12.4</v>
          </cell>
          <cell r="L6">
            <v>1.7</v>
          </cell>
          <cell r="M6">
            <v>3.25</v>
          </cell>
          <cell r="N6">
            <v>1.8</v>
          </cell>
          <cell r="O6">
            <v>0.87</v>
          </cell>
          <cell r="P6">
            <v>45</v>
          </cell>
          <cell r="Q6">
            <v>5</v>
          </cell>
        </row>
        <row r="7">
          <cell r="A7" t="str">
            <v>50×5</v>
          </cell>
          <cell r="B7">
            <v>3.77</v>
          </cell>
          <cell r="C7">
            <v>4.8</v>
          </cell>
          <cell r="D7">
            <v>7</v>
          </cell>
          <cell r="E7">
            <v>1.4</v>
          </cell>
          <cell r="F7">
            <v>1.98</v>
          </cell>
          <cell r="G7">
            <v>1.76</v>
          </cell>
          <cell r="H7">
            <v>11</v>
          </cell>
          <cell r="I7">
            <v>3.05</v>
          </cell>
          <cell r="J7">
            <v>1.51</v>
          </cell>
          <cell r="K7">
            <v>17.399999999999999</v>
          </cell>
          <cell r="L7">
            <v>1.9</v>
          </cell>
          <cell r="M7">
            <v>4.59</v>
          </cell>
          <cell r="N7">
            <v>2.3199999999999998</v>
          </cell>
          <cell r="O7">
            <v>0.98</v>
          </cell>
          <cell r="P7">
            <v>50</v>
          </cell>
          <cell r="Q7">
            <v>5</v>
          </cell>
        </row>
        <row r="8">
          <cell r="A8" t="str">
            <v>50×6</v>
          </cell>
          <cell r="B8">
            <v>4.47</v>
          </cell>
          <cell r="C8">
            <v>5.69</v>
          </cell>
          <cell r="D8">
            <v>7</v>
          </cell>
          <cell r="E8">
            <v>1.45</v>
          </cell>
          <cell r="F8">
            <v>2.04</v>
          </cell>
          <cell r="G8">
            <v>1.77</v>
          </cell>
          <cell r="H8">
            <v>12.8</v>
          </cell>
          <cell r="I8">
            <v>3.61</v>
          </cell>
          <cell r="J8">
            <v>1.5</v>
          </cell>
          <cell r="K8">
            <v>20.399999999999999</v>
          </cell>
          <cell r="L8">
            <v>1.89</v>
          </cell>
          <cell r="M8">
            <v>5.24</v>
          </cell>
          <cell r="N8">
            <v>2.57</v>
          </cell>
          <cell r="O8">
            <v>0.96</v>
          </cell>
          <cell r="P8">
            <v>50</v>
          </cell>
          <cell r="Q8">
            <v>6</v>
          </cell>
        </row>
        <row r="9">
          <cell r="A9" t="str">
            <v>50×7</v>
          </cell>
          <cell r="B9">
            <v>5.15</v>
          </cell>
          <cell r="C9">
            <v>6.56</v>
          </cell>
          <cell r="D9">
            <v>7</v>
          </cell>
          <cell r="E9">
            <v>1.49</v>
          </cell>
          <cell r="F9">
            <v>2.11</v>
          </cell>
          <cell r="G9">
            <v>1.78</v>
          </cell>
          <cell r="H9">
            <v>14.6</v>
          </cell>
          <cell r="I9">
            <v>4.1500000000000004</v>
          </cell>
          <cell r="J9">
            <v>1.49</v>
          </cell>
          <cell r="K9">
            <v>23.1</v>
          </cell>
          <cell r="L9">
            <v>1.88</v>
          </cell>
          <cell r="M9">
            <v>6.02</v>
          </cell>
          <cell r="N9">
            <v>2.85</v>
          </cell>
          <cell r="O9">
            <v>0.96</v>
          </cell>
          <cell r="P9">
            <v>50</v>
          </cell>
          <cell r="Q9">
            <v>7</v>
          </cell>
        </row>
        <row r="10">
          <cell r="A10" t="str">
            <v>60×5</v>
          </cell>
          <cell r="B10">
            <v>4.57</v>
          </cell>
          <cell r="C10">
            <v>5.82</v>
          </cell>
          <cell r="D10">
            <v>8</v>
          </cell>
          <cell r="E10">
            <v>1.64</v>
          </cell>
          <cell r="F10">
            <v>2.3199999999999998</v>
          </cell>
          <cell r="G10">
            <v>2.11</v>
          </cell>
          <cell r="H10">
            <v>19.399999999999999</v>
          </cell>
          <cell r="I10">
            <v>4.45</v>
          </cell>
          <cell r="J10">
            <v>1.82</v>
          </cell>
          <cell r="K10">
            <v>30.7</v>
          </cell>
          <cell r="L10">
            <v>2.2999999999999998</v>
          </cell>
          <cell r="M10">
            <v>8.0299999999999994</v>
          </cell>
          <cell r="N10">
            <v>3.46</v>
          </cell>
          <cell r="O10">
            <v>1.17</v>
          </cell>
          <cell r="P10">
            <v>60</v>
          </cell>
          <cell r="Q10">
            <v>5</v>
          </cell>
        </row>
        <row r="11">
          <cell r="A11" t="str">
            <v>60×6</v>
          </cell>
          <cell r="B11">
            <v>5.42</v>
          </cell>
          <cell r="C11">
            <v>6.91</v>
          </cell>
          <cell r="D11">
            <v>8</v>
          </cell>
          <cell r="E11">
            <v>1.69</v>
          </cell>
          <cell r="F11">
            <v>2.39</v>
          </cell>
          <cell r="G11">
            <v>2.11</v>
          </cell>
          <cell r="H11">
            <v>22.8</v>
          </cell>
          <cell r="I11">
            <v>5.29</v>
          </cell>
          <cell r="J11">
            <v>1.82</v>
          </cell>
          <cell r="K11">
            <v>36.1</v>
          </cell>
          <cell r="L11">
            <v>2.29</v>
          </cell>
          <cell r="M11">
            <v>9.42</v>
          </cell>
          <cell r="N11">
            <v>3.95</v>
          </cell>
          <cell r="O11">
            <v>1.17</v>
          </cell>
          <cell r="P11">
            <v>60</v>
          </cell>
          <cell r="Q11">
            <v>6</v>
          </cell>
        </row>
        <row r="12">
          <cell r="A12" t="str">
            <v>60×8</v>
          </cell>
          <cell r="B12">
            <v>7.09</v>
          </cell>
          <cell r="C12">
            <v>9.0299999999999994</v>
          </cell>
          <cell r="D12">
            <v>8</v>
          </cell>
          <cell r="E12">
            <v>1.77</v>
          </cell>
          <cell r="F12">
            <v>2.5</v>
          </cell>
          <cell r="G12">
            <v>2.14</v>
          </cell>
          <cell r="H12">
            <v>29.1</v>
          </cell>
          <cell r="I12">
            <v>6.88</v>
          </cell>
          <cell r="J12">
            <v>1.8</v>
          </cell>
          <cell r="K12">
            <v>46.1</v>
          </cell>
          <cell r="L12">
            <v>2.2599999999999998</v>
          </cell>
          <cell r="M12">
            <v>12.1</v>
          </cell>
          <cell r="N12">
            <v>4.84</v>
          </cell>
          <cell r="O12">
            <v>1.1599999999999999</v>
          </cell>
          <cell r="P12">
            <v>60</v>
          </cell>
          <cell r="Q12">
            <v>8</v>
          </cell>
        </row>
        <row r="13">
          <cell r="A13" t="str">
            <v>65×7</v>
          </cell>
          <cell r="B13">
            <v>6.83</v>
          </cell>
          <cell r="C13">
            <v>8.6999999999999993</v>
          </cell>
          <cell r="D13">
            <v>9</v>
          </cell>
          <cell r="E13">
            <v>1.85</v>
          </cell>
          <cell r="F13">
            <v>2.62</v>
          </cell>
          <cell r="G13">
            <v>2.29</v>
          </cell>
          <cell r="H13">
            <v>33.4</v>
          </cell>
          <cell r="I13">
            <v>7.18</v>
          </cell>
          <cell r="J13">
            <v>1.96</v>
          </cell>
          <cell r="K13">
            <v>53</v>
          </cell>
          <cell r="L13">
            <v>2.4700000000000002</v>
          </cell>
          <cell r="M13">
            <v>13.8</v>
          </cell>
          <cell r="N13">
            <v>5.27</v>
          </cell>
          <cell r="O13">
            <v>1.26</v>
          </cell>
          <cell r="P13">
            <v>65</v>
          </cell>
          <cell r="Q13">
            <v>7</v>
          </cell>
        </row>
        <row r="14">
          <cell r="A14" t="str">
            <v>70×7</v>
          </cell>
          <cell r="B14">
            <v>7.38</v>
          </cell>
          <cell r="C14">
            <v>9.4</v>
          </cell>
          <cell r="D14">
            <v>9</v>
          </cell>
          <cell r="E14">
            <v>1.97</v>
          </cell>
          <cell r="F14">
            <v>2.79</v>
          </cell>
          <cell r="G14">
            <v>2.4700000000000002</v>
          </cell>
          <cell r="H14">
            <v>42.4</v>
          </cell>
          <cell r="I14">
            <v>8.43</v>
          </cell>
          <cell r="J14">
            <v>2.12</v>
          </cell>
          <cell r="K14">
            <v>67.099999999999994</v>
          </cell>
          <cell r="L14">
            <v>2.67</v>
          </cell>
          <cell r="M14">
            <v>17.600000000000001</v>
          </cell>
          <cell r="N14">
            <v>6.31</v>
          </cell>
          <cell r="O14">
            <v>1.37</v>
          </cell>
          <cell r="P14">
            <v>70</v>
          </cell>
          <cell r="Q14">
            <v>7</v>
          </cell>
        </row>
        <row r="15">
          <cell r="A15" t="str">
            <v>70×8</v>
          </cell>
          <cell r="B15">
            <v>9.34</v>
          </cell>
          <cell r="C15">
            <v>11.9</v>
          </cell>
          <cell r="D15">
            <v>9</v>
          </cell>
          <cell r="E15">
            <v>2.0499999999999998</v>
          </cell>
          <cell r="F15">
            <v>2.9</v>
          </cell>
          <cell r="G15">
            <v>2.5</v>
          </cell>
          <cell r="H15">
            <v>52.6</v>
          </cell>
          <cell r="I15">
            <v>10.6</v>
          </cell>
          <cell r="J15">
            <v>2.1</v>
          </cell>
          <cell r="K15">
            <v>83.1</v>
          </cell>
          <cell r="L15">
            <v>2.64</v>
          </cell>
          <cell r="M15">
            <v>22</v>
          </cell>
          <cell r="N15">
            <v>7.59</v>
          </cell>
          <cell r="O15">
            <v>1.36</v>
          </cell>
          <cell r="P15">
            <v>70</v>
          </cell>
          <cell r="Q15">
            <v>8</v>
          </cell>
        </row>
        <row r="16">
          <cell r="A16" t="str">
            <v>75×7</v>
          </cell>
          <cell r="B16">
            <v>7.94</v>
          </cell>
          <cell r="C16">
            <v>10.1</v>
          </cell>
          <cell r="D16">
            <v>10</v>
          </cell>
          <cell r="E16">
            <v>2.09</v>
          </cell>
          <cell r="F16">
            <v>2.95</v>
          </cell>
          <cell r="G16">
            <v>2.63</v>
          </cell>
          <cell r="H16">
            <v>52.4</v>
          </cell>
          <cell r="I16">
            <v>9.67</v>
          </cell>
          <cell r="J16">
            <v>2.2799999999999998</v>
          </cell>
          <cell r="K16">
            <v>83.6</v>
          </cell>
          <cell r="L16">
            <v>2.88</v>
          </cell>
          <cell r="M16">
            <v>21.1</v>
          </cell>
          <cell r="N16">
            <v>7.15</v>
          </cell>
          <cell r="O16">
            <v>1.45</v>
          </cell>
          <cell r="P16">
            <v>75</v>
          </cell>
          <cell r="Q16">
            <v>7</v>
          </cell>
        </row>
        <row r="17">
          <cell r="A17" t="str">
            <v>75×8</v>
          </cell>
          <cell r="B17">
            <v>9.0299999999999994</v>
          </cell>
          <cell r="C17">
            <v>11.5</v>
          </cell>
          <cell r="D17">
            <v>10</v>
          </cell>
          <cell r="E17">
            <v>2.13</v>
          </cell>
          <cell r="F17">
            <v>3.01</v>
          </cell>
          <cell r="G17">
            <v>2.65</v>
          </cell>
          <cell r="H17">
            <v>58.9</v>
          </cell>
          <cell r="I17">
            <v>11</v>
          </cell>
          <cell r="J17">
            <v>2.2599999999999998</v>
          </cell>
          <cell r="K17">
            <v>93.3</v>
          </cell>
          <cell r="L17">
            <v>2.85</v>
          </cell>
          <cell r="M17">
            <v>24.4</v>
          </cell>
          <cell r="N17">
            <v>8.11</v>
          </cell>
          <cell r="O17">
            <v>1.46</v>
          </cell>
          <cell r="P17">
            <v>75</v>
          </cell>
          <cell r="Q17">
            <v>8</v>
          </cell>
        </row>
        <row r="18">
          <cell r="A18" t="str">
            <v>80×6</v>
          </cell>
          <cell r="B18">
            <v>7.34</v>
          </cell>
          <cell r="C18">
            <v>9.35</v>
          </cell>
          <cell r="D18">
            <v>10</v>
          </cell>
          <cell r="E18">
            <v>2.17</v>
          </cell>
          <cell r="F18">
            <v>3.07</v>
          </cell>
          <cell r="G18">
            <v>2.8</v>
          </cell>
          <cell r="H18">
            <v>55.8</v>
          </cell>
          <cell r="I18">
            <v>9.57</v>
          </cell>
          <cell r="J18">
            <v>2.44</v>
          </cell>
          <cell r="K18">
            <v>88.5</v>
          </cell>
          <cell r="L18">
            <v>3.08</v>
          </cell>
          <cell r="M18">
            <v>23.1</v>
          </cell>
          <cell r="N18">
            <v>7.54</v>
          </cell>
          <cell r="O18">
            <v>1.57</v>
          </cell>
          <cell r="P18">
            <v>80</v>
          </cell>
          <cell r="Q18">
            <v>6</v>
          </cell>
        </row>
        <row r="19">
          <cell r="A19" t="str">
            <v>80×8</v>
          </cell>
          <cell r="B19">
            <v>9.66</v>
          </cell>
          <cell r="C19">
            <v>12.3</v>
          </cell>
          <cell r="D19">
            <v>10</v>
          </cell>
          <cell r="E19">
            <v>2.2599999999999998</v>
          </cell>
          <cell r="F19">
            <v>3.2</v>
          </cell>
          <cell r="G19">
            <v>2.82</v>
          </cell>
          <cell r="H19">
            <v>72.3</v>
          </cell>
          <cell r="I19">
            <v>12.6</v>
          </cell>
          <cell r="J19">
            <v>2.42</v>
          </cell>
          <cell r="K19">
            <v>115</v>
          </cell>
          <cell r="L19">
            <v>3.06</v>
          </cell>
          <cell r="M19">
            <v>29.6</v>
          </cell>
          <cell r="N19">
            <v>9.25</v>
          </cell>
          <cell r="O19">
            <v>1.55</v>
          </cell>
          <cell r="P19">
            <v>80</v>
          </cell>
          <cell r="Q19">
            <v>8</v>
          </cell>
        </row>
        <row r="20">
          <cell r="A20" t="str">
            <v>80×10</v>
          </cell>
          <cell r="B20">
            <v>11.9</v>
          </cell>
          <cell r="C20">
            <v>15.1</v>
          </cell>
          <cell r="D20">
            <v>10</v>
          </cell>
          <cell r="E20">
            <v>2.34</v>
          </cell>
          <cell r="F20">
            <v>3.31</v>
          </cell>
          <cell r="G20">
            <v>2.85</v>
          </cell>
          <cell r="H20">
            <v>87.5</v>
          </cell>
          <cell r="I20">
            <v>15.5</v>
          </cell>
          <cell r="J20">
            <v>2.41</v>
          </cell>
          <cell r="K20">
            <v>139</v>
          </cell>
          <cell r="L20">
            <v>3.03</v>
          </cell>
          <cell r="M20">
            <v>35.9</v>
          </cell>
          <cell r="N20">
            <v>10.9</v>
          </cell>
          <cell r="O20">
            <v>1.54</v>
          </cell>
          <cell r="P20">
            <v>80</v>
          </cell>
          <cell r="Q20">
            <v>10</v>
          </cell>
        </row>
        <row r="21">
          <cell r="A21" t="str">
            <v>90×7</v>
          </cell>
          <cell r="B21">
            <v>9.61</v>
          </cell>
          <cell r="C21">
            <v>12.2</v>
          </cell>
          <cell r="D21">
            <v>11</v>
          </cell>
          <cell r="E21">
            <v>2.4500000000000002</v>
          </cell>
          <cell r="F21">
            <v>3.47</v>
          </cell>
          <cell r="G21">
            <v>3.16</v>
          </cell>
          <cell r="H21">
            <v>92.6</v>
          </cell>
          <cell r="I21">
            <v>14.1</v>
          </cell>
          <cell r="J21">
            <v>2.75</v>
          </cell>
          <cell r="K21">
            <v>147</v>
          </cell>
          <cell r="L21">
            <v>3.46</v>
          </cell>
          <cell r="M21">
            <v>38.299999999999997</v>
          </cell>
          <cell r="N21">
            <v>11</v>
          </cell>
          <cell r="O21">
            <v>1.77</v>
          </cell>
          <cell r="P21">
            <v>90</v>
          </cell>
          <cell r="Q21">
            <v>7</v>
          </cell>
        </row>
        <row r="22">
          <cell r="A22" t="str">
            <v>90×9</v>
          </cell>
          <cell r="B22">
            <v>12.2</v>
          </cell>
          <cell r="C22">
            <v>15.5</v>
          </cell>
          <cell r="D22">
            <v>11</v>
          </cell>
          <cell r="E22">
            <v>2.54</v>
          </cell>
          <cell r="F22">
            <v>3.59</v>
          </cell>
          <cell r="G22">
            <v>3.18</v>
          </cell>
          <cell r="H22">
            <v>116</v>
          </cell>
          <cell r="I22">
            <v>18</v>
          </cell>
          <cell r="J22">
            <v>2.74</v>
          </cell>
          <cell r="K22">
            <v>184</v>
          </cell>
          <cell r="L22">
            <v>3.45</v>
          </cell>
          <cell r="M22">
            <v>47.8</v>
          </cell>
          <cell r="N22">
            <v>13.3</v>
          </cell>
          <cell r="O22">
            <v>1.76</v>
          </cell>
          <cell r="P22">
            <v>90</v>
          </cell>
          <cell r="Q22">
            <v>9</v>
          </cell>
        </row>
        <row r="23">
          <cell r="A23" t="str">
            <v>100×8</v>
          </cell>
          <cell r="B23">
            <v>12.2</v>
          </cell>
          <cell r="C23">
            <v>15.5</v>
          </cell>
          <cell r="D23">
            <v>12</v>
          </cell>
          <cell r="E23">
            <v>2.74</v>
          </cell>
          <cell r="F23">
            <v>3.87</v>
          </cell>
          <cell r="G23">
            <v>3.52</v>
          </cell>
          <cell r="H23">
            <v>145</v>
          </cell>
          <cell r="I23">
            <v>19.899999999999999</v>
          </cell>
          <cell r="J23">
            <v>3.06</v>
          </cell>
          <cell r="K23">
            <v>230</v>
          </cell>
          <cell r="L23">
            <v>3.85</v>
          </cell>
          <cell r="M23">
            <v>59.9</v>
          </cell>
          <cell r="N23">
            <v>15.5</v>
          </cell>
          <cell r="O23">
            <v>1.96</v>
          </cell>
          <cell r="P23">
            <v>100</v>
          </cell>
          <cell r="Q23">
            <v>8</v>
          </cell>
        </row>
        <row r="24">
          <cell r="A24" t="str">
            <v>100×10</v>
          </cell>
          <cell r="B24">
            <v>15.1</v>
          </cell>
          <cell r="C24">
            <v>19.2</v>
          </cell>
          <cell r="D24">
            <v>12</v>
          </cell>
          <cell r="E24">
            <v>2.82</v>
          </cell>
          <cell r="F24">
            <v>3.99</v>
          </cell>
          <cell r="G24">
            <v>3.54</v>
          </cell>
          <cell r="H24">
            <v>177</v>
          </cell>
          <cell r="I24">
            <v>24.7</v>
          </cell>
          <cell r="J24">
            <v>3.04</v>
          </cell>
          <cell r="K24">
            <v>280</v>
          </cell>
          <cell r="L24">
            <v>3.82</v>
          </cell>
          <cell r="M24">
            <v>73.3</v>
          </cell>
          <cell r="N24">
            <v>18.399999999999999</v>
          </cell>
          <cell r="O24">
            <v>1.95</v>
          </cell>
          <cell r="P24">
            <v>100</v>
          </cell>
          <cell r="Q24">
            <v>10</v>
          </cell>
        </row>
        <row r="25">
          <cell r="A25" t="str">
            <v>100×12</v>
          </cell>
          <cell r="B25">
            <v>17.8</v>
          </cell>
          <cell r="C25">
            <v>22.7</v>
          </cell>
          <cell r="D25">
            <v>12</v>
          </cell>
          <cell r="E25">
            <v>2.9</v>
          </cell>
          <cell r="F25">
            <v>4.0999999999999996</v>
          </cell>
          <cell r="G25">
            <v>3.57</v>
          </cell>
          <cell r="H25">
            <v>207</v>
          </cell>
          <cell r="I25">
            <v>29.2</v>
          </cell>
          <cell r="J25">
            <v>3.02</v>
          </cell>
          <cell r="K25">
            <v>328</v>
          </cell>
          <cell r="L25">
            <v>3.8</v>
          </cell>
          <cell r="M25">
            <v>86.2</v>
          </cell>
          <cell r="N25">
            <v>21</v>
          </cell>
          <cell r="O25">
            <v>1.95</v>
          </cell>
          <cell r="P25">
            <v>100</v>
          </cell>
          <cell r="Q25">
            <v>12</v>
          </cell>
        </row>
        <row r="26">
          <cell r="A26" t="str">
            <v>110×10</v>
          </cell>
          <cell r="B26">
            <v>16.600000000000001</v>
          </cell>
          <cell r="C26">
            <v>21.2</v>
          </cell>
          <cell r="D26">
            <v>12</v>
          </cell>
          <cell r="E26">
            <v>3.07</v>
          </cell>
          <cell r="F26">
            <v>4.34</v>
          </cell>
          <cell r="G26">
            <v>3.89</v>
          </cell>
          <cell r="H26">
            <v>239</v>
          </cell>
          <cell r="I26">
            <v>30.1</v>
          </cell>
          <cell r="J26">
            <v>3.36</v>
          </cell>
          <cell r="K26">
            <v>379</v>
          </cell>
          <cell r="L26">
            <v>4.2300000000000004</v>
          </cell>
          <cell r="M26">
            <v>98.6</v>
          </cell>
          <cell r="N26">
            <v>22.7</v>
          </cell>
          <cell r="O26">
            <v>2.16</v>
          </cell>
          <cell r="P26">
            <v>110</v>
          </cell>
          <cell r="Q26">
            <v>10</v>
          </cell>
        </row>
        <row r="27">
          <cell r="A27" t="str">
            <v>120×10</v>
          </cell>
          <cell r="B27">
            <v>18.2</v>
          </cell>
          <cell r="C27">
            <v>23.2</v>
          </cell>
          <cell r="D27">
            <v>13</v>
          </cell>
          <cell r="E27">
            <v>3.31</v>
          </cell>
          <cell r="F27">
            <v>4.6900000000000004</v>
          </cell>
          <cell r="G27">
            <v>4.22</v>
          </cell>
          <cell r="H27">
            <v>313</v>
          </cell>
          <cell r="I27">
            <v>36</v>
          </cell>
          <cell r="J27">
            <v>3.67</v>
          </cell>
          <cell r="K27">
            <v>497</v>
          </cell>
          <cell r="L27">
            <v>4.63</v>
          </cell>
          <cell r="M27">
            <v>129</v>
          </cell>
          <cell r="N27">
            <v>27.5</v>
          </cell>
          <cell r="O27">
            <v>2.36</v>
          </cell>
          <cell r="P27">
            <v>120</v>
          </cell>
          <cell r="Q27">
            <v>10</v>
          </cell>
        </row>
        <row r="28">
          <cell r="A28" t="str">
            <v>120×12</v>
          </cell>
          <cell r="B28">
            <v>21.6</v>
          </cell>
          <cell r="C28">
            <v>27.5</v>
          </cell>
          <cell r="D28">
            <v>13</v>
          </cell>
          <cell r="E28">
            <v>3.4</v>
          </cell>
          <cell r="F28">
            <v>4.8</v>
          </cell>
          <cell r="G28">
            <v>4.25</v>
          </cell>
          <cell r="H28">
            <v>368</v>
          </cell>
          <cell r="I28">
            <v>42.7</v>
          </cell>
          <cell r="J28">
            <v>3.65</v>
          </cell>
          <cell r="K28">
            <v>584</v>
          </cell>
          <cell r="L28">
            <v>4.5999999999999996</v>
          </cell>
          <cell r="M28">
            <v>152</v>
          </cell>
          <cell r="N28">
            <v>31.6</v>
          </cell>
          <cell r="O28">
            <v>2.35</v>
          </cell>
          <cell r="P28">
            <v>120</v>
          </cell>
          <cell r="Q28">
            <v>12</v>
          </cell>
        </row>
        <row r="29">
          <cell r="A29" t="str">
            <v>130×12</v>
          </cell>
          <cell r="B29">
            <v>23.6</v>
          </cell>
          <cell r="C29">
            <v>30</v>
          </cell>
          <cell r="D29">
            <v>14</v>
          </cell>
          <cell r="E29">
            <v>3.64</v>
          </cell>
          <cell r="F29">
            <v>5.15</v>
          </cell>
          <cell r="G29">
            <v>4.5999999999999996</v>
          </cell>
          <cell r="H29">
            <v>472</v>
          </cell>
          <cell r="I29">
            <v>50.4</v>
          </cell>
          <cell r="J29">
            <v>3.97</v>
          </cell>
          <cell r="K29">
            <v>750</v>
          </cell>
          <cell r="L29">
            <v>5</v>
          </cell>
          <cell r="M29">
            <v>194</v>
          </cell>
          <cell r="N29">
            <v>37.700000000000003</v>
          </cell>
          <cell r="O29">
            <v>2.54</v>
          </cell>
          <cell r="P29">
            <v>130</v>
          </cell>
          <cell r="Q29">
            <v>12</v>
          </cell>
        </row>
        <row r="30">
          <cell r="A30" t="str">
            <v>140×13</v>
          </cell>
          <cell r="B30">
            <v>27.6</v>
          </cell>
          <cell r="C30">
            <v>35</v>
          </cell>
          <cell r="D30">
            <v>15</v>
          </cell>
          <cell r="E30">
            <v>3.92</v>
          </cell>
          <cell r="F30">
            <v>5.54</v>
          </cell>
          <cell r="G30">
            <v>4.96</v>
          </cell>
          <cell r="H30">
            <v>638</v>
          </cell>
          <cell r="I30">
            <v>63.3</v>
          </cell>
          <cell r="J30">
            <v>4.2699999999999996</v>
          </cell>
          <cell r="K30">
            <v>1010</v>
          </cell>
          <cell r="L30">
            <v>5.38</v>
          </cell>
          <cell r="M30">
            <v>262</v>
          </cell>
          <cell r="N30">
            <v>47.3</v>
          </cell>
          <cell r="O30">
            <v>2.74</v>
          </cell>
          <cell r="P30">
            <v>140</v>
          </cell>
          <cell r="Q30">
            <v>13</v>
          </cell>
        </row>
        <row r="31">
          <cell r="A31" t="str">
            <v>150×12</v>
          </cell>
          <cell r="B31">
            <v>27.3</v>
          </cell>
          <cell r="C31">
            <v>34.799999999999997</v>
          </cell>
          <cell r="D31">
            <v>16</v>
          </cell>
          <cell r="E31">
            <v>4.12</v>
          </cell>
          <cell r="F31">
            <v>5.83</v>
          </cell>
          <cell r="G31">
            <v>5.29</v>
          </cell>
          <cell r="H31">
            <v>737</v>
          </cell>
          <cell r="I31">
            <v>67.7</v>
          </cell>
          <cell r="J31">
            <v>4.5999999999999996</v>
          </cell>
          <cell r="K31">
            <v>1170</v>
          </cell>
          <cell r="L31">
            <v>5.8</v>
          </cell>
          <cell r="M31">
            <v>303</v>
          </cell>
          <cell r="N31">
            <v>52</v>
          </cell>
          <cell r="O31">
            <v>2.95</v>
          </cell>
          <cell r="P31">
            <v>150</v>
          </cell>
          <cell r="Q31">
            <v>12</v>
          </cell>
        </row>
        <row r="32">
          <cell r="A32" t="str">
            <v>150×15</v>
          </cell>
          <cell r="B32">
            <v>33.799999999999997</v>
          </cell>
          <cell r="C32">
            <v>43</v>
          </cell>
          <cell r="D32">
            <v>16</v>
          </cell>
          <cell r="E32">
            <v>4.25</v>
          </cell>
          <cell r="F32">
            <v>6.01</v>
          </cell>
          <cell r="G32">
            <v>5.33</v>
          </cell>
          <cell r="H32">
            <v>898</v>
          </cell>
          <cell r="I32">
            <v>83.5</v>
          </cell>
          <cell r="J32">
            <v>4.57</v>
          </cell>
          <cell r="K32">
            <v>1430</v>
          </cell>
          <cell r="L32">
            <v>5.76</v>
          </cell>
          <cell r="M32">
            <v>370</v>
          </cell>
          <cell r="N32">
            <v>61.6</v>
          </cell>
          <cell r="O32">
            <v>2.93</v>
          </cell>
          <cell r="P32">
            <v>150</v>
          </cell>
          <cell r="Q32">
            <v>15</v>
          </cell>
        </row>
        <row r="33">
          <cell r="A33" t="str">
            <v>160×15</v>
          </cell>
          <cell r="B33">
            <v>36.200000000000003</v>
          </cell>
          <cell r="C33">
            <v>46.1</v>
          </cell>
          <cell r="D33">
            <v>17</v>
          </cell>
          <cell r="E33">
            <v>4.49</v>
          </cell>
          <cell r="F33">
            <v>6.35</v>
          </cell>
          <cell r="G33">
            <v>5.67</v>
          </cell>
          <cell r="H33">
            <v>1100</v>
          </cell>
          <cell r="I33">
            <v>95.6</v>
          </cell>
          <cell r="J33">
            <v>4.88</v>
          </cell>
          <cell r="K33">
            <v>1750</v>
          </cell>
          <cell r="L33">
            <v>6.15</v>
          </cell>
          <cell r="M33">
            <v>453</v>
          </cell>
          <cell r="N33">
            <v>71.3</v>
          </cell>
          <cell r="O33">
            <v>3.14</v>
          </cell>
          <cell r="P33">
            <v>160</v>
          </cell>
          <cell r="Q33">
            <v>15</v>
          </cell>
        </row>
        <row r="34">
          <cell r="A34" t="str">
            <v>180×16</v>
          </cell>
          <cell r="B34">
            <v>43.5</v>
          </cell>
          <cell r="C34">
            <v>55.4</v>
          </cell>
          <cell r="D34">
            <v>18</v>
          </cell>
          <cell r="E34">
            <v>5.0199999999999996</v>
          </cell>
          <cell r="F34">
            <v>7.11</v>
          </cell>
          <cell r="G34">
            <v>6.39</v>
          </cell>
          <cell r="H34">
            <v>1680</v>
          </cell>
          <cell r="I34">
            <v>130</v>
          </cell>
          <cell r="J34">
            <v>5.51</v>
          </cell>
          <cell r="K34">
            <v>2690</v>
          </cell>
          <cell r="L34">
            <v>6.96</v>
          </cell>
          <cell r="M34">
            <v>679</v>
          </cell>
          <cell r="N34">
            <v>95.5</v>
          </cell>
          <cell r="O34">
            <v>3.5</v>
          </cell>
          <cell r="P34">
            <v>180</v>
          </cell>
          <cell r="Q34">
            <v>16</v>
          </cell>
        </row>
        <row r="35">
          <cell r="A35" t="str">
            <v>180×18</v>
          </cell>
          <cell r="B35">
            <v>48.6</v>
          </cell>
          <cell r="C35">
            <v>61.9</v>
          </cell>
          <cell r="D35">
            <v>18</v>
          </cell>
          <cell r="E35">
            <v>5.0999999999999996</v>
          </cell>
          <cell r="F35">
            <v>7.22</v>
          </cell>
          <cell r="G35">
            <v>6.41</v>
          </cell>
          <cell r="H35">
            <v>1870</v>
          </cell>
          <cell r="I35">
            <v>145</v>
          </cell>
          <cell r="J35">
            <v>5.49</v>
          </cell>
          <cell r="K35">
            <v>2970</v>
          </cell>
          <cell r="L35">
            <v>6.93</v>
          </cell>
          <cell r="M35">
            <v>757</v>
          </cell>
          <cell r="N35">
            <v>105</v>
          </cell>
          <cell r="O35">
            <v>3.49</v>
          </cell>
          <cell r="P35">
            <v>180</v>
          </cell>
          <cell r="Q35">
            <v>18</v>
          </cell>
        </row>
        <row r="36">
          <cell r="A36" t="str">
            <v>200×16</v>
          </cell>
          <cell r="B36">
            <v>48.5</v>
          </cell>
          <cell r="C36">
            <v>61.8</v>
          </cell>
          <cell r="D36">
            <v>18</v>
          </cell>
          <cell r="E36">
            <v>5.52</v>
          </cell>
          <cell r="F36">
            <v>7.8</v>
          </cell>
          <cell r="G36">
            <v>7.09</v>
          </cell>
          <cell r="H36">
            <v>1340</v>
          </cell>
          <cell r="I36">
            <v>162</v>
          </cell>
          <cell r="J36">
            <v>6.15</v>
          </cell>
          <cell r="K36">
            <v>3740</v>
          </cell>
          <cell r="L36">
            <v>7.78</v>
          </cell>
          <cell r="M36">
            <v>943</v>
          </cell>
          <cell r="N36">
            <v>121</v>
          </cell>
          <cell r="O36">
            <v>3.91</v>
          </cell>
          <cell r="P36">
            <v>200</v>
          </cell>
          <cell r="Q36">
            <v>16</v>
          </cell>
        </row>
        <row r="37">
          <cell r="A37" t="str">
            <v>200×20</v>
          </cell>
          <cell r="B37">
            <v>59.9</v>
          </cell>
          <cell r="C37">
            <v>76.3</v>
          </cell>
          <cell r="D37">
            <v>18</v>
          </cell>
          <cell r="E37">
            <v>5.68</v>
          </cell>
          <cell r="F37">
            <v>8.0399999999999991</v>
          </cell>
          <cell r="G37">
            <v>7.15</v>
          </cell>
          <cell r="H37">
            <v>2850</v>
          </cell>
          <cell r="I37">
            <v>199</v>
          </cell>
          <cell r="J37">
            <v>6.11</v>
          </cell>
          <cell r="K37">
            <v>4540</v>
          </cell>
          <cell r="L37">
            <v>7.72</v>
          </cell>
          <cell r="M37">
            <v>1160</v>
          </cell>
          <cell r="N37">
            <v>144</v>
          </cell>
          <cell r="O37">
            <v>3.89</v>
          </cell>
          <cell r="P37">
            <v>200</v>
          </cell>
          <cell r="Q37">
            <v>20</v>
          </cell>
        </row>
        <row r="38">
          <cell r="A38" t="str">
            <v>200×24</v>
          </cell>
          <cell r="B38">
            <v>71.099999999999994</v>
          </cell>
          <cell r="C38">
            <v>90.6</v>
          </cell>
          <cell r="D38">
            <v>18</v>
          </cell>
          <cell r="E38">
            <v>5.84</v>
          </cell>
          <cell r="F38">
            <v>8.26</v>
          </cell>
          <cell r="G38">
            <v>7.21</v>
          </cell>
          <cell r="H38">
            <v>3330</v>
          </cell>
          <cell r="I38">
            <v>235</v>
          </cell>
          <cell r="J38">
            <v>6.06</v>
          </cell>
          <cell r="K38">
            <v>5280</v>
          </cell>
          <cell r="L38">
            <v>7.64</v>
          </cell>
          <cell r="M38">
            <v>1380</v>
          </cell>
          <cell r="N38">
            <v>167</v>
          </cell>
          <cell r="O38">
            <v>3.9</v>
          </cell>
          <cell r="P38">
            <v>200</v>
          </cell>
          <cell r="Q38">
            <v>24</v>
          </cell>
        </row>
        <row r="45">
          <cell r="A45" t="str">
            <v>S235</v>
          </cell>
          <cell r="B45">
            <v>235</v>
          </cell>
          <cell r="C45">
            <v>225</v>
          </cell>
          <cell r="D45">
            <v>215</v>
          </cell>
          <cell r="E45">
            <v>215</v>
          </cell>
        </row>
        <row r="46">
          <cell r="A46" t="str">
            <v>S275</v>
          </cell>
          <cell r="B46">
            <v>275</v>
          </cell>
          <cell r="C46">
            <v>265</v>
          </cell>
          <cell r="D46">
            <v>255</v>
          </cell>
          <cell r="E46">
            <v>245</v>
          </cell>
        </row>
        <row r="47">
          <cell r="A47" t="str">
            <v>S355</v>
          </cell>
          <cell r="B47">
            <v>355</v>
          </cell>
          <cell r="C47">
            <v>345</v>
          </cell>
          <cell r="D47">
            <v>335</v>
          </cell>
          <cell r="E47">
            <v>325</v>
          </cell>
        </row>
        <row r="48">
          <cell r="A48" t="str">
            <v>S450</v>
          </cell>
          <cell r="B48">
            <v>450</v>
          </cell>
          <cell r="C48">
            <v>430</v>
          </cell>
          <cell r="D48">
            <v>410</v>
          </cell>
          <cell r="E48">
            <v>390</v>
          </cell>
        </row>
        <row r="53">
          <cell r="A53" t="str">
            <v>S235</v>
          </cell>
          <cell r="B53">
            <v>360</v>
          </cell>
          <cell r="C53">
            <v>360</v>
          </cell>
          <cell r="D53">
            <v>350</v>
          </cell>
          <cell r="E53">
            <v>340</v>
          </cell>
        </row>
        <row r="54">
          <cell r="A54" t="str">
            <v>S275</v>
          </cell>
          <cell r="B54">
            <v>430</v>
          </cell>
          <cell r="C54">
            <v>410</v>
          </cell>
          <cell r="D54">
            <v>400</v>
          </cell>
          <cell r="E54">
            <v>380</v>
          </cell>
        </row>
        <row r="55">
          <cell r="A55" t="str">
            <v>S355</v>
          </cell>
          <cell r="B55">
            <v>510</v>
          </cell>
          <cell r="C55">
            <v>470</v>
          </cell>
          <cell r="D55">
            <v>450</v>
          </cell>
          <cell r="E55">
            <v>450</v>
          </cell>
        </row>
        <row r="56">
          <cell r="A56" t="str">
            <v>S450</v>
          </cell>
          <cell r="B56" t="str">
            <v>-</v>
          </cell>
          <cell r="C56">
            <v>550</v>
          </cell>
          <cell r="D56">
            <v>530</v>
          </cell>
          <cell r="E56" t="str">
            <v>-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definedNames>
      <definedName name="EQ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7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ructural-drafting-net-expert.com/steel-sections-Europe-UPN.html" TargetMode="External"/><Relationship Id="rId4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ColWidth="8.625" defaultRowHeight="11.25" x14ac:dyDescent="0.15"/>
  <cols>
    <col min="1" max="2" width="8.625" customWidth="1"/>
  </cols>
  <sheetData>
    <row r="1" spans="1:52" x14ac:dyDescent="0.15">
      <c r="A1" s="176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</row>
    <row r="2" spans="1:52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</row>
    <row r="3" spans="1:52" x14ac:dyDescent="0.1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</row>
    <row r="4" spans="1:52" x14ac:dyDescent="0.1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x14ac:dyDescent="0.1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</row>
    <row r="6" spans="1:52" x14ac:dyDescent="0.1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</row>
    <row r="7" spans="1:52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</row>
    <row r="8" spans="1:52" x14ac:dyDescent="0.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</row>
    <row r="9" spans="1:52" x14ac:dyDescent="0.1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</row>
    <row r="10" spans="1:52" x14ac:dyDescent="0.1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</row>
    <row r="11" spans="1:52" x14ac:dyDescent="0.15">
      <c r="A11" s="176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</row>
    <row r="12" spans="1:52" x14ac:dyDescent="0.15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</row>
    <row r="13" spans="1:52" x14ac:dyDescent="0.15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</row>
    <row r="14" spans="1:52" x14ac:dyDescent="0.15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</row>
    <row r="15" spans="1:52" x14ac:dyDescent="0.15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</row>
    <row r="16" spans="1:52" x14ac:dyDescent="0.15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</row>
    <row r="17" spans="1:52" x14ac:dyDescent="0.15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</row>
    <row r="18" spans="1:52" x14ac:dyDescent="0.1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</row>
    <row r="19" spans="1:52" x14ac:dyDescent="0.1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</row>
    <row r="20" spans="1:52" x14ac:dyDescent="0.15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</row>
    <row r="21" spans="1:52" x14ac:dyDescent="0.1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</row>
    <row r="22" spans="1:52" x14ac:dyDescent="0.1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Y52"/>
  <sheetViews>
    <sheetView workbookViewId="0">
      <selection activeCell="R30" sqref="R30"/>
    </sheetView>
  </sheetViews>
  <sheetFormatPr defaultRowHeight="11.25" x14ac:dyDescent="0.15"/>
  <cols>
    <col min="1" max="1" width="2" customWidth="1"/>
    <col min="2" max="3" width="2.125" customWidth="1"/>
    <col min="4" max="4" width="4.25" customWidth="1"/>
    <col min="5" max="5" width="6.375" bestFit="1" customWidth="1"/>
    <col min="6" max="10" width="4.25" customWidth="1"/>
    <col min="11" max="11" width="6.375" bestFit="1" customWidth="1"/>
    <col min="12" max="12" width="8.5" bestFit="1" customWidth="1"/>
    <col min="13" max="17" width="4.25" customWidth="1"/>
    <col min="18" max="18" width="7" bestFit="1" customWidth="1"/>
    <col min="19" max="19" width="9.625" customWidth="1"/>
    <col min="20" max="23" width="4.25" customWidth="1"/>
    <col min="24" max="24" width="6.25" customWidth="1"/>
    <col min="25" max="25" width="8.5" customWidth="1"/>
    <col min="26" max="26" width="4.25" customWidth="1"/>
  </cols>
  <sheetData>
    <row r="1" spans="4:5" ht="18" customHeight="1" x14ac:dyDescent="0.15"/>
    <row r="2" spans="4:5" ht="18" customHeight="1" x14ac:dyDescent="0.15"/>
    <row r="3" spans="4:5" ht="18" customHeight="1" x14ac:dyDescent="0.15"/>
    <row r="4" spans="4:5" ht="18" customHeight="1" x14ac:dyDescent="0.15"/>
    <row r="5" spans="4:5" ht="18" customHeight="1" x14ac:dyDescent="0.15"/>
    <row r="6" spans="4:5" ht="18" customHeight="1" x14ac:dyDescent="0.15"/>
    <row r="7" spans="4:5" ht="18" customHeight="1" x14ac:dyDescent="0.15"/>
    <row r="8" spans="4:5" ht="18" customHeight="1" x14ac:dyDescent="0.15">
      <c r="E8">
        <v>3.5</v>
      </c>
    </row>
    <row r="9" spans="4:5" ht="18" customHeight="1" x14ac:dyDescent="0.15">
      <c r="E9">
        <f>E8*8</f>
        <v>28</v>
      </c>
    </row>
    <row r="10" spans="4:5" ht="18" customHeight="1" x14ac:dyDescent="0.15">
      <c r="E10" s="65">
        <f>9.81*E9</f>
        <v>274.68</v>
      </c>
    </row>
    <row r="11" spans="4:5" ht="18" customHeight="1" x14ac:dyDescent="0.15">
      <c r="D11" s="56"/>
      <c r="E11" s="57"/>
    </row>
    <row r="12" spans="4:5" ht="18" customHeight="1" x14ac:dyDescent="0.15"/>
    <row r="13" spans="4:5" ht="18" customHeight="1" x14ac:dyDescent="0.15">
      <c r="E13">
        <v>6</v>
      </c>
    </row>
    <row r="14" spans="4:5" ht="18" customHeight="1" x14ac:dyDescent="0.15">
      <c r="E14">
        <f>E13*8</f>
        <v>48</v>
      </c>
    </row>
    <row r="15" spans="4:5" ht="18" customHeight="1" x14ac:dyDescent="0.15">
      <c r="E15" s="65">
        <f>9.81*E14</f>
        <v>470.88</v>
      </c>
    </row>
    <row r="16" spans="4:5" ht="18" customHeight="1" x14ac:dyDescent="0.15"/>
    <row r="17" spans="10:25" ht="18" customHeight="1" x14ac:dyDescent="0.15"/>
    <row r="18" spans="10:25" ht="18" customHeight="1" x14ac:dyDescent="0.15"/>
    <row r="19" spans="10:25" ht="18" customHeight="1" x14ac:dyDescent="0.15">
      <c r="K19" s="56"/>
      <c r="L19" s="126"/>
      <c r="R19" s="56"/>
      <c r="S19" s="126"/>
      <c r="X19" s="56"/>
      <c r="Y19" s="126"/>
    </row>
    <row r="20" spans="10:25" ht="18" customHeight="1" x14ac:dyDescent="0.15">
      <c r="K20" s="56"/>
      <c r="R20" s="56"/>
      <c r="X20" s="56"/>
    </row>
    <row r="21" spans="10:25" ht="18" customHeight="1" x14ac:dyDescent="0.15">
      <c r="K21" s="56"/>
      <c r="L21" s="126"/>
      <c r="R21" s="56"/>
      <c r="S21" s="126"/>
      <c r="X21" s="56"/>
      <c r="Y21" s="126"/>
    </row>
    <row r="22" spans="10:25" ht="18" customHeight="1" x14ac:dyDescent="0.15"/>
    <row r="23" spans="10:25" ht="18" customHeight="1" x14ac:dyDescent="0.15">
      <c r="K23" s="127"/>
      <c r="L23" s="57"/>
      <c r="R23" s="127"/>
      <c r="S23" s="57"/>
      <c r="X23" s="127"/>
      <c r="Y23" s="57"/>
    </row>
    <row r="24" spans="10:25" ht="18" customHeight="1" x14ac:dyDescent="0.15">
      <c r="K24" s="127"/>
      <c r="L24" s="57"/>
      <c r="R24" s="127"/>
      <c r="S24" s="57"/>
      <c r="X24" s="127"/>
      <c r="Y24" s="57"/>
    </row>
    <row r="25" spans="10:25" ht="18" customHeight="1" x14ac:dyDescent="0.15">
      <c r="K25" s="127"/>
      <c r="L25" s="57"/>
      <c r="R25" s="127"/>
      <c r="S25" s="57"/>
      <c r="X25" s="127"/>
      <c r="Y25" s="57"/>
    </row>
    <row r="26" spans="10:25" ht="18" customHeight="1" x14ac:dyDescent="0.15">
      <c r="K26" s="127"/>
      <c r="L26" s="57"/>
      <c r="R26" s="127"/>
      <c r="S26" s="57"/>
      <c r="X26" s="127"/>
      <c r="Y26" s="57"/>
    </row>
    <row r="27" spans="10:25" ht="18" customHeight="1" x14ac:dyDescent="0.15">
      <c r="K27" s="128"/>
      <c r="L27" s="57"/>
      <c r="R27" s="128"/>
      <c r="S27" s="57"/>
      <c r="X27" s="128"/>
      <c r="Y27" s="57"/>
    </row>
    <row r="28" spans="10:25" ht="18" customHeight="1" x14ac:dyDescent="0.15">
      <c r="J28" s="57"/>
      <c r="L28" s="57"/>
      <c r="Q28" s="57"/>
      <c r="R28" s="57"/>
      <c r="S28" s="57"/>
      <c r="W28" s="57"/>
      <c r="X28" s="57"/>
      <c r="Y28" s="57"/>
    </row>
    <row r="29" spans="10:25" ht="18" customHeight="1" x14ac:dyDescent="0.15"/>
    <row r="30" spans="10:25" ht="18" customHeight="1" x14ac:dyDescent="0.15"/>
    <row r="31" spans="10:25" ht="18" customHeight="1" x14ac:dyDescent="0.15">
      <c r="Q31" s="127"/>
      <c r="R31" s="57"/>
    </row>
    <row r="32" spans="10:25" ht="18" customHeight="1" x14ac:dyDescent="0.15">
      <c r="Q32" s="127"/>
      <c r="R32" s="57"/>
    </row>
    <row r="33" spans="17:18" ht="18" customHeight="1" x14ac:dyDescent="0.15">
      <c r="Q33" s="127"/>
      <c r="R33" s="57"/>
    </row>
    <row r="34" spans="17:18" ht="18" customHeight="1" x14ac:dyDescent="0.15"/>
    <row r="35" spans="17:18" ht="18" customHeight="1" x14ac:dyDescent="0.15"/>
    <row r="36" spans="17:18" ht="18" customHeight="1" x14ac:dyDescent="0.15"/>
    <row r="37" spans="17:18" ht="18" customHeight="1" x14ac:dyDescent="0.15"/>
    <row r="38" spans="17:18" ht="18" customHeight="1" x14ac:dyDescent="0.15"/>
    <row r="39" spans="17:18" ht="18" customHeight="1" x14ac:dyDescent="0.15"/>
    <row r="40" spans="17:18" ht="18" customHeight="1" x14ac:dyDescent="0.15"/>
    <row r="41" spans="17:18" ht="18" customHeight="1" x14ac:dyDescent="0.15"/>
    <row r="42" spans="17:18" ht="18" customHeight="1" x14ac:dyDescent="0.15"/>
    <row r="43" spans="17:18" ht="18" customHeight="1" x14ac:dyDescent="0.15"/>
    <row r="44" spans="17:18" ht="18" customHeight="1" x14ac:dyDescent="0.15"/>
    <row r="45" spans="17:18" ht="18" customHeight="1" x14ac:dyDescent="0.15"/>
    <row r="46" spans="17:18" ht="18" customHeight="1" x14ac:dyDescent="0.15"/>
    <row r="47" spans="17:18" ht="18" customHeight="1" x14ac:dyDescent="0.15"/>
    <row r="48" spans="17:1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pageMargins left="0.7" right="0.7" top="0.75" bottom="0.75" header="0.3" footer="0.3"/>
  <customProperties>
    <customPr name="SSCSheetTrackingNo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AB421"/>
  <sheetViews>
    <sheetView workbookViewId="0">
      <selection activeCell="Z11" sqref="Z11"/>
    </sheetView>
  </sheetViews>
  <sheetFormatPr defaultRowHeight="18" outlineLevelRow="1" x14ac:dyDescent="0.25"/>
  <cols>
    <col min="1" max="1" width="1.375" style="54" customWidth="1"/>
    <col min="2" max="2" width="1.5" style="54" customWidth="1"/>
    <col min="3" max="4" width="1.5" style="23" customWidth="1"/>
    <col min="5" max="5" width="6.125" style="13" customWidth="1"/>
    <col min="6" max="6" width="8.5" style="13" customWidth="1"/>
    <col min="7" max="7" width="6.125" style="44" customWidth="1"/>
    <col min="8" max="8" width="0.875" style="13" customWidth="1"/>
    <col min="9" max="9" width="3.625" style="13" customWidth="1"/>
    <col min="10" max="11" width="6.125" style="13" customWidth="1"/>
    <col min="12" max="20" width="6.25" style="13" customWidth="1"/>
    <col min="21" max="21" width="1.375" style="13" customWidth="1"/>
    <col min="22" max="22" width="6.25" style="13" customWidth="1"/>
    <col min="23" max="16384" width="9" style="13"/>
  </cols>
  <sheetData>
    <row r="2" spans="1:18" ht="31.5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outlineLevel="1" x14ac:dyDescent="0.25">
      <c r="F3" s="13">
        <v>21</v>
      </c>
    </row>
    <row r="4" spans="1:18" outlineLevel="1" x14ac:dyDescent="0.25">
      <c r="F4" s="13">
        <f>F3</f>
        <v>21</v>
      </c>
    </row>
    <row r="5" spans="1:18" outlineLevel="1" x14ac:dyDescent="0.25">
      <c r="F5" s="13">
        <v>1.2250000000000001</v>
      </c>
    </row>
    <row r="6" spans="1:18" outlineLevel="1" x14ac:dyDescent="0.25">
      <c r="F6" s="13">
        <v>0.19</v>
      </c>
    </row>
    <row r="7" spans="1:18" outlineLevel="1" x14ac:dyDescent="0.25">
      <c r="F7" s="13">
        <v>0.05</v>
      </c>
    </row>
    <row r="8" spans="1:18" outlineLevel="1" x14ac:dyDescent="0.25">
      <c r="F8" s="13">
        <v>10</v>
      </c>
    </row>
    <row r="9" spans="1:18" outlineLevel="1" x14ac:dyDescent="0.25">
      <c r="F9" s="13">
        <v>1.1499999999999999</v>
      </c>
    </row>
    <row r="10" spans="1:18" outlineLevel="1" x14ac:dyDescent="0.25">
      <c r="E10" s="14"/>
    </row>
    <row r="11" spans="1:18" x14ac:dyDescent="0.25">
      <c r="E11" s="14"/>
    </row>
    <row r="12" spans="1:18" x14ac:dyDescent="0.25">
      <c r="C12" s="24"/>
      <c r="D12" s="24"/>
      <c r="E12" s="18"/>
      <c r="F12" s="18"/>
      <c r="G12" s="46"/>
      <c r="H12" s="18"/>
      <c r="I12" s="18"/>
      <c r="J12" s="18"/>
      <c r="K12" s="18"/>
      <c r="L12" s="18"/>
    </row>
    <row r="13" spans="1:18" outlineLevel="1" x14ac:dyDescent="0.25">
      <c r="B13" s="55"/>
      <c r="D13" s="24"/>
      <c r="E13" s="18"/>
      <c r="F13" s="18"/>
      <c r="G13" s="46"/>
      <c r="H13" s="18"/>
      <c r="I13" s="18"/>
      <c r="J13" s="18"/>
      <c r="K13" s="18"/>
      <c r="L13" s="18"/>
    </row>
    <row r="14" spans="1:18" outlineLevel="1" x14ac:dyDescent="0.25">
      <c r="E14" s="14"/>
      <c r="K14" s="26"/>
    </row>
    <row r="15" spans="1:18" outlineLevel="1" x14ac:dyDescent="0.25">
      <c r="F15" s="22">
        <v>36</v>
      </c>
    </row>
    <row r="16" spans="1:18" outlineLevel="1" x14ac:dyDescent="0.25">
      <c r="F16" s="22">
        <v>0.32400000000000001</v>
      </c>
    </row>
    <row r="17" spans="3:12" outlineLevel="1" x14ac:dyDescent="0.25">
      <c r="D17" s="26"/>
      <c r="E17" s="17"/>
      <c r="F17" s="16"/>
      <c r="G17" s="45"/>
      <c r="I17" s="21"/>
    </row>
    <row r="18" spans="3:12" outlineLevel="1" x14ac:dyDescent="0.25">
      <c r="F18" s="33">
        <f>F16*F15</f>
        <v>11.664</v>
      </c>
      <c r="H18" s="20" t="str">
        <f>[3]!EQS(F18,"Units= ; EqnPrefix=Valem  ; EqnNo= 0; Multiplication= 1; ShowWorking= 1; EqnStyle=2; Eqp$G$17_0")</f>
        <v/>
      </c>
      <c r="L18" s="15"/>
    </row>
    <row r="19" spans="3:12" outlineLevel="1" x14ac:dyDescent="0.25">
      <c r="F19" s="16"/>
      <c r="G19" s="45"/>
      <c r="I19" s="21"/>
    </row>
    <row r="20" spans="3:12" ht="16.5" customHeight="1" outlineLevel="1" x14ac:dyDescent="0.25">
      <c r="F20" s="30">
        <f>$F$6*LN(F15/$F$7)*$F$3</f>
        <v>26.251212335920307</v>
      </c>
      <c r="H20" s="20" t="str">
        <f>[3]!EQS(F20,"Units= ; EqnPrefix=Valem  ; EqnNo= 0; Multiplication= 1; ShowWorking= 0; EqnStyle= 2; Eqp$H$21_2")</f>
        <v/>
      </c>
      <c r="J20" s="20"/>
    </row>
    <row r="21" spans="3:12" ht="12" customHeight="1" outlineLevel="1" x14ac:dyDescent="0.25">
      <c r="E21" s="17"/>
      <c r="F21" s="30"/>
      <c r="G21" s="45"/>
      <c r="H21" s="20" t="str">
        <f>[3]!EQS(F20,"Units= ; EqnPrefix=Valem  ; EqnNo= 0; Multiplication= 1; ShowWorking= 1; EqnStyle= 2; Eqp$H$21_$H$22_3")</f>
        <v/>
      </c>
      <c r="J21" s="20"/>
    </row>
    <row r="22" spans="3:12" outlineLevel="1" x14ac:dyDescent="0.25">
      <c r="D22" s="29"/>
      <c r="F22" s="30"/>
      <c r="G22" s="45"/>
      <c r="H22" s="20"/>
      <c r="I22" s="28"/>
      <c r="J22" s="20"/>
    </row>
    <row r="23" spans="3:12" outlineLevel="1" x14ac:dyDescent="0.25">
      <c r="F23" s="30">
        <f>1/2*$F$5*F20^2</f>
        <v>422.08976632716445</v>
      </c>
      <c r="H23" s="20" t="str">
        <f>[3]!EQS(F23,"Units= ; EqnPrefix=Valem  ; EqnNo= 0; Multiplication= 1; ShowWorking= 0; EqnStyle= 2; Eqp$G$21_0")</f>
        <v/>
      </c>
      <c r="J23" s="20"/>
    </row>
    <row r="24" spans="3:12" outlineLevel="1" x14ac:dyDescent="0.25">
      <c r="E24" s="25"/>
      <c r="F24" s="30"/>
      <c r="G24" s="47"/>
      <c r="H24" s="20" t="str">
        <f>[3]!EQS(F23,"Units= ; EqnPrefix=Valem  ; EqnNo= 0; Multiplication= 1; ShowWorking= 1; EqnStyle= 2; Eqp$G$21_$G$25_1")</f>
        <v/>
      </c>
      <c r="J24" s="20"/>
    </row>
    <row r="25" spans="3:12" outlineLevel="1" x14ac:dyDescent="0.25">
      <c r="E25" s="25"/>
      <c r="F25" s="30"/>
      <c r="G25" s="47"/>
      <c r="I25" s="28"/>
      <c r="J25" s="20"/>
    </row>
    <row r="26" spans="3:12" outlineLevel="1" x14ac:dyDescent="0.25">
      <c r="F26" s="30">
        <f>(1+2.28/LN(F15/$F$7))^2</f>
        <v>1.8131807308313552</v>
      </c>
      <c r="G26" s="47"/>
      <c r="H26" s="20" t="str">
        <f>[3]!EQS(F26,"Units= ; EqnPrefix=Valem  ; EqnNo= 0; Multiplication= 1; ShowWorking= 0; EqnStyle= 2; Eqp$G$24_0")</f>
        <v/>
      </c>
      <c r="J26" s="20"/>
    </row>
    <row r="27" spans="3:12" outlineLevel="1" x14ac:dyDescent="0.25">
      <c r="E27" s="25"/>
      <c r="F27" s="30"/>
      <c r="G27" s="47"/>
      <c r="H27" s="20" t="str">
        <f>[3]!EQS(F26,"Units= ; EqnPrefix=Valem  ; EqnNo= 0; Multiplication= 1; ShowWorking= 1; EqnStyle= 2; Eqp$G$24_$G$28_1")</f>
        <v/>
      </c>
      <c r="J27" s="20"/>
    </row>
    <row r="28" spans="3:12" outlineLevel="1" x14ac:dyDescent="0.25">
      <c r="D28" s="13"/>
      <c r="E28" s="25"/>
      <c r="F28" s="30"/>
      <c r="G28" s="47"/>
      <c r="J28" s="20"/>
    </row>
    <row r="29" spans="3:12" outlineLevel="1" x14ac:dyDescent="0.25">
      <c r="F29" s="13">
        <v>1.1499999999999999</v>
      </c>
      <c r="J29" s="20"/>
    </row>
    <row r="30" spans="3:12" outlineLevel="1" x14ac:dyDescent="0.25">
      <c r="D30" s="27"/>
      <c r="E30" s="14"/>
      <c r="F30" s="31"/>
      <c r="H30" s="20"/>
      <c r="I30" s="20"/>
      <c r="J30" s="20"/>
    </row>
    <row r="31" spans="3:12" outlineLevel="1" x14ac:dyDescent="0.25">
      <c r="F31" s="20">
        <f>15*10^-6</f>
        <v>1.4999999999999999E-5</v>
      </c>
      <c r="H31" s="20"/>
      <c r="J31" s="20"/>
    </row>
    <row r="32" spans="3:12" outlineLevel="1" x14ac:dyDescent="0.25">
      <c r="F32" s="20">
        <f>F16</f>
        <v>0.32400000000000001</v>
      </c>
      <c r="H32" s="20"/>
      <c r="J32" s="20"/>
    </row>
    <row r="33" spans="3:12" outlineLevel="1" x14ac:dyDescent="0.25">
      <c r="C33" s="13"/>
      <c r="E33" s="25"/>
      <c r="F33" s="20"/>
      <c r="G33" s="47"/>
      <c r="H33" s="20"/>
      <c r="I33" s="29"/>
      <c r="J33" s="20"/>
    </row>
    <row r="34" spans="3:12" outlineLevel="1" x14ac:dyDescent="0.25">
      <c r="C34" s="13"/>
      <c r="F34" s="32">
        <f>F32*F20/F31</f>
        <v>567026.18645587866</v>
      </c>
      <c r="H34" s="20" t="str">
        <f>[3]!EQS(F34,"Units= ; EqnPrefix=Valem  ; EqnNo= 0; Multiplication= 1; ShowWorking= 1; EqnStyle= 2; Eqp$G$27_0")</f>
        <v/>
      </c>
      <c r="J34" s="20"/>
    </row>
    <row r="35" spans="3:12" outlineLevel="1" x14ac:dyDescent="0.25">
      <c r="C35" s="13"/>
      <c r="F35" s="32">
        <f>6.175*10^-4</f>
        <v>6.1749999999999999E-4</v>
      </c>
      <c r="H35" s="20"/>
      <c r="J35" s="20"/>
    </row>
    <row r="36" spans="3:12" outlineLevel="1" x14ac:dyDescent="0.25">
      <c r="C36" s="13"/>
      <c r="E36" s="25"/>
      <c r="F36" s="32"/>
      <c r="H36" s="20"/>
      <c r="I36" s="29"/>
      <c r="J36" s="20"/>
    </row>
    <row r="37" spans="3:12" outlineLevel="1" x14ac:dyDescent="0.25">
      <c r="C37" s="13"/>
      <c r="F37" s="30">
        <f>1.2+(0.18*LOG(10*F35))/(1+0.4*LOG(F34/10^6))</f>
        <v>0.75883386915863227</v>
      </c>
      <c r="H37" s="20" t="str">
        <f>[3]!EQS(F37,"Units= ; EqnPrefix=Valem  ; EqnNo= 0; Multiplication= 1; ShowWorking= 0; EqnStyle=2; Eqp$G$36_2")</f>
        <v/>
      </c>
      <c r="J37" s="20"/>
    </row>
    <row r="38" spans="3:12" outlineLevel="1" x14ac:dyDescent="0.25">
      <c r="C38" s="13"/>
      <c r="E38" s="20"/>
      <c r="F38" s="20"/>
      <c r="H38" s="20" t="str">
        <f>[3]!EQS(F37,"Units= ; EqnPrefix=Valem  ; EqnNo= 0; Multiplication= 1; ShowWorking= 1; EqnStyle=2; Eqp$G$36_$G$37_3")</f>
        <v/>
      </c>
      <c r="J38" s="20"/>
    </row>
    <row r="40" spans="3:12" x14ac:dyDescent="0.25">
      <c r="F40" s="34">
        <f>F23*F26*F29*F37*F16</f>
        <v>216.38914697938665</v>
      </c>
      <c r="H40" s="20" t="str">
        <f>[3]!EQS(F40,"Units= ; EqnPrefix=Valem  ; EqnNo= 0; Multiplication= 1; ShowWorking= 0; EqnStyle= 2; Eqp$G$39_0")</f>
        <v/>
      </c>
    </row>
    <row r="41" spans="3:12" x14ac:dyDescent="0.25">
      <c r="H41" s="13" t="str">
        <f>[3]!EQS(F40,"Units= ; EqnPrefix=Valem  ; EqnNo= 0; Multiplication= 1; ShowWorking= 1; EqnStyle= 2; Eqp$G$39_$G$40_1")</f>
        <v/>
      </c>
    </row>
    <row r="43" spans="3:12" x14ac:dyDescent="0.25">
      <c r="F43" s="53">
        <f>COS(RADIANS(4))*F40</f>
        <v>215.86203389302534</v>
      </c>
    </row>
    <row r="44" spans="3:12" x14ac:dyDescent="0.25">
      <c r="F44" s="53">
        <f>SIN(RADIANS(4))*F40</f>
        <v>15.094543849781257</v>
      </c>
    </row>
    <row r="46" spans="3:12" x14ac:dyDescent="0.25">
      <c r="C46" s="24"/>
      <c r="D46" s="24"/>
      <c r="E46" s="18"/>
      <c r="F46" s="18"/>
      <c r="G46" s="46"/>
      <c r="H46" s="18"/>
      <c r="I46" s="18"/>
      <c r="J46" s="18"/>
      <c r="K46" s="18"/>
      <c r="L46" s="18"/>
    </row>
    <row r="47" spans="3:12" outlineLevel="1" x14ac:dyDescent="0.25">
      <c r="E47" s="14"/>
    </row>
    <row r="48" spans="3:12" outlineLevel="1" x14ac:dyDescent="0.25">
      <c r="F48" s="22">
        <v>14</v>
      </c>
    </row>
    <row r="49" spans="4:10" outlineLevel="1" x14ac:dyDescent="0.25">
      <c r="F49" s="22">
        <v>0.27300000000000002</v>
      </c>
    </row>
    <row r="50" spans="4:10" outlineLevel="1" x14ac:dyDescent="0.25">
      <c r="F50" s="22">
        <v>15.5</v>
      </c>
    </row>
    <row r="51" spans="4:10" outlineLevel="1" x14ac:dyDescent="0.25">
      <c r="D51" s="26"/>
      <c r="E51" s="17"/>
      <c r="F51" s="16"/>
      <c r="G51" s="45"/>
      <c r="I51" s="21"/>
    </row>
    <row r="52" spans="4:10" outlineLevel="1" x14ac:dyDescent="0.25">
      <c r="F52" s="33">
        <f>F49*F50</f>
        <v>4.2315000000000005</v>
      </c>
      <c r="H52" s="20" t="str">
        <f>[3]!EQS(F52,"Units= ; EqnPrefix=Valem  ; EqnNo= 0; Multiplication= 1; ShowWorking= 1; EqnStyle=2; Eqp$G$17_0")</f>
        <v/>
      </c>
    </row>
    <row r="53" spans="4:10" outlineLevel="1" x14ac:dyDescent="0.25">
      <c r="F53" s="16"/>
      <c r="G53" s="45"/>
      <c r="I53" s="21"/>
    </row>
    <row r="54" spans="4:10" outlineLevel="1" x14ac:dyDescent="0.25">
      <c r="E54" s="17"/>
      <c r="F54" s="16"/>
      <c r="G54" s="45"/>
      <c r="I54" s="21"/>
    </row>
    <row r="55" spans="4:10" outlineLevel="1" x14ac:dyDescent="0.25"/>
    <row r="56" spans="4:10" ht="16.5" customHeight="1" outlineLevel="1" x14ac:dyDescent="0.25">
      <c r="F56" s="30">
        <f>$F$6*LN(F48/$F$7)*$F$3</f>
        <v>22.482810516645301</v>
      </c>
      <c r="H56" s="20" t="str">
        <f>[3]!EQS(F56,"Units= ; EqnPrefix=Valem  ; EqnNo= 0; Multiplication= 1; ShowWorking= 0; EqnStyle= 2; Eqp$H$54_2")</f>
        <v/>
      </c>
      <c r="J56" s="20"/>
    </row>
    <row r="57" spans="4:10" ht="12" customHeight="1" outlineLevel="1" x14ac:dyDescent="0.25">
      <c r="E57" s="17"/>
      <c r="F57" s="30"/>
      <c r="G57" s="45"/>
      <c r="H57" s="20" t="str">
        <f>[3]!EQS(F56,"Units= ; EqnPrefix=Valem  ; EqnNo= 0; Multiplication= 1; ShowWorking= 1; EqnStyle= 2; Eqp$H$54_$H$55_3")</f>
        <v/>
      </c>
      <c r="J57" s="20"/>
    </row>
    <row r="58" spans="4:10" outlineLevel="1" x14ac:dyDescent="0.25">
      <c r="D58" s="29"/>
      <c r="F58" s="30"/>
      <c r="G58" s="45"/>
      <c r="H58" s="20"/>
      <c r="I58" s="28"/>
      <c r="J58" s="20"/>
    </row>
    <row r="59" spans="4:10" outlineLevel="1" x14ac:dyDescent="0.25">
      <c r="F59" s="30">
        <f>1/2*$F$5*F56^2</f>
        <v>309.60452084551815</v>
      </c>
      <c r="H59" s="20" t="str">
        <f>[3]!EQS(F59,"Units= ; EqnPrefix=Valem  ; EqnNo= 0; Multiplication= 1; ShowWorking= 0; EqnStyle= 2; Eqp$G$21_0")</f>
        <v/>
      </c>
      <c r="J59" s="20"/>
    </row>
    <row r="60" spans="4:10" outlineLevel="1" x14ac:dyDescent="0.25">
      <c r="E60" s="25"/>
      <c r="F60" s="30"/>
      <c r="G60" s="47"/>
      <c r="H60" s="20" t="str">
        <f>[3]!EQS(F59,"Units= ; EqnPrefix=Valem  ; EqnNo= 0; Multiplication= 1; ShowWorking= 1; EqnStyle= 2; Eqp$G$21_$G$25_1")</f>
        <v/>
      </c>
      <c r="J60" s="20"/>
    </row>
    <row r="61" spans="4:10" outlineLevel="1" x14ac:dyDescent="0.25">
      <c r="E61" s="25"/>
      <c r="F61" s="30"/>
      <c r="G61" s="47"/>
      <c r="I61" s="28"/>
      <c r="J61" s="20"/>
    </row>
    <row r="62" spans="4:10" outlineLevel="1" x14ac:dyDescent="0.25">
      <c r="F62" s="30">
        <f>(1+2.28/LN(F48/$F$7))^2</f>
        <v>1.9729829854343099</v>
      </c>
      <c r="G62" s="47"/>
      <c r="H62" s="20" t="str">
        <f>[3]!EQS(F62,"Units= ; EqnPrefix=Valem  ; EqnNo= 0; Multiplication= 1; ShowWorking= 0; EqnStyle= 2; Eqp$G$24_0")</f>
        <v/>
      </c>
      <c r="J62" s="20"/>
    </row>
    <row r="63" spans="4:10" outlineLevel="1" x14ac:dyDescent="0.25">
      <c r="E63" s="25"/>
      <c r="F63" s="30"/>
      <c r="G63" s="47"/>
      <c r="H63" s="20" t="str">
        <f>[3]!EQS(F62,"Units= ; EqnPrefix=Valem  ; EqnNo= 0; Multiplication= 1; ShowWorking= 1; EqnStyle= 2; Eqp$G$24_$G$28_1")</f>
        <v/>
      </c>
      <c r="J63" s="20"/>
    </row>
    <row r="64" spans="4:10" outlineLevel="1" x14ac:dyDescent="0.25">
      <c r="D64" s="13"/>
      <c r="E64" s="25"/>
      <c r="F64" s="30"/>
      <c r="G64" s="47"/>
      <c r="J64" s="20"/>
    </row>
    <row r="65" spans="3:10" outlineLevel="1" x14ac:dyDescent="0.25">
      <c r="F65" s="13">
        <v>1.1499999999999999</v>
      </c>
      <c r="J65" s="20"/>
    </row>
    <row r="66" spans="3:10" outlineLevel="1" x14ac:dyDescent="0.25">
      <c r="D66" s="27"/>
      <c r="E66" s="14"/>
      <c r="F66" s="31"/>
      <c r="H66" s="20"/>
      <c r="I66" s="20"/>
      <c r="J66" s="20"/>
    </row>
    <row r="67" spans="3:10" outlineLevel="1" x14ac:dyDescent="0.25">
      <c r="F67" s="20">
        <f>15*10^-6</f>
        <v>1.4999999999999999E-5</v>
      </c>
      <c r="H67" s="20"/>
      <c r="J67" s="20"/>
    </row>
    <row r="68" spans="3:10" outlineLevel="1" x14ac:dyDescent="0.25">
      <c r="F68" s="20">
        <f>F49</f>
        <v>0.27300000000000002</v>
      </c>
      <c r="H68" s="20"/>
      <c r="J68" s="20"/>
    </row>
    <row r="69" spans="3:10" outlineLevel="1" x14ac:dyDescent="0.25">
      <c r="C69" s="13"/>
      <c r="E69" s="25"/>
      <c r="F69" s="20"/>
      <c r="G69" s="47"/>
      <c r="H69" s="20"/>
      <c r="I69" s="29"/>
      <c r="J69" s="20"/>
    </row>
    <row r="70" spans="3:10" outlineLevel="1" x14ac:dyDescent="0.25">
      <c r="C70" s="13"/>
      <c r="F70" s="32">
        <f>F68*F56/F67</f>
        <v>409187.15140294458</v>
      </c>
      <c r="H70" s="20" t="str">
        <f>[3]!EQS(F70,"Units= ; EqnPrefix=Valem  ; EqnNo= 0; Multiplication= 1; ShowWorking= 0; EqnStyle= 2; Eqp$G$27_0")</f>
        <v/>
      </c>
      <c r="J70" s="20"/>
    </row>
    <row r="71" spans="3:10" outlineLevel="1" x14ac:dyDescent="0.25">
      <c r="C71" s="13"/>
      <c r="E71" s="25"/>
      <c r="F71" s="32"/>
      <c r="H71" s="20" t="str">
        <f>[3]!EQS(F70,"Units= ; EqnPrefix=Valem  ; EqnNo= 0; Multiplication= 1; ShowWorking= 1; EqnStyle= 2; Eqp$G$27_$H$69_1")</f>
        <v/>
      </c>
      <c r="J71" s="20"/>
    </row>
    <row r="72" spans="3:10" outlineLevel="1" x14ac:dyDescent="0.25">
      <c r="C72" s="13"/>
      <c r="F72" s="35">
        <f>0.2/F49*1000</f>
        <v>732.6007326007325</v>
      </c>
      <c r="H72" s="20"/>
      <c r="J72" s="20"/>
    </row>
    <row r="73" spans="3:10" outlineLevel="1" x14ac:dyDescent="0.25">
      <c r="C73" s="13"/>
      <c r="E73" s="25"/>
      <c r="F73" s="32"/>
      <c r="H73" s="20"/>
      <c r="I73" s="29"/>
      <c r="J73" s="20"/>
    </row>
    <row r="74" spans="3:10" outlineLevel="1" x14ac:dyDescent="0.25">
      <c r="F74" s="30">
        <f>1.2+(0.18*LOG(10*F72))/(1+0.4*LOG(F70/10^6))</f>
        <v>2.0235106772562297</v>
      </c>
      <c r="H74" s="20" t="str">
        <f>[3]!EQS(F74,"Units= ; EqnPrefix=Valem  ; EqnNo= 0; Multiplication= 1; ShowWorking= 0; EqnStyle=2; Eqp$G$36_2")</f>
        <v/>
      </c>
      <c r="J74" s="20"/>
    </row>
    <row r="75" spans="3:10" outlineLevel="1" x14ac:dyDescent="0.25">
      <c r="E75" s="20"/>
      <c r="F75" s="20"/>
      <c r="H75" s="20" t="str">
        <f>[3]!EQS(F74,"Units= ; EqnPrefix=Valem  ; EqnNo= 0; Multiplication= 1; ShowWorking= 1; EqnStyle=2; Eqp$G$36_$G$37_3")</f>
        <v/>
      </c>
      <c r="J75" s="20"/>
    </row>
    <row r="76" spans="3:10" outlineLevel="1" x14ac:dyDescent="0.25">
      <c r="E76" s="20"/>
      <c r="F76" s="20"/>
      <c r="H76" s="20"/>
      <c r="I76" s="28"/>
      <c r="J76" s="20"/>
    </row>
    <row r="77" spans="3:10" outlineLevel="1" x14ac:dyDescent="0.25">
      <c r="F77" s="92">
        <f>COS(RADIANS(86))^2</f>
        <v>4.8659656292148329E-3</v>
      </c>
      <c r="H77" s="20" t="str">
        <f>[3]!EQS(F77,"Units= ; EqnPrefix=Valem  ; EqnNo= 0; Multiplication= 1; ShowWorking= 0; EqnStyle= 2; Eqp$H$75_2")</f>
        <v/>
      </c>
      <c r="J77" s="20"/>
    </row>
    <row r="79" spans="3:10" x14ac:dyDescent="0.25">
      <c r="F79" s="34">
        <f>F59*F62*F65*F74*F49*F77</f>
        <v>1.8882768045303107</v>
      </c>
      <c r="H79" s="20" t="str">
        <f>[3]!EQS(F79,"Units= ; EqnPrefix=Valem  ; EqnNo= 0; Multiplication= 1; ShowWorking= 0; EqnStyle= 2; Eqp$G$39_0")</f>
        <v/>
      </c>
    </row>
    <row r="80" spans="3:10" x14ac:dyDescent="0.25">
      <c r="H80" s="13" t="str">
        <f>[3]!EQS(F79,"Units= ; EqnPrefix=Valem  ; EqnNo= 0; Multiplication= 1; ShowWorking= 1; EqnStyle= 2; Eqp$G$39_$G$40_1")</f>
        <v/>
      </c>
    </row>
    <row r="83" spans="3:12" x14ac:dyDescent="0.25">
      <c r="C83" s="24"/>
      <c r="D83" s="24"/>
      <c r="E83" s="18"/>
      <c r="F83" s="18"/>
      <c r="G83" s="46"/>
      <c r="H83" s="18"/>
      <c r="I83" s="18"/>
      <c r="J83" s="18"/>
      <c r="K83" s="18"/>
      <c r="L83" s="18"/>
    </row>
    <row r="84" spans="3:12" outlineLevel="1" x14ac:dyDescent="0.25">
      <c r="E84" s="14"/>
    </row>
    <row r="85" spans="3:12" outlineLevel="1" x14ac:dyDescent="0.25">
      <c r="F85" s="22">
        <v>28</v>
      </c>
    </row>
    <row r="86" spans="3:12" outlineLevel="1" x14ac:dyDescent="0.25">
      <c r="F86" s="22">
        <v>0.22</v>
      </c>
    </row>
    <row r="87" spans="3:12" outlineLevel="1" x14ac:dyDescent="0.25">
      <c r="F87" s="22">
        <v>23</v>
      </c>
    </row>
    <row r="88" spans="3:12" outlineLevel="1" x14ac:dyDescent="0.25">
      <c r="D88" s="26"/>
      <c r="E88" s="17"/>
      <c r="F88" s="16"/>
      <c r="G88" s="45"/>
      <c r="I88" s="21"/>
    </row>
    <row r="89" spans="3:12" outlineLevel="1" x14ac:dyDescent="0.25">
      <c r="F89" s="33">
        <f>F86*F87</f>
        <v>5.0599999999999996</v>
      </c>
      <c r="H89" s="20" t="str">
        <f>[3]!EQS(F89,"Units= ; EqnPrefix=Valem  ; EqnNo= 0; Multiplication= 1; ShowWorking= 1; EqnStyle=2; Eqp$G$17_0")</f>
        <v/>
      </c>
    </row>
    <row r="90" spans="3:12" outlineLevel="1" x14ac:dyDescent="0.25">
      <c r="E90" s="25"/>
      <c r="F90" s="33"/>
      <c r="G90" s="47"/>
      <c r="H90" s="20"/>
      <c r="I90" s="19"/>
    </row>
    <row r="91" spans="3:12" outlineLevel="1" x14ac:dyDescent="0.25">
      <c r="F91" s="16"/>
      <c r="G91" s="45"/>
      <c r="I91" s="21"/>
    </row>
    <row r="92" spans="3:12" outlineLevel="1" x14ac:dyDescent="0.25">
      <c r="E92" s="17"/>
      <c r="F92" s="16"/>
      <c r="G92" s="45"/>
      <c r="I92" s="21"/>
    </row>
    <row r="93" spans="3:12" outlineLevel="1" x14ac:dyDescent="0.25"/>
    <row r="94" spans="3:12" ht="16.5" customHeight="1" outlineLevel="1" x14ac:dyDescent="0.25">
      <c r="F94" s="30">
        <f>$F$6*LN(F85/$F$7)*$F$3</f>
        <v>25.248467767079489</v>
      </c>
      <c r="H94" s="20" t="str">
        <f>[3]!EQS(F94,"Units= ; EqnPrefix=Valem  ; EqnNo= 0; Multiplication= 1; ShowWorking= 0; EqnStyle= 2; Eqp$H$54_2")</f>
        <v/>
      </c>
      <c r="J94" s="20"/>
    </row>
    <row r="95" spans="3:12" ht="12" customHeight="1" outlineLevel="1" x14ac:dyDescent="0.25">
      <c r="E95" s="17"/>
      <c r="F95" s="30"/>
      <c r="G95" s="45"/>
      <c r="H95" s="20" t="str">
        <f>[3]!EQS(F94,"Units= ; EqnPrefix=Valem  ; EqnNo= 0; Multiplication= 1; ShowWorking= 1; EqnStyle= 2; Eqp$H$54_$H$55_3")</f>
        <v/>
      </c>
      <c r="J95" s="20"/>
    </row>
    <row r="96" spans="3:12" outlineLevel="1" x14ac:dyDescent="0.25">
      <c r="D96" s="29"/>
      <c r="F96" s="30"/>
      <c r="G96" s="45"/>
      <c r="H96" s="20"/>
      <c r="I96" s="28"/>
      <c r="J96" s="20"/>
    </row>
    <row r="97" spans="3:10" outlineLevel="1" x14ac:dyDescent="0.25">
      <c r="F97" s="30">
        <f>1/2*$F$5*F94^2</f>
        <v>390.45963880846682</v>
      </c>
      <c r="H97" s="20" t="str">
        <f>[3]!EQS(F97,"Units= ; EqnPrefix=Valem  ; EqnNo= 0; Multiplication= 1; ShowWorking= 0; EqnStyle= 2; Eqp$G$21_0")</f>
        <v/>
      </c>
      <c r="J97" s="20"/>
    </row>
    <row r="98" spans="3:10" outlineLevel="1" x14ac:dyDescent="0.25">
      <c r="E98" s="25"/>
      <c r="F98" s="30"/>
      <c r="G98" s="47"/>
      <c r="H98" s="20" t="str">
        <f>[3]!EQS(F97,"Units= ; EqnPrefix=Valem  ; EqnNo= 0; Multiplication= 1; ShowWorking= 1; EqnStyle= 2; Eqp$G$21_$G$25_1")</f>
        <v/>
      </c>
      <c r="J98" s="20"/>
    </row>
    <row r="99" spans="3:10" outlineLevel="1" x14ac:dyDescent="0.25">
      <c r="E99" s="25"/>
      <c r="F99" s="30"/>
      <c r="G99" s="47"/>
      <c r="I99" s="28"/>
      <c r="J99" s="20"/>
    </row>
    <row r="100" spans="3:10" outlineLevel="1" x14ac:dyDescent="0.25">
      <c r="F100" s="30">
        <f>(1+2.28/LN(F85/$F$7))^2</f>
        <v>1.8504351691877789</v>
      </c>
      <c r="G100" s="47"/>
      <c r="H100" s="20" t="str">
        <f>[3]!EQS(F100,"Units= ; EqnPrefix=Valem  ; EqnNo= 0; Multiplication= 1; ShowWorking= 0; EqnStyle= 2; Eqp$G$24_0")</f>
        <v/>
      </c>
      <c r="J100" s="20"/>
    </row>
    <row r="101" spans="3:10" outlineLevel="1" x14ac:dyDescent="0.25">
      <c r="E101" s="25"/>
      <c r="F101" s="30"/>
      <c r="G101" s="47"/>
      <c r="H101" s="20" t="str">
        <f>[3]!EQS(F100,"Units= ; EqnPrefix=Valem  ; EqnNo= 0; Multiplication= 1; ShowWorking= 1; EqnStyle= 2; Eqp$G$24_$G$28_1")</f>
        <v/>
      </c>
      <c r="J101" s="20"/>
    </row>
    <row r="102" spans="3:10" outlineLevel="1" x14ac:dyDescent="0.25">
      <c r="D102" s="13"/>
      <c r="E102" s="25"/>
      <c r="F102" s="30"/>
      <c r="G102" s="47"/>
      <c r="J102" s="20"/>
    </row>
    <row r="103" spans="3:10" outlineLevel="1" x14ac:dyDescent="0.25">
      <c r="F103" s="13">
        <v>1.1499999999999999</v>
      </c>
      <c r="J103" s="20"/>
    </row>
    <row r="104" spans="3:10" outlineLevel="1" x14ac:dyDescent="0.25">
      <c r="D104" s="27"/>
      <c r="E104" s="14"/>
      <c r="F104" s="31"/>
      <c r="H104" s="20"/>
      <c r="I104" s="20"/>
      <c r="J104" s="20"/>
    </row>
    <row r="105" spans="3:10" outlineLevel="1" x14ac:dyDescent="0.25">
      <c r="C105" s="13"/>
      <c r="E105" s="25"/>
      <c r="F105" s="32"/>
      <c r="H105" s="20"/>
      <c r="I105" s="29"/>
      <c r="J105" s="20"/>
    </row>
    <row r="106" spans="3:10" outlineLevel="1" x14ac:dyDescent="0.25">
      <c r="F106" s="30">
        <v>2</v>
      </c>
      <c r="H106" s="20"/>
      <c r="I106" s="19"/>
      <c r="J106" s="20"/>
    </row>
    <row r="107" spans="3:10" outlineLevel="1" x14ac:dyDescent="0.25">
      <c r="E107" s="20"/>
      <c r="F107" s="20"/>
      <c r="H107" s="20"/>
      <c r="I107" s="28"/>
      <c r="J107" s="20"/>
    </row>
    <row r="108" spans="3:10" outlineLevel="1" x14ac:dyDescent="0.25">
      <c r="D108" s="36"/>
      <c r="F108" s="38">
        <f>MIN(70,2*F87/F86)</f>
        <v>70</v>
      </c>
      <c r="H108" s="20"/>
      <c r="I108" s="28"/>
      <c r="J108" s="20"/>
    </row>
    <row r="109" spans="3:10" outlineLevel="1" x14ac:dyDescent="0.25">
      <c r="E109" s="20"/>
      <c r="F109" s="20"/>
      <c r="H109" s="20"/>
      <c r="I109" s="28"/>
      <c r="J109" s="20"/>
    </row>
    <row r="110" spans="3:10" outlineLevel="1" x14ac:dyDescent="0.25">
      <c r="D110" s="36"/>
      <c r="F110" s="20">
        <v>1</v>
      </c>
      <c r="H110" s="20"/>
      <c r="I110" s="28"/>
      <c r="J110" s="20"/>
    </row>
    <row r="111" spans="3:10" outlineLevel="1" x14ac:dyDescent="0.25">
      <c r="F111" s="20"/>
      <c r="H111" s="20"/>
      <c r="I111" s="28"/>
      <c r="J111" s="20"/>
    </row>
    <row r="112" spans="3:10" outlineLevel="1" x14ac:dyDescent="0.25">
      <c r="F112" s="13">
        <v>0.92</v>
      </c>
      <c r="H112" s="20"/>
      <c r="I112" s="28"/>
      <c r="J112" s="20"/>
    </row>
    <row r="113" spans="3:12" outlineLevel="1" x14ac:dyDescent="0.25">
      <c r="E113" s="20"/>
      <c r="F113" s="37"/>
      <c r="H113" s="20"/>
      <c r="I113" s="28"/>
      <c r="J113" s="20"/>
    </row>
    <row r="114" spans="3:12" outlineLevel="1" x14ac:dyDescent="0.25">
      <c r="F114" s="39">
        <f>F106*F112</f>
        <v>1.84</v>
      </c>
      <c r="H114" s="20" t="str">
        <f>[3]!EQS(F114,"Units= ; EqnPrefix=Valem  ; EqnNo= 0; Multiplication= 1; ShowWorking= 0; EqnStyle= 2; Eqp$H$119_2")</f>
        <v/>
      </c>
      <c r="J114" s="20"/>
    </row>
    <row r="115" spans="3:12" outlineLevel="1" x14ac:dyDescent="0.25">
      <c r="E115" s="20"/>
      <c r="F115" s="37"/>
      <c r="H115" s="20" t="str">
        <f>[3]!EQS(F114,"Units= ; EqnPrefix=Valem  ; EqnNo= 0; Multiplication= 1; ShowWorking= 1; EqnStyle= 2; Eqp$H$119_$H$120_3")</f>
        <v/>
      </c>
      <c r="J115" s="20"/>
    </row>
    <row r="116" spans="3:12" outlineLevel="1" x14ac:dyDescent="0.25">
      <c r="E116" s="20"/>
      <c r="F116" s="20"/>
      <c r="H116" s="20"/>
      <c r="I116" s="28"/>
      <c r="J116" s="20"/>
    </row>
    <row r="117" spans="3:12" outlineLevel="1" x14ac:dyDescent="0.25">
      <c r="F117" s="91">
        <f>COS(RADIANS(86))^2</f>
        <v>4.8659656292148329E-3</v>
      </c>
      <c r="H117" s="20" t="str">
        <f>[3]!EQS(F117,"Units= ; EqnPrefix=Valem  ; EqnNo= 0; Multiplication= 1; ShowWorking= 0; EqnStyle= 2; Eqp$H$75_2")</f>
        <v/>
      </c>
      <c r="J117" s="20"/>
    </row>
    <row r="118" spans="3:12" outlineLevel="1" x14ac:dyDescent="0.25"/>
    <row r="119" spans="3:12" x14ac:dyDescent="0.25">
      <c r="F119" s="34">
        <f>F97*F100*F103*F114*F86*F117</f>
        <v>1.6366559863949766</v>
      </c>
      <c r="H119" s="20" t="str">
        <f>[3]!EQS(F119,"Units= ; EqnPrefix=Valem  ; EqnNo= 0; Multiplication= 1; ShowWorking= 0; EqnStyle= 2; Eqp$G$39_0")</f>
        <v/>
      </c>
    </row>
    <row r="120" spans="3:12" x14ac:dyDescent="0.25">
      <c r="H120" s="13" t="str">
        <f>[3]!EQS(F119,"Units= ; EqnPrefix=Valem  ; EqnNo= 0; Multiplication= 1; ShowWorking= 1; EqnStyle= 2; Eqp$G$39_$G$40_1")</f>
        <v/>
      </c>
    </row>
    <row r="123" spans="3:12" x14ac:dyDescent="0.25">
      <c r="C123" s="24"/>
      <c r="D123" s="24"/>
      <c r="E123" s="18"/>
      <c r="F123" s="18"/>
      <c r="G123" s="46"/>
      <c r="H123" s="18"/>
      <c r="I123" s="18"/>
      <c r="J123" s="18"/>
      <c r="K123" s="18"/>
      <c r="L123" s="18"/>
    </row>
    <row r="124" spans="3:12" outlineLevel="1" x14ac:dyDescent="0.25">
      <c r="E124" s="14"/>
    </row>
    <row r="125" spans="3:12" outlineLevel="1" x14ac:dyDescent="0.25">
      <c r="F125" s="22">
        <v>36</v>
      </c>
    </row>
    <row r="126" spans="3:12" outlineLevel="1" x14ac:dyDescent="0.25">
      <c r="F126" s="22">
        <v>0.25</v>
      </c>
    </row>
    <row r="127" spans="3:12" outlineLevel="1" x14ac:dyDescent="0.25">
      <c r="F127" s="22">
        <v>0.25</v>
      </c>
    </row>
    <row r="128" spans="3:12" outlineLevel="1" x14ac:dyDescent="0.25">
      <c r="F128" s="22">
        <v>23</v>
      </c>
    </row>
    <row r="129" spans="3:10" outlineLevel="1" x14ac:dyDescent="0.25">
      <c r="D129" s="26"/>
      <c r="E129" s="17"/>
      <c r="F129" s="16"/>
      <c r="G129" s="45"/>
      <c r="I129" s="21"/>
    </row>
    <row r="130" spans="3:10" outlineLevel="1" x14ac:dyDescent="0.25">
      <c r="F130" s="33">
        <f>F126*F128</f>
        <v>5.75</v>
      </c>
      <c r="H130" s="20" t="str">
        <f>[3]!EQS(F130,"Units= ; EqnPrefix=Valem  ; EqnNo= 0; Multiplication= 1; ShowWorking= 1; EqnStyle=2; Eqp$G$17_0")</f>
        <v/>
      </c>
    </row>
    <row r="131" spans="3:10" outlineLevel="1" x14ac:dyDescent="0.25">
      <c r="E131" s="25"/>
      <c r="F131" s="33"/>
      <c r="G131" s="47"/>
      <c r="H131" s="20"/>
      <c r="I131" s="19"/>
    </row>
    <row r="132" spans="3:10" outlineLevel="1" x14ac:dyDescent="0.25">
      <c r="C132" s="36"/>
      <c r="F132" s="33">
        <f>F127*F126</f>
        <v>6.25E-2</v>
      </c>
      <c r="H132" s="20" t="str">
        <f>[3]!EQS(F132,"Units= ; EqnPrefix=Valem  ; EqnNo= 0; Multiplication= 1; ShowWorking= 1; EqnStyle= 2; Eqp$H$137_2")</f>
        <v/>
      </c>
    </row>
    <row r="133" spans="3:10" outlineLevel="1" x14ac:dyDescent="0.25">
      <c r="F133" s="16"/>
      <c r="G133" s="45"/>
      <c r="I133" s="21"/>
    </row>
    <row r="134" spans="3:10" outlineLevel="1" x14ac:dyDescent="0.25">
      <c r="E134" s="17"/>
      <c r="F134" s="16"/>
      <c r="G134" s="45"/>
      <c r="I134" s="21"/>
    </row>
    <row r="135" spans="3:10" outlineLevel="1" x14ac:dyDescent="0.25"/>
    <row r="136" spans="3:10" outlineLevel="1" x14ac:dyDescent="0.25">
      <c r="F136" s="30">
        <f>$F$6*LN(F125/$F$7)*$F$3</f>
        <v>26.251212335920307</v>
      </c>
      <c r="H136" s="20" t="str">
        <f>[3]!EQS(F136,"Units= ; EqnPrefix=Valem  ; EqnNo= 0; Multiplication= 1; ShowWorking= 0; EqnStyle= 2; Eqp$H$54_2")</f>
        <v/>
      </c>
      <c r="J136" s="20"/>
    </row>
    <row r="137" spans="3:10" outlineLevel="1" x14ac:dyDescent="0.25">
      <c r="E137" s="17"/>
      <c r="F137" s="30"/>
      <c r="G137" s="45"/>
      <c r="H137" s="20" t="str">
        <f>[3]!EQS(F136,"Units= ; EqnPrefix=Valem  ; EqnNo= 0; Multiplication= 1; ShowWorking= 1; EqnStyle= 2; Eqp$H$54_$H$55_3")</f>
        <v/>
      </c>
      <c r="J137" s="20"/>
    </row>
    <row r="138" spans="3:10" outlineLevel="1" x14ac:dyDescent="0.25">
      <c r="D138" s="29"/>
      <c r="F138" s="30"/>
      <c r="G138" s="45"/>
      <c r="H138" s="20"/>
      <c r="I138" s="28"/>
      <c r="J138" s="20"/>
    </row>
    <row r="139" spans="3:10" outlineLevel="1" x14ac:dyDescent="0.25">
      <c r="F139" s="30">
        <f>1/2*$F$5*F136^2</f>
        <v>422.08976632716445</v>
      </c>
      <c r="H139" s="20" t="str">
        <f>[3]!EQS(F139,"Units= ; EqnPrefix=Valem  ; EqnNo= 0; Multiplication= 1; ShowWorking= 0; EqnStyle= 2; Eqp$G$21_0")</f>
        <v/>
      </c>
      <c r="J139" s="20"/>
    </row>
    <row r="140" spans="3:10" outlineLevel="1" x14ac:dyDescent="0.25">
      <c r="E140" s="25"/>
      <c r="F140" s="30"/>
      <c r="G140" s="47"/>
      <c r="H140" s="20" t="str">
        <f>[3]!EQS(F139,"Units= ; EqnPrefix=Valem  ; EqnNo= 0; Multiplication= 1; ShowWorking= 1; EqnStyle= 2; Eqp$G$21_$G$25_1")</f>
        <v/>
      </c>
      <c r="J140" s="20"/>
    </row>
    <row r="141" spans="3:10" outlineLevel="1" x14ac:dyDescent="0.25">
      <c r="E141" s="25"/>
      <c r="F141" s="30"/>
      <c r="G141" s="47"/>
      <c r="I141" s="28"/>
      <c r="J141" s="20"/>
    </row>
    <row r="142" spans="3:10" outlineLevel="1" x14ac:dyDescent="0.25">
      <c r="F142" s="30">
        <f>(1+2.28/LN(F125/$F$7))^2</f>
        <v>1.8131807308313552</v>
      </c>
      <c r="G142" s="47"/>
      <c r="H142" s="20" t="str">
        <f>[3]!EQS(F142,"Units= ; EqnPrefix=Valem  ; EqnNo= 0; Multiplication= 1; ShowWorking= 0; EqnStyle= 2; Eqp$G$24_0")</f>
        <v/>
      </c>
      <c r="J142" s="20"/>
    </row>
    <row r="143" spans="3:10" outlineLevel="1" x14ac:dyDescent="0.25">
      <c r="E143" s="25"/>
      <c r="F143" s="30"/>
      <c r="G143" s="47"/>
      <c r="H143" s="20" t="str">
        <f>[3]!EQS(F142,"Units= ; EqnPrefix=Valem  ; EqnNo= 0; Multiplication= 1; ShowWorking= 1; EqnStyle= 2; Eqp$G$24_$G$28_1")</f>
        <v/>
      </c>
      <c r="J143" s="20"/>
    </row>
    <row r="144" spans="3:10" outlineLevel="1" x14ac:dyDescent="0.25">
      <c r="D144" s="13"/>
      <c r="E144" s="25"/>
      <c r="F144" s="30"/>
      <c r="G144" s="47"/>
      <c r="J144" s="20"/>
    </row>
    <row r="145" spans="3:10" outlineLevel="1" x14ac:dyDescent="0.25">
      <c r="F145" s="13">
        <v>1.1499999999999999</v>
      </c>
      <c r="J145" s="20"/>
    </row>
    <row r="146" spans="3:10" outlineLevel="1" x14ac:dyDescent="0.25">
      <c r="D146" s="27"/>
      <c r="E146" s="14"/>
      <c r="F146" s="31"/>
      <c r="H146" s="20"/>
      <c r="I146" s="20"/>
      <c r="J146" s="20"/>
    </row>
    <row r="147" spans="3:10" outlineLevel="1" x14ac:dyDescent="0.25">
      <c r="C147" s="13"/>
      <c r="E147" s="25"/>
      <c r="F147" s="32"/>
      <c r="H147" s="20"/>
      <c r="I147" s="29"/>
      <c r="J147" s="20"/>
    </row>
    <row r="148" spans="3:10" outlineLevel="1" x14ac:dyDescent="0.25">
      <c r="F148" s="30">
        <v>2</v>
      </c>
      <c r="H148" s="20"/>
      <c r="I148" s="19"/>
      <c r="J148" s="20"/>
    </row>
    <row r="149" spans="3:10" outlineLevel="1" x14ac:dyDescent="0.25">
      <c r="E149" s="20"/>
      <c r="F149" s="20"/>
      <c r="H149" s="20"/>
      <c r="I149" s="28"/>
      <c r="J149" s="20"/>
    </row>
    <row r="150" spans="3:10" outlineLevel="1" x14ac:dyDescent="0.25">
      <c r="D150" s="36"/>
      <c r="F150" s="38">
        <f>MIN(70,2*F128/F126)</f>
        <v>70</v>
      </c>
      <c r="H150" s="20" t="str">
        <f>[3]!EQS(F150,"Units= ; EqnPrefix=Valem  ; EqnNo= 0; Multiplication= 1; ShowWorking= 1; EqnStyle=2; Eqp$H$148_0")</f>
        <v/>
      </c>
      <c r="J150" s="20"/>
    </row>
    <row r="151" spans="3:10" outlineLevel="1" x14ac:dyDescent="0.25">
      <c r="E151" s="20"/>
      <c r="F151" s="20"/>
      <c r="H151" s="20"/>
      <c r="I151" s="28"/>
      <c r="J151" s="20"/>
    </row>
    <row r="152" spans="3:10" outlineLevel="1" x14ac:dyDescent="0.25">
      <c r="D152" s="36"/>
      <c r="F152" s="20">
        <v>1</v>
      </c>
      <c r="H152" s="20"/>
      <c r="I152" s="28"/>
      <c r="J152" s="20"/>
    </row>
    <row r="153" spans="3:10" outlineLevel="1" x14ac:dyDescent="0.25">
      <c r="F153" s="20"/>
      <c r="H153" s="20"/>
      <c r="I153" s="28"/>
      <c r="J153" s="20"/>
    </row>
    <row r="154" spans="3:10" outlineLevel="1" x14ac:dyDescent="0.25">
      <c r="F154" s="13">
        <v>0.92</v>
      </c>
      <c r="H154" s="20"/>
      <c r="I154" s="28"/>
      <c r="J154" s="20"/>
    </row>
    <row r="155" spans="3:10" outlineLevel="1" x14ac:dyDescent="0.25">
      <c r="E155" s="42"/>
      <c r="H155" s="20"/>
      <c r="I155" s="28"/>
      <c r="J155" s="20"/>
    </row>
    <row r="156" spans="3:10" outlineLevel="1" x14ac:dyDescent="0.25">
      <c r="F156" s="13">
        <v>0.88</v>
      </c>
      <c r="H156" s="20"/>
      <c r="J156" s="20"/>
    </row>
    <row r="157" spans="3:10" outlineLevel="1" x14ac:dyDescent="0.25">
      <c r="E157" s="20"/>
      <c r="F157" s="37"/>
      <c r="H157" s="20"/>
      <c r="I157" s="28"/>
      <c r="J157" s="20"/>
    </row>
    <row r="158" spans="3:10" outlineLevel="1" x14ac:dyDescent="0.25">
      <c r="F158" s="39">
        <f>F148*F154*F156</f>
        <v>1.6192</v>
      </c>
      <c r="H158" s="20" t="str">
        <f>[3]!EQS(F158,"Units= ; EqnPrefix=Valem  ; EqnNo= 0; Multiplication= 1; ShowWorking= 0; EqnStyle= 2; Eqp$H$119_2")</f>
        <v/>
      </c>
      <c r="J158" s="20"/>
    </row>
    <row r="159" spans="3:10" outlineLevel="1" x14ac:dyDescent="0.25">
      <c r="E159" s="20"/>
      <c r="F159" s="37"/>
      <c r="H159" s="20" t="str">
        <f>[3]!EQS(F158,"Units= ; EqnPrefix=Valem  ; EqnNo= 0; Multiplication= 1; ShowWorking= 1; EqnStyle= 2; Eqp$H$119_$H$120_3")</f>
        <v/>
      </c>
      <c r="J159" s="20"/>
    </row>
    <row r="160" spans="3:10" outlineLevel="1" x14ac:dyDescent="0.25">
      <c r="E160" s="20"/>
      <c r="F160" s="37"/>
      <c r="H160" s="20"/>
      <c r="I160" s="28"/>
      <c r="J160" s="20"/>
    </row>
    <row r="161" spans="3:12" outlineLevel="1" x14ac:dyDescent="0.25">
      <c r="C161" s="43"/>
      <c r="F161" s="39">
        <f>F148*F154</f>
        <v>1.84</v>
      </c>
      <c r="H161" s="20" t="str">
        <f>[3]!EQS(F161,"Units= ; EqnPrefix=Valem  ; EqnNo= 0; Multiplication= 1; ShowWorking= 0; EqnStyle= 2; Eqp$H$119_2")</f>
        <v/>
      </c>
      <c r="J161" s="20"/>
    </row>
    <row r="162" spans="3:12" outlineLevel="1" x14ac:dyDescent="0.25">
      <c r="E162" s="20"/>
      <c r="F162" s="37"/>
      <c r="H162" s="20" t="str">
        <f>[3]!EQS(F161,"Units= ; EqnPrefix=Valem  ; EqnNo= 0; Multiplication= 1; ShowWorking= 1; EqnStyle= 2; Eqp$H$119_$H$120_3")</f>
        <v/>
      </c>
      <c r="J162" s="20"/>
    </row>
    <row r="163" spans="3:12" outlineLevel="1" x14ac:dyDescent="0.25">
      <c r="E163" s="20"/>
      <c r="F163" s="20"/>
      <c r="H163" s="20"/>
      <c r="I163" s="28"/>
      <c r="J163" s="20"/>
    </row>
    <row r="164" spans="3:12" outlineLevel="1" x14ac:dyDescent="0.25">
      <c r="F164" s="91">
        <f>COS(RADIANS(86))^2</f>
        <v>4.8659656292148329E-3</v>
      </c>
      <c r="H164" s="20" t="str">
        <f>[3]!EQS(F164,"Units= ; EqnPrefix=Valem  ; EqnNo= 0; Multiplication= 1; ShowWorking= 0; EqnStyle= 2; Eqp$H$75_2")</f>
        <v/>
      </c>
      <c r="J164" s="20"/>
    </row>
    <row r="165" spans="3:12" outlineLevel="1" x14ac:dyDescent="0.25">
      <c r="E165" s="42"/>
      <c r="F165" s="40"/>
      <c r="H165" s="20"/>
      <c r="I165" s="28"/>
      <c r="J165" s="20"/>
    </row>
    <row r="166" spans="3:12" outlineLevel="1" x14ac:dyDescent="0.25">
      <c r="F166" s="91">
        <f>COS(RADIANS(4))^2</f>
        <v>0.99513403437078507</v>
      </c>
      <c r="H166" s="20" t="str">
        <f>[3]!EQS(F166,"Units= ; EqnPrefix=Valem  ; EqnNo= 0; Multiplication= 1; ShowWorking= 0; EqnStyle= 2; Eqp$H$75_2")</f>
        <v/>
      </c>
      <c r="J166" s="20"/>
    </row>
    <row r="168" spans="3:12" x14ac:dyDescent="0.25">
      <c r="F168" s="34">
        <f>F139*F142*F145*F158*F126*F164</f>
        <v>1.7336175661721971</v>
      </c>
      <c r="H168" s="20" t="str">
        <f>[3]!EQS(F168,"Units= ; EqnPrefix=Valem  ; EqnNo= 0; Multiplication= 1; ShowWorking= 0; EqnStyle= 2; Eqp$G$39_0")</f>
        <v/>
      </c>
    </row>
    <row r="169" spans="3:12" x14ac:dyDescent="0.25">
      <c r="H169" s="13" t="str">
        <f>[3]!EQS(F168,"Units= ; EqnPrefix=Valem  ; EqnNo= 0; Multiplication= 1; ShowWorking= 1; EqnStyle= 2; Eqp$G$39_$G$40_1")</f>
        <v/>
      </c>
    </row>
    <row r="171" spans="3:12" x14ac:dyDescent="0.25">
      <c r="F171" s="34">
        <f>F139*F142*F145*F161*F127*F126*F166</f>
        <v>100.72173035744572</v>
      </c>
      <c r="H171" s="20" t="str">
        <f>[3]!EQS(F171,"Units= ; EqnPrefix=Valem  ; EqnNo= 0; Multiplication= 1; ShowWorking= 0; EqnStyle= 2; Eqp$G$39_0")</f>
        <v/>
      </c>
    </row>
    <row r="172" spans="3:12" x14ac:dyDescent="0.25">
      <c r="H172" s="13" t="str">
        <f>[3]!EQS(F171,"Units= ; EqnPrefix=Valem  ; EqnNo= 0; Multiplication= 1; ShowWorking= 1; EqnStyle= 2; Eqp$G$39_$G$40_1")</f>
        <v/>
      </c>
    </row>
    <row r="173" spans="3:12" x14ac:dyDescent="0.25">
      <c r="C173" s="24"/>
      <c r="D173" s="24"/>
      <c r="E173" s="18"/>
      <c r="F173" s="18"/>
      <c r="G173" s="46"/>
      <c r="H173" s="18"/>
      <c r="I173" s="18"/>
      <c r="J173" s="18"/>
      <c r="K173" s="18"/>
      <c r="L173" s="18"/>
    </row>
    <row r="174" spans="3:12" outlineLevel="1" x14ac:dyDescent="0.25">
      <c r="E174" s="14"/>
    </row>
    <row r="175" spans="3:12" outlineLevel="1" x14ac:dyDescent="0.25">
      <c r="F175" s="22">
        <v>41</v>
      </c>
    </row>
    <row r="176" spans="3:12" outlineLevel="1" x14ac:dyDescent="0.25">
      <c r="F176" s="22">
        <v>0.25</v>
      </c>
    </row>
    <row r="177" spans="3:10" outlineLevel="1" x14ac:dyDescent="0.25">
      <c r="F177" s="22">
        <v>0.15</v>
      </c>
    </row>
    <row r="178" spans="3:10" outlineLevel="1" x14ac:dyDescent="0.25">
      <c r="F178" s="22">
        <v>5</v>
      </c>
    </row>
    <row r="179" spans="3:10" outlineLevel="1" x14ac:dyDescent="0.25">
      <c r="D179" s="26"/>
      <c r="E179" s="17"/>
      <c r="F179" s="16"/>
      <c r="G179" s="45"/>
      <c r="I179" s="21"/>
    </row>
    <row r="180" spans="3:10" outlineLevel="1" x14ac:dyDescent="0.25">
      <c r="F180" s="33">
        <f>F177*F178</f>
        <v>0.75</v>
      </c>
      <c r="H180" s="20" t="str">
        <f>[3]!EQS(F180,"Units= ; EqnPrefix=Valem  ; EqnNo= 0; Multiplication= 1; ShowWorking= 1; EqnStyle=2; Eqp$G$17_0")</f>
        <v/>
      </c>
    </row>
    <row r="181" spans="3:10" outlineLevel="1" x14ac:dyDescent="0.25">
      <c r="E181" s="25"/>
      <c r="F181" s="33"/>
      <c r="G181" s="47"/>
      <c r="H181" s="20"/>
      <c r="I181" s="19"/>
    </row>
    <row r="182" spans="3:10" outlineLevel="1" x14ac:dyDescent="0.25">
      <c r="C182" s="36"/>
      <c r="F182" s="33">
        <f>F178*F176</f>
        <v>1.25</v>
      </c>
      <c r="H182" s="20" t="str">
        <f>[3]!EQS(F182,"Units= ; EqnPrefix=Valem  ; EqnNo= 0; Multiplication= 1; ShowWorking= 1; EqnStyle= 2; Eqp$H$137_2")</f>
        <v/>
      </c>
    </row>
    <row r="183" spans="3:10" outlineLevel="1" x14ac:dyDescent="0.25">
      <c r="F183" s="16"/>
      <c r="G183" s="45"/>
      <c r="I183" s="21"/>
    </row>
    <row r="184" spans="3:10" outlineLevel="1" x14ac:dyDescent="0.25">
      <c r="E184" s="17"/>
      <c r="F184" s="16"/>
      <c r="G184" s="45"/>
      <c r="I184" s="21"/>
    </row>
    <row r="185" spans="3:10" outlineLevel="1" x14ac:dyDescent="0.25"/>
    <row r="186" spans="3:10" outlineLevel="1" x14ac:dyDescent="0.25">
      <c r="F186" s="30">
        <f>$F$6*LN(F175/$F$7)*$F$3</f>
        <v>26.770124317630611</v>
      </c>
      <c r="H186" s="20" t="str">
        <f>[3]!EQS(F186,"Units= ; EqnPrefix=Valem  ; EqnNo= 0; Multiplication= 1; ShowWorking= 0; EqnStyle= 2; Eqp$H$54_2")</f>
        <v/>
      </c>
      <c r="J186" s="20"/>
    </row>
    <row r="187" spans="3:10" outlineLevel="1" x14ac:dyDescent="0.25">
      <c r="E187" s="17"/>
      <c r="F187" s="30"/>
      <c r="G187" s="45"/>
      <c r="H187" s="20" t="str">
        <f>[3]!EQS(F186,"Units= ; EqnPrefix=Valem  ; EqnNo= 0; Multiplication= 1; ShowWorking= 1; EqnStyle= 2; Eqp$H$54_$H$55_3")</f>
        <v/>
      </c>
      <c r="J187" s="20"/>
    </row>
    <row r="188" spans="3:10" outlineLevel="1" x14ac:dyDescent="0.25">
      <c r="D188" s="29"/>
      <c r="F188" s="30"/>
      <c r="G188" s="45"/>
      <c r="H188" s="20"/>
      <c r="I188" s="28"/>
      <c r="J188" s="20"/>
    </row>
    <row r="189" spans="3:10" outlineLevel="1" x14ac:dyDescent="0.25">
      <c r="F189" s="30">
        <f>1/2*$F$5*F186^2</f>
        <v>438.94172803860613</v>
      </c>
      <c r="H189" s="20" t="str">
        <f>[3]!EQS(F189,"Units= ; EqnPrefix=Valem  ; EqnNo= 0; Multiplication= 1; ShowWorking= 0; EqnStyle= 2; Eqp$G$21_0")</f>
        <v/>
      </c>
      <c r="J189" s="20"/>
    </row>
    <row r="190" spans="3:10" outlineLevel="1" x14ac:dyDescent="0.25">
      <c r="E190" s="25"/>
      <c r="F190" s="30"/>
      <c r="G190" s="47"/>
      <c r="H190" s="20" t="str">
        <f>[3]!EQS(F189,"Units= ; EqnPrefix=Valem  ; EqnNo= 0; Multiplication= 1; ShowWorking= 1; EqnStyle= 2; Eqp$G$21_$G$25_1")</f>
        <v/>
      </c>
      <c r="J190" s="20"/>
    </row>
    <row r="191" spans="3:10" outlineLevel="1" x14ac:dyDescent="0.25">
      <c r="E191" s="25"/>
      <c r="F191" s="30"/>
      <c r="G191" s="47"/>
      <c r="I191" s="28"/>
      <c r="J191" s="20"/>
    </row>
    <row r="192" spans="3:10" outlineLevel="1" x14ac:dyDescent="0.25">
      <c r="F192" s="30">
        <f>(1+2.28/LN(F175/$F$7))^2</f>
        <v>1.7951352851913878</v>
      </c>
      <c r="G192" s="47"/>
      <c r="H192" s="20" t="str">
        <f>[3]!EQS(F192,"Units= ; EqnPrefix=Valem  ; EqnNo= 0; Multiplication= 1; ShowWorking= 0; EqnStyle= 2; Eqp$G$24_0")</f>
        <v/>
      </c>
      <c r="J192" s="20"/>
    </row>
    <row r="193" spans="3:10" outlineLevel="1" x14ac:dyDescent="0.25">
      <c r="E193" s="25"/>
      <c r="F193" s="30"/>
      <c r="G193" s="47"/>
      <c r="H193" s="20" t="str">
        <f>[3]!EQS(F192,"Units= ; EqnPrefix=Valem  ; EqnNo= 0; Multiplication= 1; ShowWorking= 1; EqnStyle= 2; Eqp$G$24_$G$28_1")</f>
        <v/>
      </c>
      <c r="J193" s="20"/>
    </row>
    <row r="194" spans="3:10" outlineLevel="1" x14ac:dyDescent="0.25">
      <c r="D194" s="13"/>
      <c r="E194" s="25"/>
      <c r="F194" s="30"/>
      <c r="G194" s="47"/>
      <c r="J194" s="20"/>
    </row>
    <row r="195" spans="3:10" outlineLevel="1" x14ac:dyDescent="0.25">
      <c r="F195" s="13">
        <v>1.1499999999999999</v>
      </c>
      <c r="J195" s="20"/>
    </row>
    <row r="196" spans="3:10" outlineLevel="1" x14ac:dyDescent="0.25">
      <c r="D196" s="27"/>
      <c r="E196" s="14"/>
      <c r="F196" s="31"/>
      <c r="H196" s="20"/>
      <c r="I196" s="20"/>
      <c r="J196" s="20"/>
    </row>
    <row r="197" spans="3:10" outlineLevel="1" x14ac:dyDescent="0.25">
      <c r="C197" s="13"/>
      <c r="E197" s="25"/>
      <c r="F197" s="32"/>
      <c r="H197" s="20"/>
      <c r="I197" s="29"/>
      <c r="J197" s="20"/>
    </row>
    <row r="198" spans="3:10" outlineLevel="1" x14ac:dyDescent="0.25">
      <c r="F198" s="30">
        <v>2</v>
      </c>
      <c r="H198" s="20"/>
      <c r="I198" s="19"/>
      <c r="J198" s="20"/>
    </row>
    <row r="199" spans="3:10" outlineLevel="1" x14ac:dyDescent="0.25">
      <c r="E199" s="20"/>
      <c r="F199" s="20"/>
      <c r="H199" s="20"/>
      <c r="I199" s="28"/>
      <c r="J199" s="20"/>
    </row>
    <row r="200" spans="3:10" outlineLevel="1" x14ac:dyDescent="0.25">
      <c r="D200" s="36"/>
      <c r="F200" s="38">
        <f>MIN(70,2*F178/F176)</f>
        <v>40</v>
      </c>
      <c r="H200" s="20"/>
      <c r="J200" s="20"/>
    </row>
    <row r="201" spans="3:10" outlineLevel="1" x14ac:dyDescent="0.25">
      <c r="E201" s="20"/>
      <c r="F201" s="20"/>
      <c r="H201" s="20"/>
      <c r="I201" s="28"/>
      <c r="J201" s="20"/>
    </row>
    <row r="202" spans="3:10" outlineLevel="1" x14ac:dyDescent="0.25">
      <c r="D202" s="36"/>
      <c r="F202" s="20">
        <v>1</v>
      </c>
      <c r="H202" s="20"/>
      <c r="I202" s="28"/>
      <c r="J202" s="20"/>
    </row>
    <row r="203" spans="3:10" outlineLevel="1" x14ac:dyDescent="0.25">
      <c r="F203" s="20"/>
      <c r="H203" s="20"/>
      <c r="I203" s="28"/>
      <c r="J203" s="20"/>
    </row>
    <row r="204" spans="3:10" outlineLevel="1" x14ac:dyDescent="0.25">
      <c r="F204" s="13">
        <v>0.85</v>
      </c>
      <c r="H204" s="20"/>
      <c r="I204" s="28"/>
      <c r="J204" s="20"/>
    </row>
    <row r="205" spans="3:10" outlineLevel="1" x14ac:dyDescent="0.25">
      <c r="E205" s="42"/>
      <c r="H205" s="20"/>
      <c r="I205" s="28"/>
      <c r="J205" s="20"/>
    </row>
    <row r="206" spans="3:10" outlineLevel="1" x14ac:dyDescent="0.25">
      <c r="F206" s="13">
        <v>0.9</v>
      </c>
      <c r="H206" s="20"/>
    </row>
    <row r="207" spans="3:10" outlineLevel="1" x14ac:dyDescent="0.25">
      <c r="E207" s="20"/>
      <c r="F207" s="37"/>
      <c r="H207" s="20"/>
      <c r="I207" s="28"/>
      <c r="J207" s="20"/>
    </row>
    <row r="208" spans="3:10" outlineLevel="1" x14ac:dyDescent="0.25">
      <c r="F208" s="39">
        <f>F198*F204*F206</f>
        <v>1.53</v>
      </c>
      <c r="H208" s="20" t="str">
        <f>[3]!EQS(F208,"Units= ; EqnPrefix=Valem  ; EqnNo= 0; Multiplication= 1; ShowWorking= 0; EqnStyle= 2; Eqp$H$119_2")</f>
        <v/>
      </c>
      <c r="J208" s="20"/>
    </row>
    <row r="209" spans="3:10" outlineLevel="1" x14ac:dyDescent="0.25">
      <c r="E209" s="20"/>
      <c r="F209" s="37"/>
      <c r="H209" s="20" t="str">
        <f>[3]!EQS(F208,"Units= ; EqnPrefix=Valem  ; EqnNo= 0; Multiplication= 1; ShowWorking= 1; EqnStyle= 2; Eqp$H$119_$H$120_3")</f>
        <v/>
      </c>
      <c r="J209" s="20"/>
    </row>
    <row r="210" spans="3:10" outlineLevel="1" x14ac:dyDescent="0.25">
      <c r="E210" s="20"/>
      <c r="F210" s="37"/>
      <c r="H210" s="20"/>
      <c r="I210" s="28"/>
      <c r="J210" s="20"/>
    </row>
    <row r="211" spans="3:10" outlineLevel="1" x14ac:dyDescent="0.25">
      <c r="C211" s="43"/>
      <c r="F211" s="39">
        <f>F198*F204*F206</f>
        <v>1.53</v>
      </c>
      <c r="H211" s="20" t="str">
        <f>[3]!EQS(F211,"Units= ; EqnPrefix=Valem  ; EqnNo= 0; Multiplication= 1; ShowWorking= 0; EqnStyle= 2; Eqp$H$119_2")</f>
        <v/>
      </c>
      <c r="J211" s="20"/>
    </row>
    <row r="212" spans="3:10" outlineLevel="1" x14ac:dyDescent="0.25">
      <c r="E212" s="20"/>
      <c r="F212" s="37"/>
      <c r="H212" s="20" t="str">
        <f>[3]!EQS(F211,"Units= ; EqnPrefix=Valem  ; EqnNo= 0; Multiplication= 1; ShowWorking= 1; EqnStyle= 2; Eqp$H$119_$H$120_3")</f>
        <v/>
      </c>
      <c r="J212" s="20"/>
    </row>
    <row r="213" spans="3:10" outlineLevel="1" x14ac:dyDescent="0.25">
      <c r="E213" s="20"/>
      <c r="F213" s="20"/>
      <c r="H213" s="20"/>
      <c r="I213" s="28"/>
      <c r="J213" s="20"/>
    </row>
    <row r="214" spans="3:10" outlineLevel="1" x14ac:dyDescent="0.25">
      <c r="F214" s="91">
        <f>COS(RADIANS(86))^2</f>
        <v>4.8659656292148329E-3</v>
      </c>
      <c r="H214" s="20" t="str">
        <f>[3]!EQS(F214,"Units= ; EqnPrefix=Valem  ; EqnNo= 0; Multiplication= 1; ShowWorking= 0; EqnStyle= 2; Eqp$H$75_2")</f>
        <v/>
      </c>
      <c r="J214" s="20"/>
    </row>
    <row r="215" spans="3:10" outlineLevel="1" x14ac:dyDescent="0.25">
      <c r="E215" s="42"/>
      <c r="F215" s="40"/>
      <c r="H215" s="20"/>
      <c r="I215" s="28"/>
      <c r="J215" s="20"/>
    </row>
    <row r="216" spans="3:10" outlineLevel="1" x14ac:dyDescent="0.25">
      <c r="F216" s="91">
        <f>COS(RADIANS(4))^2</f>
        <v>0.99513403437078507</v>
      </c>
      <c r="H216" s="20" t="str">
        <f>[3]!EQS(F216,"Units= ; EqnPrefix=Valem  ; EqnNo= 0; Multiplication= 1; ShowWorking= 0; EqnStyle= 2; Eqp$H$75_2")</f>
        <v/>
      </c>
      <c r="J216" s="20"/>
    </row>
    <row r="218" spans="3:10" x14ac:dyDescent="0.25">
      <c r="F218" s="34">
        <f>F189*F192*F195*F208*F177*F214</f>
        <v>1.0119373359971857</v>
      </c>
      <c r="H218" s="20" t="str">
        <f>[3]!EQS(F218,"Units= ; EqnPrefix=Valem  ; EqnNo= 0; Multiplication= 1; ShowWorking= 0; EqnStyle= 2; Eqp$G$39_0")</f>
        <v/>
      </c>
    </row>
    <row r="219" spans="3:10" x14ac:dyDescent="0.25">
      <c r="H219" s="13" t="str">
        <f>[3]!EQS(F218,"Units= ; EqnPrefix=Valem  ; EqnNo= 0; Multiplication= 1; ShowWorking= 1; EqnStyle= 2; Eqp$G$39_$G$40_1")</f>
        <v/>
      </c>
    </row>
    <row r="221" spans="3:10" x14ac:dyDescent="0.25">
      <c r="F221" s="34">
        <f>F189*F192*F195*F211*F176*F216</f>
        <v>344.91724782411268</v>
      </c>
      <c r="H221" s="20" t="str">
        <f>[3]!EQS(F221,"Units= ; EqnPrefix=Valem  ; EqnNo= 0; Multiplication= 1; ShowWorking= 0; EqnStyle= 2; Eqp$G$39_0")</f>
        <v/>
      </c>
    </row>
    <row r="222" spans="3:10" x14ac:dyDescent="0.25">
      <c r="H222" s="13" t="str">
        <f>[3]!EQS(F221,"Units= ; EqnPrefix=Valem  ; EqnNo= 0; Multiplication= 1; ShowWorking= 1; EqnStyle= 2; Eqp$G$39_$G$40_1")</f>
        <v/>
      </c>
    </row>
    <row r="224" spans="3:10" x14ac:dyDescent="0.25">
      <c r="C224" s="24"/>
      <c r="D224" s="24"/>
      <c r="E224" s="18"/>
    </row>
    <row r="225" spans="4:10" outlineLevel="1" x14ac:dyDescent="0.25">
      <c r="E225" s="14"/>
    </row>
    <row r="226" spans="4:10" outlineLevel="1" x14ac:dyDescent="0.25"/>
    <row r="227" spans="4:10" outlineLevel="1" x14ac:dyDescent="0.25"/>
    <row r="228" spans="4:10" outlineLevel="1" x14ac:dyDescent="0.25"/>
    <row r="229" spans="4:10" outlineLevel="1" x14ac:dyDescent="0.25"/>
    <row r="230" spans="4:10" outlineLevel="1" x14ac:dyDescent="0.25">
      <c r="E230" s="14"/>
    </row>
    <row r="231" spans="4:10" outlineLevel="1" x14ac:dyDescent="0.25">
      <c r="F231" s="22">
        <v>36</v>
      </c>
    </row>
    <row r="232" spans="4:10" outlineLevel="1" x14ac:dyDescent="0.25">
      <c r="F232" s="22">
        <v>2.01E-2</v>
      </c>
    </row>
    <row r="233" spans="4:10" outlineLevel="1" x14ac:dyDescent="0.25">
      <c r="F233" s="22">
        <v>40.590000000000003</v>
      </c>
    </row>
    <row r="234" spans="4:10" outlineLevel="1" x14ac:dyDescent="0.25">
      <c r="D234" s="26"/>
      <c r="E234" s="17"/>
      <c r="F234" s="16"/>
      <c r="G234" s="45"/>
      <c r="I234" s="21"/>
    </row>
    <row r="235" spans="4:10" outlineLevel="1" x14ac:dyDescent="0.25">
      <c r="F235" s="33">
        <f>F232*F233</f>
        <v>0.81585900000000011</v>
      </c>
      <c r="H235" s="20" t="str">
        <f>[3]!EQS(F235,"Units= ; EqnPrefix=Valem  ; EqnNo= 0; Multiplication= 1; ShowWorking= 1; EqnStyle=2; Eqp$G$17_0")</f>
        <v/>
      </c>
    </row>
    <row r="236" spans="4:10" outlineLevel="1" x14ac:dyDescent="0.25">
      <c r="F236" s="16"/>
      <c r="G236" s="45"/>
      <c r="I236" s="21"/>
    </row>
    <row r="237" spans="4:10" outlineLevel="1" x14ac:dyDescent="0.25">
      <c r="F237" s="30">
        <f>$F$6*LN(F231/$F$7)*$F$3</f>
        <v>26.251212335920307</v>
      </c>
      <c r="H237" s="20" t="str">
        <f>[3]!EQS(F237,"Units= ; EqnPrefix=Valem  ; EqnNo= 0; Multiplication= 1; ShowWorking= 0; EqnStyle= 2; Eqp$H$21_2")</f>
        <v/>
      </c>
      <c r="J237" s="20"/>
    </row>
    <row r="238" spans="4:10" outlineLevel="1" x14ac:dyDescent="0.25">
      <c r="E238" s="17"/>
      <c r="F238" s="30"/>
      <c r="G238" s="45"/>
      <c r="H238" s="20" t="str">
        <f>[3]!EQS(F237,"Units= ; EqnPrefix=Valem  ; EqnNo= 0; Multiplication= 1; ShowWorking= 1; EqnStyle= 2; Eqp$H$21_$H$22_3")</f>
        <v/>
      </c>
      <c r="J238" s="20"/>
    </row>
    <row r="239" spans="4:10" outlineLevel="1" x14ac:dyDescent="0.25">
      <c r="D239" s="29"/>
      <c r="F239" s="30"/>
      <c r="G239" s="45"/>
      <c r="H239" s="20"/>
      <c r="I239" s="28"/>
      <c r="J239" s="20"/>
    </row>
    <row r="240" spans="4:10" outlineLevel="1" x14ac:dyDescent="0.25">
      <c r="F240" s="30">
        <f>1/2*$F$5*F237^2</f>
        <v>422.08976632716445</v>
      </c>
      <c r="H240" s="20" t="str">
        <f>[3]!EQS(F240,"Units= ; EqnPrefix=Valem  ; EqnNo= 0; Multiplication= 1; ShowWorking= 0; EqnStyle= 2; Eqp$G$21_0")</f>
        <v/>
      </c>
      <c r="J240" s="20"/>
    </row>
    <row r="241" spans="3:10" outlineLevel="1" x14ac:dyDescent="0.25">
      <c r="E241" s="25"/>
      <c r="F241" s="30"/>
      <c r="G241" s="47"/>
      <c r="H241" s="20" t="str">
        <f>[3]!EQS(F240,"Units= ; EqnPrefix=Valem  ; EqnNo= 0; Multiplication= 1; ShowWorking= 1; EqnStyle= 2; Eqp$G$21_$G$25_1")</f>
        <v/>
      </c>
      <c r="J241" s="20"/>
    </row>
    <row r="242" spans="3:10" outlineLevel="1" x14ac:dyDescent="0.25">
      <c r="E242" s="25"/>
      <c r="F242" s="30"/>
      <c r="G242" s="47"/>
      <c r="I242" s="28"/>
      <c r="J242" s="20"/>
    </row>
    <row r="243" spans="3:10" outlineLevel="1" x14ac:dyDescent="0.25">
      <c r="F243" s="30">
        <f>(1+2.28/LN(F231/$F$7))^2</f>
        <v>1.8131807308313552</v>
      </c>
      <c r="G243" s="47"/>
      <c r="H243" s="20" t="str">
        <f>[3]!EQS(F243,"Units= ; EqnPrefix=Valem  ; EqnNo= 0; Multiplication= 1; ShowWorking= 0; EqnStyle= 2; Eqp$G$24_0")</f>
        <v/>
      </c>
      <c r="J243" s="20"/>
    </row>
    <row r="244" spans="3:10" outlineLevel="1" x14ac:dyDescent="0.25">
      <c r="E244" s="25"/>
      <c r="F244" s="30"/>
      <c r="G244" s="47"/>
      <c r="H244" s="20" t="str">
        <f>[3]!EQS(F243,"Units= ; EqnPrefix=Valem  ; EqnNo= 0; Multiplication= 1; ShowWorking= 1; EqnStyle= 2; Eqp$G$24_$G$28_1")</f>
        <v/>
      </c>
      <c r="J244" s="20"/>
    </row>
    <row r="245" spans="3:10" outlineLevel="1" x14ac:dyDescent="0.25">
      <c r="D245" s="13"/>
      <c r="E245" s="25"/>
      <c r="F245" s="30"/>
      <c r="G245" s="47"/>
      <c r="J245" s="20"/>
    </row>
    <row r="246" spans="3:10" outlineLevel="1" x14ac:dyDescent="0.25">
      <c r="F246" s="13">
        <v>1.1499999999999999</v>
      </c>
      <c r="J246" s="20"/>
    </row>
    <row r="247" spans="3:10" outlineLevel="1" x14ac:dyDescent="0.25">
      <c r="D247" s="27"/>
      <c r="E247" s="14"/>
      <c r="F247" s="31"/>
      <c r="H247" s="20"/>
      <c r="I247" s="20"/>
      <c r="J247" s="20"/>
    </row>
    <row r="248" spans="3:10" outlineLevel="1" x14ac:dyDescent="0.25">
      <c r="F248" s="20">
        <f>15*10^-6</f>
        <v>1.4999999999999999E-5</v>
      </c>
      <c r="H248" s="20"/>
      <c r="J248" s="20"/>
    </row>
    <row r="249" spans="3:10" outlineLevel="1" x14ac:dyDescent="0.25">
      <c r="F249" s="20">
        <f>F232</f>
        <v>2.01E-2</v>
      </c>
      <c r="H249" s="20"/>
      <c r="J249" s="20"/>
    </row>
    <row r="250" spans="3:10" outlineLevel="1" x14ac:dyDescent="0.25">
      <c r="C250" s="13"/>
      <c r="E250" s="25"/>
      <c r="F250" s="20"/>
      <c r="G250" s="47"/>
      <c r="H250" s="20"/>
      <c r="I250" s="29"/>
      <c r="J250" s="20"/>
    </row>
    <row r="251" spans="3:10" outlineLevel="1" x14ac:dyDescent="0.25">
      <c r="C251" s="13"/>
      <c r="F251" s="32">
        <f>F249*F237/F248</f>
        <v>35176.624530133209</v>
      </c>
      <c r="H251" s="20" t="str">
        <f>[3]!EQS(F251,"Units= ; EqnPrefix=Valem  ; EqnNo= 0; Multiplication= 1; ShowWorking= 1; EqnStyle= 2; Eqp$G$27_0")</f>
        <v/>
      </c>
      <c r="J251" s="20"/>
    </row>
    <row r="252" spans="3:10" outlineLevel="1" x14ac:dyDescent="0.25">
      <c r="C252" s="13"/>
      <c r="E252" s="25"/>
      <c r="F252" s="32"/>
      <c r="H252" s="20"/>
      <c r="I252" s="29"/>
      <c r="J252" s="20"/>
    </row>
    <row r="253" spans="3:10" outlineLevel="1" x14ac:dyDescent="0.25">
      <c r="C253" s="13"/>
      <c r="D253" s="29"/>
      <c r="F253" s="30">
        <v>1.2</v>
      </c>
      <c r="H253" s="20"/>
      <c r="I253" s="29"/>
      <c r="J253" s="20"/>
    </row>
    <row r="254" spans="3:10" outlineLevel="1" x14ac:dyDescent="0.25">
      <c r="E254" s="20"/>
      <c r="F254" s="20"/>
      <c r="H254" s="20"/>
      <c r="I254" s="28"/>
      <c r="J254" s="20"/>
    </row>
    <row r="255" spans="3:10" outlineLevel="1" x14ac:dyDescent="0.25">
      <c r="F255" s="91">
        <f>COS(RADIANS(49))^2</f>
        <v>0.43041344951996724</v>
      </c>
      <c r="H255" s="20" t="str">
        <f>[3]!EQS(F255,"Units= ; EqnPrefix=Valem  ; EqnNo= 0; Multiplication= 1; ShowWorking= 0; EqnStyle= 2; Eqp$H$75_2")</f>
        <v/>
      </c>
      <c r="J255" s="20"/>
    </row>
    <row r="256" spans="3:10" outlineLevel="1" x14ac:dyDescent="0.25">
      <c r="E256" s="42"/>
      <c r="F256" s="40"/>
      <c r="H256" s="20"/>
      <c r="I256" s="28"/>
      <c r="J256" s="20"/>
    </row>
    <row r="257" spans="2:10" outlineLevel="1" x14ac:dyDescent="0.25">
      <c r="F257" s="91">
        <f>COS(RADIANS(41))^2</f>
        <v>0.56958655048003271</v>
      </c>
      <c r="H257" s="20" t="str">
        <f>[3]!EQS(F257,"Units= ; EqnPrefix=Valem  ; EqnNo= 0; Multiplication= 1; ShowWorking= 0; EqnStyle= 2; Eqp$H$75_2")</f>
        <v/>
      </c>
      <c r="J257" s="20"/>
    </row>
    <row r="259" spans="2:10" x14ac:dyDescent="0.25">
      <c r="F259" s="34">
        <f>F240*F243*F246*F253*F232*F255</f>
        <v>9.137068803646045</v>
      </c>
      <c r="H259" s="20" t="str">
        <f>[3]!EQS(F259,"Units= ; EqnPrefix=Valem  ; EqnNo= 0; Multiplication= 1; ShowWorking= 0; EqnStyle= 2; Eqp$G$39_0")</f>
        <v/>
      </c>
    </row>
    <row r="260" spans="2:10" x14ac:dyDescent="0.25">
      <c r="H260" s="13" t="str">
        <f>[3]!EQS(F259,"Units= ; EqnPrefix=Valem  ; EqnNo= 0; Multiplication= 1; ShowWorking= 1; EqnStyle= 2; Eqp$G$39_$G$40_1")</f>
        <v/>
      </c>
    </row>
    <row r="261" spans="2:10" x14ac:dyDescent="0.25">
      <c r="F261" s="53">
        <f>COS(RADIANS(45))*F259</f>
        <v>6.4608833112261737</v>
      </c>
      <c r="H261" s="20" t="str">
        <f>[3]!EQS(F261,"Units= ; EqnPrefix=Valem  ; EqnNo= 0; Multiplication= 1; ShowWorking= 0; EqnStyle= 2; Eqp$H$259_2")</f>
        <v/>
      </c>
    </row>
    <row r="262" spans="2:10" x14ac:dyDescent="0.25">
      <c r="I262" s="19"/>
    </row>
    <row r="264" spans="2:10" x14ac:dyDescent="0.25">
      <c r="F264" s="34">
        <f>F240*F243*F246*F253*F232*F257</f>
        <v>12.091516905830415</v>
      </c>
      <c r="H264" s="20" t="str">
        <f>[3]!EQS(F264,"Units= ; EqnPrefix=Valem  ; EqnNo= 0; Multiplication= 1; ShowWorking= 0; EqnStyle= 2; Eqp$G$39_0")</f>
        <v/>
      </c>
    </row>
    <row r="265" spans="2:10" x14ac:dyDescent="0.25">
      <c r="H265" s="13" t="str">
        <f>[3]!EQS(F264,"Units= ; EqnPrefix=Valem  ; EqnNo= 0; Multiplication= 1; ShowWorking= 1; EqnStyle= 2; Eqp$G$39_$G$40_1")</f>
        <v/>
      </c>
    </row>
    <row r="266" spans="2:10" x14ac:dyDescent="0.25">
      <c r="F266" s="53">
        <f>COS(RADIANS(45))*F264</f>
        <v>8.549993598944468</v>
      </c>
      <c r="H266" s="20" t="str">
        <f>[3]!EQS(F266,"Units= ; EqnPrefix=Valem  ; EqnNo= 0; Multiplication= 1; ShowWorking= 0; EqnStyle= 2; Eqp$H$264_2")</f>
        <v/>
      </c>
    </row>
    <row r="267" spans="2:10" x14ac:dyDescent="0.25">
      <c r="I267" s="19"/>
    </row>
    <row r="271" spans="2:10" x14ac:dyDescent="0.25">
      <c r="C271" s="49"/>
    </row>
    <row r="272" spans="2:10" x14ac:dyDescent="0.25">
      <c r="B272" s="23"/>
      <c r="F272" s="22">
        <v>30</v>
      </c>
    </row>
    <row r="273" spans="2:9" x14ac:dyDescent="0.25">
      <c r="B273" s="23"/>
      <c r="F273" s="22">
        <v>21.8</v>
      </c>
    </row>
    <row r="274" spans="2:9" x14ac:dyDescent="0.25">
      <c r="B274" s="23"/>
      <c r="F274" s="22">
        <v>2</v>
      </c>
      <c r="G274" s="45"/>
    </row>
    <row r="275" spans="2:9" x14ac:dyDescent="0.25">
      <c r="B275" s="23"/>
      <c r="F275" s="16"/>
      <c r="G275" s="45"/>
      <c r="I275" s="21"/>
    </row>
    <row r="276" spans="2:9" x14ac:dyDescent="0.25">
      <c r="B276" s="23"/>
      <c r="F276" s="30">
        <f>$F$6*LN(F272/$F$7)*$F$3</f>
        <v>25.523749324312423</v>
      </c>
      <c r="H276" s="20" t="str">
        <f>[3]!EQS(F276,"Units= ; EqnPrefix=Valem  ; EqnNo= 0; Multiplication= 1; ShowWorking= 0; EqnStyle= 2; Eqp$H$21_2")</f>
        <v/>
      </c>
    </row>
    <row r="277" spans="2:9" x14ac:dyDescent="0.25">
      <c r="B277" s="23"/>
      <c r="E277" s="17"/>
      <c r="F277" s="30"/>
      <c r="G277" s="45"/>
      <c r="H277" s="20" t="str">
        <f>[3]!EQS(F276,"Units= ; EqnPrefix=Valem  ; EqnNo= 0; Multiplication= 1; ShowWorking= 1; EqnStyle= 2; Eqp$H$21_$H$22_3")</f>
        <v/>
      </c>
    </row>
    <row r="278" spans="2:9" x14ac:dyDescent="0.25">
      <c r="B278" s="23"/>
      <c r="D278" s="29"/>
      <c r="F278" s="30"/>
      <c r="G278" s="45"/>
      <c r="H278" s="20"/>
      <c r="I278" s="28"/>
    </row>
    <row r="279" spans="2:9" x14ac:dyDescent="0.25">
      <c r="B279" s="23"/>
      <c r="F279" s="30">
        <f>1/2*$F$5*F276^2</f>
        <v>399.0203399868326</v>
      </c>
      <c r="H279" s="20" t="str">
        <f>[3]!EQS(F279,"Units= ; EqnPrefix=Valem  ; EqnNo= 0; Multiplication= 1; ShowWorking= 0; EqnStyle= 2; Eqp$G$21_0")</f>
        <v/>
      </c>
    </row>
    <row r="280" spans="2:9" x14ac:dyDescent="0.25">
      <c r="B280" s="23"/>
      <c r="E280" s="25"/>
      <c r="F280" s="30"/>
      <c r="G280" s="47"/>
      <c r="H280" s="20" t="str">
        <f>[3]!EQS(F279,"Units= ; EqnPrefix=Valem  ; EqnNo= 0; Multiplication= 1; ShowWorking= 1; EqnStyle= 2; Eqp$G$21_$G$25_1")</f>
        <v/>
      </c>
    </row>
    <row r="281" spans="2:9" x14ac:dyDescent="0.25">
      <c r="B281" s="23"/>
      <c r="E281" s="25"/>
      <c r="F281" s="30"/>
      <c r="G281" s="47"/>
      <c r="I281" s="28"/>
    </row>
    <row r="282" spans="2:9" x14ac:dyDescent="0.25">
      <c r="B282" s="23"/>
      <c r="F282" s="30">
        <f>(1+2.28/LN(F272/$F$7))^2</f>
        <v>1.8398779018273839</v>
      </c>
      <c r="G282" s="47"/>
      <c r="H282" s="20" t="str">
        <f>[3]!EQS(F282,"Units= ; EqnPrefix=Valem  ; EqnNo= 0; Multiplication= 1; ShowWorking= 0; EqnStyle= 2; Eqp$G$24_0")</f>
        <v/>
      </c>
    </row>
    <row r="283" spans="2:9" x14ac:dyDescent="0.25">
      <c r="B283" s="23"/>
      <c r="E283" s="25"/>
      <c r="F283" s="30"/>
      <c r="G283" s="47"/>
      <c r="H283" s="20" t="str">
        <f>[3]!EQS(F282,"Units= ; EqnPrefix=Valem  ; EqnNo= 0; Multiplication= 1; ShowWorking= 1; EqnStyle= 2; Eqp$G$24_$G$28_1")</f>
        <v/>
      </c>
    </row>
    <row r="284" spans="2:9" x14ac:dyDescent="0.25">
      <c r="B284" s="23"/>
      <c r="E284" s="25"/>
      <c r="F284" s="30"/>
      <c r="G284" s="47"/>
      <c r="H284" s="20"/>
      <c r="I284" s="28"/>
    </row>
    <row r="285" spans="2:9" x14ac:dyDescent="0.25">
      <c r="B285" s="23"/>
      <c r="F285" s="22">
        <v>360</v>
      </c>
      <c r="H285" s="20"/>
      <c r="I285" s="28"/>
    </row>
    <row r="286" spans="2:9" x14ac:dyDescent="0.25">
      <c r="B286" s="23"/>
      <c r="E286" s="25"/>
      <c r="F286" s="30"/>
      <c r="G286" s="47"/>
      <c r="H286" s="20"/>
      <c r="I286" s="28"/>
    </row>
    <row r="287" spans="2:9" x14ac:dyDescent="0.25">
      <c r="B287" s="23"/>
      <c r="F287" s="30">
        <f>1.3-0.082*LN(F285)</f>
        <v>0.81733946942108726</v>
      </c>
      <c r="G287" s="47"/>
      <c r="H287" s="20" t="str">
        <f>[3]!EQS(F287,"Units= ; EqnPrefix=Valem  ; EqnNo= 0; Multiplication= 1; ShowWorking= 0; EqnStyle= 2; Eqp$G$24_0")</f>
        <v/>
      </c>
    </row>
    <row r="288" spans="2:9" x14ac:dyDescent="0.25">
      <c r="B288" s="23"/>
      <c r="E288" s="79"/>
      <c r="F288" s="30"/>
      <c r="G288" s="47"/>
      <c r="H288" s="20"/>
      <c r="I288" s="28"/>
    </row>
    <row r="289" spans="2:28" x14ac:dyDescent="0.25">
      <c r="B289" s="23"/>
      <c r="F289" s="30">
        <v>1.1000000000000001</v>
      </c>
      <c r="G289" s="47"/>
      <c r="H289" s="20"/>
      <c r="I289" s="28"/>
    </row>
    <row r="290" spans="2:28" x14ac:dyDescent="0.25">
      <c r="B290" s="23"/>
      <c r="E290" s="25"/>
      <c r="F290" s="30"/>
      <c r="G290" s="47"/>
      <c r="H290" s="20"/>
      <c r="I290" s="28"/>
    </row>
    <row r="291" spans="2:28" x14ac:dyDescent="0.25">
      <c r="B291" s="23"/>
      <c r="C291" s="78"/>
      <c r="F291" s="30">
        <f>F279*F282*F287*F289*F273/1000</f>
        <v>14.389168156300371</v>
      </c>
      <c r="H291" s="20" t="str">
        <f>[3]!EQS(F291,"Units= ; EqnPrefix=Valem  ; EqnNo= 0; Multiplication= 1; ShowWorking= 0; EqnStyle= 2; Eqp$G$24_0")</f>
        <v/>
      </c>
    </row>
    <row r="292" spans="2:28" x14ac:dyDescent="0.25">
      <c r="B292" s="23"/>
      <c r="C292" s="78"/>
      <c r="E292" s="79"/>
      <c r="F292" s="30"/>
      <c r="G292" s="80"/>
      <c r="H292" s="20" t="str">
        <f>[3]!EQS(F291,"Units= ; EqnPrefix=Valem  ; EqnNo= 0; Multiplication= 1; ShowWorking= 1; EqnStyle= 2; Eqp$G$24_$H$294_1")</f>
        <v/>
      </c>
    </row>
    <row r="293" spans="2:28" x14ac:dyDescent="0.25">
      <c r="B293" s="23"/>
      <c r="E293" s="25"/>
      <c r="F293" s="30"/>
      <c r="G293" s="47"/>
      <c r="H293" s="20"/>
      <c r="I293" s="28"/>
    </row>
    <row r="294" spans="2:28" x14ac:dyDescent="0.25">
      <c r="F294" s="34">
        <f>F291*F274</f>
        <v>28.778336312600743</v>
      </c>
      <c r="H294" s="20" t="str">
        <f>[3]!EQS(F294,"Units= ; EqnPrefix=Valem  ; EqnNo= 0; Multiplication= 1; ShowWorking= 0; EqnStyle= 2; Eqp$G$24_0")</f>
        <v/>
      </c>
    </row>
    <row r="295" spans="2:28" x14ac:dyDescent="0.25">
      <c r="E295" s="79"/>
      <c r="F295" s="53"/>
      <c r="G295" s="80"/>
      <c r="H295" s="20"/>
      <c r="I295" s="19"/>
    </row>
    <row r="297" spans="2:28" x14ac:dyDescent="0.25">
      <c r="F297" s="84">
        <f>COS(RADIANS(0))^2</f>
        <v>1</v>
      </c>
      <c r="H297" s="20" t="str">
        <f>[3]!EQS(F297,"Units= ; EqnPrefix=Valem  ; EqnNo= 0; Multiplication= 1; ShowWorking= 0; EqnStyle= 2; Eqp$H$274_2")</f>
        <v/>
      </c>
    </row>
    <row r="299" spans="2:28" x14ac:dyDescent="0.25">
      <c r="F299" s="34">
        <f>F294*F297</f>
        <v>28.778336312600743</v>
      </c>
      <c r="H299" s="20" t="str">
        <f>[3]!EQS(F299,"Units= ; EqnPrefix=Valem  ; EqnNo= 0; Multiplication= 1; ShowWorking= 0; EqnStyle= 2; Eqp$H$276_2")</f>
        <v/>
      </c>
    </row>
    <row r="300" spans="2:28" x14ac:dyDescent="0.25">
      <c r="F300" s="53"/>
      <c r="G300" s="52"/>
      <c r="H300" s="20"/>
      <c r="I300" s="19"/>
      <c r="AB300" s="15"/>
    </row>
    <row r="301" spans="2:28" x14ac:dyDescent="0.25">
      <c r="F301" s="53">
        <f>COS(RADIANS(4))*F299</f>
        <v>28.708233731737373</v>
      </c>
      <c r="H301" s="20" t="str">
        <f>[3]!EQS(F301,"Units= ; EqnPrefix=Valem  ; EqnNo= 0; Multiplication= 1; ShowWorking= 0; EqnStyle= 2; Eqp$H$277_2")</f>
        <v/>
      </c>
    </row>
    <row r="302" spans="2:28" x14ac:dyDescent="0.25">
      <c r="F302" s="53">
        <f>SIN(RADIANS(4))*F299</f>
        <v>2.0074752613895415</v>
      </c>
      <c r="H302" s="20" t="str">
        <f>[3]!EQS(F302,"Units= ; EqnPrefix=Valem  ; EqnNo= 0; Multiplication= 1; ShowWorking= 0; EqnStyle=2; Eqp$H$278_2")</f>
        <v/>
      </c>
      <c r="Z302" s="20"/>
    </row>
    <row r="303" spans="2:28" x14ac:dyDescent="0.25">
      <c r="Z303" s="20"/>
    </row>
    <row r="304" spans="2:28" x14ac:dyDescent="0.25">
      <c r="F304" s="84">
        <f>COS(RADIANS(8))^2</f>
        <v>0.98063084796915956</v>
      </c>
      <c r="H304" s="20" t="str">
        <f>[3]!EQS(F304,"Units= ; EqnPrefix=Valem  ; EqnNo= 0; Multiplication= 1; ShowWorking= 0; EqnStyle= 2; Eqp$H$278_2")</f>
        <v/>
      </c>
      <c r="Z304" s="20"/>
    </row>
    <row r="305" spans="4:26" x14ac:dyDescent="0.25">
      <c r="Z305" s="20"/>
    </row>
    <row r="306" spans="4:26" x14ac:dyDescent="0.25">
      <c r="F306" s="34">
        <f>F294*F304</f>
        <v>28.220924341367322</v>
      </c>
      <c r="H306" s="20" t="str">
        <f>[3]!EQS(F306,"Units= ; EqnPrefix=Valem  ; EqnNo= 0; Multiplication= 1; ShowWorking= 0; EqnStyle= 2; Eqp$H$276_2")</f>
        <v/>
      </c>
      <c r="Z306" s="20"/>
    </row>
    <row r="307" spans="4:26" x14ac:dyDescent="0.25">
      <c r="E307" s="51"/>
      <c r="F307" s="53"/>
      <c r="G307" s="52"/>
      <c r="H307" s="20"/>
      <c r="I307" s="19"/>
      <c r="Z307" s="20"/>
    </row>
    <row r="308" spans="4:26" x14ac:dyDescent="0.25">
      <c r="F308" s="53">
        <f>COS(RADIANS(4))*F306</f>
        <v>28.152179588050448</v>
      </c>
      <c r="H308" s="20" t="str">
        <f>[3]!EQS(F308,"Units= ; EqnPrefix=Valem  ; EqnNo= 0; Multiplication= 1; ShowWorking= 0; EqnStyle= 2; Eqp$H$277_2")</f>
        <v/>
      </c>
      <c r="Z308" s="20"/>
    </row>
    <row r="309" spans="4:26" x14ac:dyDescent="0.25">
      <c r="F309" s="53">
        <f>SIN(RADIANS(4))*F306</f>
        <v>1.9685921678535363</v>
      </c>
      <c r="H309" s="20" t="str">
        <f>[3]!EQS(F309,"Units= ; EqnPrefix=Valem  ; EqnNo= 0; Multiplication= 1; ShowWorking= 0; EqnStyle=2; Eqp$H$278_2")</f>
        <v/>
      </c>
      <c r="Z309" s="20"/>
    </row>
    <row r="311" spans="4:26" x14ac:dyDescent="0.25">
      <c r="D311" s="69"/>
      <c r="E311" s="71"/>
      <c r="F311" s="53"/>
      <c r="G311" s="52"/>
      <c r="H311" s="20"/>
      <c r="I311" s="19"/>
    </row>
    <row r="313" spans="4:26" x14ac:dyDescent="0.25">
      <c r="F313" s="81">
        <f>F279</f>
        <v>399.0203399868326</v>
      </c>
      <c r="H313" s="20"/>
    </row>
    <row r="314" spans="4:26" x14ac:dyDescent="0.25">
      <c r="F314" s="81">
        <f>F282</f>
        <v>1.8398779018273839</v>
      </c>
      <c r="G314" s="80"/>
      <c r="H314" s="20">
        <v>1.8</v>
      </c>
    </row>
    <row r="315" spans="4:26" x14ac:dyDescent="0.25">
      <c r="F315" s="81">
        <f>F9</f>
        <v>1.1499999999999999</v>
      </c>
      <c r="G315" s="52"/>
      <c r="H315" s="20">
        <v>1.05</v>
      </c>
    </row>
    <row r="316" spans="4:26" x14ac:dyDescent="0.25">
      <c r="F316" s="81">
        <v>1.2</v>
      </c>
      <c r="G316" s="52"/>
      <c r="H316" s="20"/>
    </row>
    <row r="317" spans="4:26" x14ac:dyDescent="0.25">
      <c r="F317" s="82">
        <v>8.8999999999999999E-3</v>
      </c>
      <c r="H317" s="20"/>
    </row>
    <row r="318" spans="4:26" x14ac:dyDescent="0.25">
      <c r="F318" s="81">
        <v>9</v>
      </c>
      <c r="H318" s="20"/>
    </row>
    <row r="319" spans="4:26" x14ac:dyDescent="0.25">
      <c r="F319" s="76">
        <f>F313*F314*F315*F316*F317*F318</f>
        <v>81.151329655142234</v>
      </c>
      <c r="H319" s="20" t="str">
        <f>[3]!EQS(F319,"Units= ; EqnPrefix=Valem  ; EqnNo= 0; Multiplication= 1; ShowWorking= 0; EqnStyle=2; Eqp$H$278_2")</f>
        <v/>
      </c>
    </row>
    <row r="320" spans="4:26" x14ac:dyDescent="0.25">
      <c r="E320" s="73"/>
      <c r="F320" s="34"/>
      <c r="G320" s="52"/>
      <c r="H320" s="20"/>
      <c r="I320" s="19"/>
    </row>
    <row r="321" spans="2:9" x14ac:dyDescent="0.25">
      <c r="E321" s="51"/>
      <c r="F321" s="53"/>
      <c r="G321" s="52"/>
      <c r="H321" s="20"/>
      <c r="I321" s="19"/>
    </row>
    <row r="322" spans="2:9" x14ac:dyDescent="0.25">
      <c r="F322" s="53">
        <f>COS(RADIANS(4))*F319</f>
        <v>80.953649094753871</v>
      </c>
      <c r="H322" s="20" t="str">
        <f>[3]!EQS(F322,"Units= ; EqnPrefix=Valem  ; EqnNo= 0; Multiplication= 1; ShowWorking= 0; EqnStyle= 2; Eqp$H$277_2")</f>
        <v/>
      </c>
    </row>
    <row r="323" spans="2:9" x14ac:dyDescent="0.25">
      <c r="F323" s="53">
        <f>SIN(RADIANS(4))*F319</f>
        <v>5.6608305963897863</v>
      </c>
      <c r="H323" s="20" t="str">
        <f>[3]!EQS(F323,"Units= ; EqnPrefix=Valem  ; EqnNo= 0; Multiplication= 1; ShowWorking= 0; EqnStyle=2; Eqp$H$278_2")</f>
        <v/>
      </c>
    </row>
    <row r="324" spans="2:9" x14ac:dyDescent="0.25">
      <c r="E324" s="51"/>
      <c r="F324" s="53"/>
      <c r="G324" s="52"/>
      <c r="H324" s="20"/>
      <c r="I324" s="19"/>
    </row>
    <row r="325" spans="2:9" x14ac:dyDescent="0.25">
      <c r="E325" s="51"/>
      <c r="F325" s="53"/>
      <c r="G325" s="52"/>
      <c r="H325" s="20"/>
      <c r="I325" s="19"/>
    </row>
    <row r="327" spans="2:9" x14ac:dyDescent="0.25">
      <c r="B327" s="23"/>
      <c r="F327" s="22">
        <v>36</v>
      </c>
    </row>
    <row r="328" spans="2:9" x14ac:dyDescent="0.25">
      <c r="B328" s="23"/>
      <c r="F328" s="22">
        <v>27.7</v>
      </c>
    </row>
    <row r="329" spans="2:9" x14ac:dyDescent="0.25">
      <c r="B329" s="23"/>
      <c r="F329" s="22">
        <v>3</v>
      </c>
      <c r="G329" s="45"/>
    </row>
    <row r="330" spans="2:9" x14ac:dyDescent="0.25">
      <c r="B330" s="23"/>
      <c r="F330" s="16"/>
      <c r="G330" s="45"/>
      <c r="I330" s="21"/>
    </row>
    <row r="331" spans="2:9" x14ac:dyDescent="0.25">
      <c r="B331" s="23"/>
      <c r="F331" s="30">
        <f>$F$6*LN(F327/$F$7)*$F$3</f>
        <v>26.251212335920307</v>
      </c>
      <c r="H331" s="20" t="str">
        <f>[3]!EQS(F331,"Units= ; EqnPrefix=Valem  ; EqnNo= 0; Multiplication= 1; ShowWorking= 0; EqnStyle= 2; Eqp$H$21_2")</f>
        <v/>
      </c>
    </row>
    <row r="332" spans="2:9" x14ac:dyDescent="0.25">
      <c r="B332" s="23"/>
      <c r="E332" s="17"/>
      <c r="F332" s="30"/>
      <c r="G332" s="45"/>
      <c r="H332" s="20" t="str">
        <f>[3]!EQS(F331,"Units= ; EqnPrefix=Valem  ; EqnNo= 0; Multiplication= 1; ShowWorking= 1; EqnStyle= 2; Eqp$H$21_$H$22_3")</f>
        <v/>
      </c>
    </row>
    <row r="333" spans="2:9" x14ac:dyDescent="0.25">
      <c r="B333" s="23"/>
      <c r="D333" s="29"/>
      <c r="F333" s="30"/>
      <c r="G333" s="45"/>
      <c r="H333" s="20"/>
      <c r="I333" s="28"/>
    </row>
    <row r="334" spans="2:9" x14ac:dyDescent="0.25">
      <c r="B334" s="23"/>
      <c r="F334" s="30">
        <f>1/2*$F$5*F331^2</f>
        <v>422.08976632716445</v>
      </c>
      <c r="H334" s="20" t="str">
        <f>[3]!EQS(F334,"Units= ; EqnPrefix=Valem  ; EqnNo= 0; Multiplication= 1; ShowWorking= 0; EqnStyle= 2; Eqp$G$21_0")</f>
        <v/>
      </c>
    </row>
    <row r="335" spans="2:9" x14ac:dyDescent="0.25">
      <c r="B335" s="23"/>
      <c r="E335" s="25"/>
      <c r="F335" s="30"/>
      <c r="G335" s="47"/>
      <c r="H335" s="20" t="str">
        <f>[3]!EQS(F334,"Units= ; EqnPrefix=Valem  ; EqnNo= 0; Multiplication= 1; ShowWorking= 1; EqnStyle= 2; Eqp$G$21_$G$25_1")</f>
        <v/>
      </c>
    </row>
    <row r="336" spans="2:9" x14ac:dyDescent="0.25">
      <c r="B336" s="23"/>
      <c r="E336" s="25"/>
      <c r="F336" s="30"/>
      <c r="G336" s="47"/>
      <c r="I336" s="28"/>
    </row>
    <row r="337" spans="2:9" x14ac:dyDescent="0.25">
      <c r="B337" s="23"/>
      <c r="F337" s="30">
        <f>(1+2.28/LN(F327/$F$7))^2</f>
        <v>1.8131807308313552</v>
      </c>
      <c r="G337" s="47"/>
      <c r="H337" s="20" t="str">
        <f>[3]!EQS(F337,"Units= ; EqnPrefix=Valem  ; EqnNo= 0; Multiplication= 1; ShowWorking= 0; EqnStyle= 2; Eqp$G$24_0")</f>
        <v/>
      </c>
    </row>
    <row r="338" spans="2:9" x14ac:dyDescent="0.25">
      <c r="B338" s="23"/>
      <c r="E338" s="25"/>
      <c r="F338" s="30"/>
      <c r="G338" s="47"/>
      <c r="H338" s="20" t="str">
        <f>[3]!EQS(F337,"Units= ; EqnPrefix=Valem  ; EqnNo= 0; Multiplication= 1; ShowWorking= 1; EqnStyle= 2; Eqp$G$24_$G$28_1")</f>
        <v/>
      </c>
    </row>
    <row r="339" spans="2:9" x14ac:dyDescent="0.25">
      <c r="B339" s="23"/>
      <c r="E339" s="25"/>
      <c r="F339" s="30"/>
      <c r="G339" s="47"/>
      <c r="H339" s="20"/>
      <c r="I339" s="28"/>
    </row>
    <row r="340" spans="2:9" x14ac:dyDescent="0.25">
      <c r="B340" s="23"/>
      <c r="F340" s="22">
        <v>360</v>
      </c>
      <c r="H340" s="20"/>
      <c r="I340" s="28"/>
    </row>
    <row r="341" spans="2:9" x14ac:dyDescent="0.25">
      <c r="B341" s="23"/>
      <c r="E341" s="25"/>
      <c r="F341" s="30"/>
      <c r="G341" s="47"/>
      <c r="H341" s="20"/>
      <c r="I341" s="28"/>
    </row>
    <row r="342" spans="2:9" x14ac:dyDescent="0.25">
      <c r="B342" s="23"/>
      <c r="F342" s="30">
        <f>1.3-0.082*LN(F340)</f>
        <v>0.81733946942108726</v>
      </c>
      <c r="G342" s="47"/>
      <c r="H342" s="20" t="str">
        <f>[3]!EQS(F342,"Units= ; EqnPrefix=Valem  ; EqnNo= 0; Multiplication= 1; ShowWorking= 0; EqnStyle= 2; Eqp$G$24_0")</f>
        <v/>
      </c>
    </row>
    <row r="343" spans="2:9" x14ac:dyDescent="0.25">
      <c r="B343" s="23"/>
      <c r="E343" s="79"/>
      <c r="F343" s="30"/>
      <c r="G343" s="47"/>
      <c r="H343" s="20"/>
      <c r="I343" s="28"/>
    </row>
    <row r="344" spans="2:9" x14ac:dyDescent="0.25">
      <c r="B344" s="23"/>
      <c r="F344" s="30">
        <v>1.1000000000000001</v>
      </c>
      <c r="G344" s="47"/>
      <c r="H344" s="20"/>
      <c r="I344" s="28"/>
    </row>
    <row r="345" spans="2:9" x14ac:dyDescent="0.25">
      <c r="B345" s="23"/>
      <c r="E345" s="25"/>
      <c r="F345" s="30"/>
      <c r="G345" s="47"/>
      <c r="H345" s="20"/>
      <c r="I345" s="28"/>
    </row>
    <row r="346" spans="2:9" x14ac:dyDescent="0.25">
      <c r="B346" s="23"/>
      <c r="C346" s="78"/>
      <c r="F346" s="30">
        <f>F334*F337*F342*F344*F328/1000</f>
        <v>19.059909909548939</v>
      </c>
      <c r="H346" s="20" t="str">
        <f>[3]!EQS(F346,"Units= ; EqnPrefix=Valem  ; EqnNo= 0; Multiplication= 1; ShowWorking= 0; EqnStyle= 2; Eqp$G$24_0")</f>
        <v/>
      </c>
    </row>
    <row r="347" spans="2:9" x14ac:dyDescent="0.25">
      <c r="B347" s="23"/>
      <c r="C347" s="78"/>
      <c r="E347" s="79"/>
      <c r="F347" s="30"/>
      <c r="G347" s="80"/>
      <c r="H347" s="20" t="str">
        <f>[3]!EQS(F346,"Units= ; EqnPrefix=Valem  ; EqnNo= 0; Multiplication= 1; ShowWorking= 1; EqnStyle= 2; Eqp$G$24_$H$294_1")</f>
        <v/>
      </c>
    </row>
    <row r="348" spans="2:9" x14ac:dyDescent="0.25">
      <c r="B348" s="23"/>
      <c r="E348" s="25"/>
      <c r="F348" s="30"/>
      <c r="G348" s="47"/>
      <c r="H348" s="20"/>
      <c r="I348" s="28"/>
    </row>
    <row r="349" spans="2:9" x14ac:dyDescent="0.25">
      <c r="F349" s="34">
        <f>F346*F329</f>
        <v>57.179729728646819</v>
      </c>
      <c r="H349" s="20" t="str">
        <f>[3]!EQS(F349,"Units= ; EqnPrefix=Valem  ; EqnNo= 0; Multiplication= 1; ShowWorking= 0; EqnStyle= 2; Eqp$G$24_0")</f>
        <v/>
      </c>
    </row>
    <row r="350" spans="2:9" x14ac:dyDescent="0.25">
      <c r="E350" s="79"/>
      <c r="F350" s="53"/>
      <c r="G350" s="80"/>
      <c r="H350" s="20"/>
      <c r="I350" s="19"/>
    </row>
    <row r="352" spans="2:9" x14ac:dyDescent="0.25">
      <c r="F352" s="84">
        <f>COS(RADIANS(0))^2</f>
        <v>1</v>
      </c>
      <c r="H352" s="20" t="str">
        <f>[3]!EQS(F352,"Units= ; EqnPrefix=Valem  ; EqnNo= 0; Multiplication= 1; ShowWorking= 0; EqnStyle= 2; Eqp$H$274_2")</f>
        <v/>
      </c>
    </row>
    <row r="353" spans="4:9" x14ac:dyDescent="0.25">
      <c r="F353" s="44"/>
    </row>
    <row r="354" spans="4:9" x14ac:dyDescent="0.25">
      <c r="F354" s="34">
        <f>F349*F352</f>
        <v>57.179729728646819</v>
      </c>
      <c r="H354" s="20" t="str">
        <f>[3]!EQS(F354,"Units= ; EqnPrefix=Valem  ; EqnNo= 0; Multiplication= 1; ShowWorking= 0; EqnStyle= 2; Eqp$H$276_2")</f>
        <v/>
      </c>
    </row>
    <row r="355" spans="4:9" x14ac:dyDescent="0.25">
      <c r="E355" s="51"/>
      <c r="F355" s="53"/>
      <c r="G355" s="52"/>
      <c r="H355" s="20"/>
      <c r="I355" s="19"/>
    </row>
    <row r="356" spans="4:9" x14ac:dyDescent="0.25">
      <c r="F356" s="53">
        <f>COS(RADIANS(4))*F354</f>
        <v>57.040442780870997</v>
      </c>
      <c r="H356" s="20" t="str">
        <f>[3]!EQS(F356,"Units= ; EqnPrefix=Valem  ; EqnNo= 0; Multiplication= 1; ShowWorking= 0; EqnStyle= 2; Eqp$H$277_2")</f>
        <v/>
      </c>
    </row>
    <row r="357" spans="4:9" x14ac:dyDescent="0.25">
      <c r="F357" s="53">
        <f>SIN(RADIANS(4))*F354</f>
        <v>3.9886563155125327</v>
      </c>
      <c r="H357" s="20" t="str">
        <f>[3]!EQS(F357,"Units= ; EqnPrefix=Valem  ; EqnNo= 0; Multiplication= 1; ShowWorking= 0; EqnStyle=2; Eqp$H$278_2")</f>
        <v/>
      </c>
    </row>
    <row r="359" spans="4:9" x14ac:dyDescent="0.25">
      <c r="F359" s="84">
        <f>COS(RADIANS(8))^2</f>
        <v>0.98063084796915956</v>
      </c>
      <c r="H359" s="20" t="str">
        <f>[3]!EQS(F359,"Units= ; EqnPrefix=Valem  ; EqnNo= 0; Multiplication= 1; ShowWorking= 0; EqnStyle= 2; Eqp$H$278_2")</f>
        <v/>
      </c>
    </row>
    <row r="361" spans="4:9" x14ac:dyDescent="0.25">
      <c r="F361" s="34">
        <f>F349*F359</f>
        <v>56.072206850450293</v>
      </c>
      <c r="H361" s="20" t="str">
        <f>[3]!EQS(F361,"Units= ; EqnPrefix=Valem  ; EqnNo= 0; Multiplication= 1; ShowWorking= 0; EqnStyle= 2; Eqp$H$276_2")</f>
        <v/>
      </c>
    </row>
    <row r="362" spans="4:9" x14ac:dyDescent="0.25">
      <c r="E362" s="51"/>
      <c r="F362" s="53"/>
      <c r="G362" s="52"/>
      <c r="H362" s="20"/>
      <c r="I362" s="19"/>
    </row>
    <row r="363" spans="4:9" x14ac:dyDescent="0.25">
      <c r="F363" s="53">
        <f>COS(RADIANS(4))*F361</f>
        <v>55.935617772741857</v>
      </c>
      <c r="H363" s="20" t="str">
        <f>[3]!EQS(F363,"Units= ; EqnPrefix=Valem  ; EqnNo= 0; Multiplication= 1; ShowWorking= 0; EqnStyle= 2; Eqp$H$277_2")</f>
        <v/>
      </c>
    </row>
    <row r="364" spans="4:9" x14ac:dyDescent="0.25">
      <c r="F364" s="53">
        <f>SIN(RADIANS(4))*F361</f>
        <v>3.9113994249385988</v>
      </c>
      <c r="H364" s="20" t="str">
        <f>[3]!EQS(F364,"Units= ; EqnPrefix=Valem  ; EqnNo= 0; Multiplication= 1; ShowWorking= 0; EqnStyle=2; Eqp$H$278_2")</f>
        <v/>
      </c>
    </row>
    <row r="365" spans="4:9" x14ac:dyDescent="0.25">
      <c r="E365" s="51"/>
      <c r="F365" s="53"/>
      <c r="G365" s="52"/>
      <c r="H365" s="20"/>
      <c r="I365" s="19"/>
    </row>
    <row r="366" spans="4:9" x14ac:dyDescent="0.25">
      <c r="E366" s="51"/>
      <c r="F366" s="53"/>
      <c r="G366" s="52"/>
      <c r="H366" s="20"/>
      <c r="I366" s="19"/>
    </row>
    <row r="367" spans="4:9" x14ac:dyDescent="0.25">
      <c r="D367" s="49"/>
      <c r="E367" s="51"/>
      <c r="F367" s="53"/>
      <c r="G367" s="52"/>
      <c r="H367" s="20"/>
      <c r="I367" s="19"/>
    </row>
    <row r="368" spans="4:9" x14ac:dyDescent="0.25">
      <c r="E368" s="73"/>
      <c r="F368" s="34"/>
      <c r="G368" s="52"/>
      <c r="H368" s="20"/>
      <c r="I368" s="19"/>
    </row>
    <row r="369" spans="2:9" x14ac:dyDescent="0.25">
      <c r="F369" s="81">
        <f>F334</f>
        <v>422.08976632716445</v>
      </c>
      <c r="H369" s="20"/>
    </row>
    <row r="370" spans="2:9" x14ac:dyDescent="0.25">
      <c r="F370" s="81">
        <f>F337</f>
        <v>1.8131807308313552</v>
      </c>
      <c r="G370" s="80"/>
      <c r="H370" s="20">
        <v>1.8</v>
      </c>
    </row>
    <row r="371" spans="2:9" x14ac:dyDescent="0.25">
      <c r="F371" s="81">
        <f>F9</f>
        <v>1.1499999999999999</v>
      </c>
      <c r="G371" s="52"/>
      <c r="H371" s="20">
        <v>1.05</v>
      </c>
    </row>
    <row r="372" spans="2:9" x14ac:dyDescent="0.25">
      <c r="F372" s="81">
        <v>1.2</v>
      </c>
      <c r="G372" s="52"/>
      <c r="H372" s="20"/>
    </row>
    <row r="373" spans="2:9" x14ac:dyDescent="0.25">
      <c r="F373" s="83">
        <v>2.1000000000000001E-2</v>
      </c>
      <c r="H373" s="20"/>
    </row>
    <row r="374" spans="2:9" x14ac:dyDescent="0.25">
      <c r="F374" s="81">
        <v>19</v>
      </c>
      <c r="H374" s="20"/>
    </row>
    <row r="375" spans="2:9" x14ac:dyDescent="0.25">
      <c r="F375" s="76">
        <f>F369*F370*F371*F372*F373*F374</f>
        <v>421.40326856124921</v>
      </c>
      <c r="H375" s="20" t="str">
        <f>[3]!EQS(F375,"Units= ; EqnPrefix=Valem  ; EqnNo= 0; Multiplication= 1; ShowWorking= 0; EqnStyle=2; Eqp$H$278_2")</f>
        <v/>
      </c>
    </row>
    <row r="376" spans="2:9" x14ac:dyDescent="0.25">
      <c r="E376" s="73"/>
      <c r="F376" s="34"/>
      <c r="G376" s="52"/>
      <c r="H376" s="20"/>
      <c r="I376" s="19"/>
    </row>
    <row r="377" spans="2:9" x14ac:dyDescent="0.25">
      <c r="E377" s="73"/>
      <c r="F377" s="34"/>
      <c r="G377" s="52"/>
      <c r="H377" s="20"/>
      <c r="I377" s="19"/>
    </row>
    <row r="378" spans="2:9" x14ac:dyDescent="0.25">
      <c r="E378" s="51"/>
      <c r="F378" s="53"/>
      <c r="G378" s="52"/>
      <c r="H378" s="20"/>
      <c r="I378" s="19"/>
    </row>
    <row r="379" spans="2:9" x14ac:dyDescent="0.25">
      <c r="F379" s="53">
        <f>COS(RADIANS(4))*F375</f>
        <v>420.3767513786882</v>
      </c>
      <c r="H379" s="20" t="str">
        <f>[3]!EQS(F379,"Units= ; EqnPrefix=Valem  ; EqnNo= 0; Multiplication= 1; ShowWorking= 0; EqnStyle= 2; Eqp$H$277_2")</f>
        <v/>
      </c>
    </row>
    <row r="380" spans="2:9" x14ac:dyDescent="0.25">
      <c r="F380" s="53">
        <f>SIN(RADIANS(4))*F375</f>
        <v>29.395606039081365</v>
      </c>
      <c r="H380" s="20" t="str">
        <f>[3]!EQS(F380,"Units= ; EqnPrefix=Valem  ; EqnNo= 0; Multiplication= 1; ShowWorking= 0; EqnStyle=2; Eqp$H$278_2")</f>
        <v/>
      </c>
    </row>
    <row r="381" spans="2:9" x14ac:dyDescent="0.25">
      <c r="E381" s="51"/>
      <c r="F381" s="53"/>
      <c r="G381" s="52"/>
      <c r="H381" s="20"/>
      <c r="I381" s="19"/>
    </row>
    <row r="383" spans="2:9" x14ac:dyDescent="0.25">
      <c r="B383" s="23"/>
      <c r="F383" s="22">
        <v>41</v>
      </c>
    </row>
    <row r="384" spans="2:9" x14ac:dyDescent="0.25">
      <c r="B384" s="23"/>
      <c r="F384" s="22">
        <v>16</v>
      </c>
    </row>
    <row r="385" spans="2:9" x14ac:dyDescent="0.25">
      <c r="B385" s="23"/>
      <c r="F385" s="22">
        <v>1</v>
      </c>
      <c r="G385" s="45"/>
    </row>
    <row r="386" spans="2:9" x14ac:dyDescent="0.25">
      <c r="B386" s="23"/>
      <c r="F386" s="16"/>
      <c r="G386" s="45"/>
      <c r="I386" s="21"/>
    </row>
    <row r="387" spans="2:9" x14ac:dyDescent="0.25">
      <c r="B387" s="23"/>
      <c r="F387" s="30">
        <f>$F$6*LN(F383/$F$7)*$F$3</f>
        <v>26.770124317630611</v>
      </c>
      <c r="H387" s="20" t="str">
        <f>[3]!EQS(F387,"Units= ; EqnPrefix=Valem  ; EqnNo= 0; Multiplication= 1; ShowWorking= 0; EqnStyle= 2; Eqp$H$21_2")</f>
        <v/>
      </c>
    </row>
    <row r="388" spans="2:9" x14ac:dyDescent="0.25">
      <c r="B388" s="23"/>
      <c r="E388" s="17"/>
      <c r="F388" s="30"/>
      <c r="G388" s="45"/>
      <c r="H388" s="20" t="str">
        <f>[3]!EQS(F387,"Units= ; EqnPrefix=Valem  ; EqnNo= 0; Multiplication= 1; ShowWorking= 1; EqnStyle= 2; Eqp$H$21_$H$22_3")</f>
        <v/>
      </c>
    </row>
    <row r="389" spans="2:9" x14ac:dyDescent="0.25">
      <c r="B389" s="23"/>
      <c r="D389" s="29"/>
      <c r="F389" s="30"/>
      <c r="G389" s="45"/>
      <c r="H389" s="20"/>
      <c r="I389" s="28"/>
    </row>
    <row r="390" spans="2:9" x14ac:dyDescent="0.25">
      <c r="B390" s="23"/>
      <c r="F390" s="30">
        <f>1/2*$F$5*F387^2</f>
        <v>438.94172803860613</v>
      </c>
      <c r="H390" s="20" t="str">
        <f>[3]!EQS(F390,"Units= ; EqnPrefix=Valem  ; EqnNo= 0; Multiplication= 1; ShowWorking= 0; EqnStyle= 2; Eqp$G$21_0")</f>
        <v/>
      </c>
    </row>
    <row r="391" spans="2:9" x14ac:dyDescent="0.25">
      <c r="B391" s="23"/>
      <c r="E391" s="25"/>
      <c r="F391" s="30"/>
      <c r="G391" s="47"/>
      <c r="H391" s="20" t="str">
        <f>[3]!EQS(F390,"Units= ; EqnPrefix=Valem  ; EqnNo= 0; Multiplication= 1; ShowWorking= 1; EqnStyle= 2; Eqp$G$21_$G$25_1")</f>
        <v/>
      </c>
    </row>
    <row r="392" spans="2:9" x14ac:dyDescent="0.25">
      <c r="B392" s="23"/>
      <c r="E392" s="25"/>
      <c r="F392" s="30"/>
      <c r="G392" s="47"/>
      <c r="I392" s="28"/>
    </row>
    <row r="393" spans="2:9" x14ac:dyDescent="0.25">
      <c r="B393" s="23"/>
      <c r="F393" s="30">
        <f>(1+2.28/LN(F383/$F$7))^2</f>
        <v>1.7951352851913878</v>
      </c>
      <c r="G393" s="47"/>
      <c r="H393" s="20" t="str">
        <f>[3]!EQS(F393,"Units= ; EqnPrefix=Valem  ; EqnNo= 0; Multiplication= 1; ShowWorking= 0; EqnStyle= 2; Eqp$G$24_0")</f>
        <v/>
      </c>
    </row>
    <row r="394" spans="2:9" x14ac:dyDescent="0.25">
      <c r="B394" s="23"/>
      <c r="E394" s="25"/>
      <c r="F394" s="30"/>
      <c r="G394" s="47"/>
      <c r="H394" s="20" t="str">
        <f>[3]!EQS(F393,"Units= ; EqnPrefix=Valem  ; EqnNo= 0; Multiplication= 1; ShowWorking= 1; EqnStyle= 2; Eqp$G$24_$G$28_1")</f>
        <v/>
      </c>
    </row>
    <row r="395" spans="2:9" x14ac:dyDescent="0.25">
      <c r="B395" s="23"/>
      <c r="E395" s="25"/>
      <c r="F395" s="30"/>
      <c r="G395" s="47"/>
      <c r="H395" s="20"/>
      <c r="I395" s="28"/>
    </row>
    <row r="396" spans="2:9" x14ac:dyDescent="0.25">
      <c r="B396" s="23"/>
      <c r="F396" s="22">
        <v>360</v>
      </c>
      <c r="H396" s="20"/>
      <c r="I396" s="28"/>
    </row>
    <row r="397" spans="2:9" x14ac:dyDescent="0.25">
      <c r="B397" s="23"/>
      <c r="E397" s="25"/>
      <c r="F397" s="30"/>
      <c r="G397" s="47"/>
      <c r="H397" s="20"/>
      <c r="I397" s="28"/>
    </row>
    <row r="398" spans="2:9" x14ac:dyDescent="0.25">
      <c r="B398" s="23"/>
      <c r="F398" s="30">
        <f>1.3-0.082*LN(F396)</f>
        <v>0.81733946942108726</v>
      </c>
      <c r="G398" s="47"/>
      <c r="H398" s="20" t="str">
        <f>[3]!EQS(F398,"Units= ; EqnPrefix=Valem  ; EqnNo= 0; Multiplication= 1; ShowWorking= 0; EqnStyle= 2; Eqp$G$24_0")</f>
        <v/>
      </c>
    </row>
    <row r="399" spans="2:9" x14ac:dyDescent="0.25">
      <c r="B399" s="23"/>
      <c r="E399" s="79"/>
      <c r="F399" s="30"/>
      <c r="G399" s="47"/>
      <c r="H399" s="20"/>
      <c r="I399" s="28"/>
    </row>
    <row r="400" spans="2:9" x14ac:dyDescent="0.25">
      <c r="B400" s="23"/>
      <c r="F400" s="30">
        <v>1.2</v>
      </c>
      <c r="G400" s="47"/>
      <c r="H400" s="20"/>
      <c r="I400" s="28"/>
    </row>
    <row r="401" spans="2:9" x14ac:dyDescent="0.25">
      <c r="B401" s="23"/>
      <c r="E401" s="25"/>
      <c r="F401" s="30"/>
      <c r="G401" s="47"/>
      <c r="H401" s="20"/>
      <c r="I401" s="28"/>
    </row>
    <row r="402" spans="2:9" x14ac:dyDescent="0.25">
      <c r="B402" s="23"/>
      <c r="C402" s="78"/>
      <c r="F402" s="30">
        <f>F390*F393*F398*F400*F384/1000</f>
        <v>12.365388132445736</v>
      </c>
      <c r="H402" s="20" t="str">
        <f>[3]!EQS(F402,"Units= ; EqnPrefix=Valem  ; EqnNo= 0; Multiplication= 1; ShowWorking= 0; EqnStyle= 2; Eqp$G$24_0")</f>
        <v/>
      </c>
    </row>
    <row r="403" spans="2:9" x14ac:dyDescent="0.25">
      <c r="B403" s="23"/>
      <c r="C403" s="78"/>
      <c r="E403" s="79"/>
      <c r="F403" s="30"/>
      <c r="G403" s="80"/>
      <c r="H403" s="20" t="str">
        <f>[3]!EQS(F402,"Units= ; EqnPrefix=Valem  ; EqnNo= 0; Multiplication= 1; ShowWorking= 1; EqnStyle= 2; Eqp$G$24_$H$294_1")</f>
        <v/>
      </c>
    </row>
    <row r="404" spans="2:9" x14ac:dyDescent="0.25">
      <c r="B404" s="23"/>
      <c r="E404" s="25"/>
      <c r="F404" s="30"/>
      <c r="G404" s="47"/>
      <c r="H404" s="20"/>
      <c r="I404" s="28"/>
    </row>
    <row r="405" spans="2:9" x14ac:dyDescent="0.25">
      <c r="F405" s="34">
        <f>F402*F385</f>
        <v>12.365388132445736</v>
      </c>
      <c r="H405" s="20" t="str">
        <f>[3]!EQS(F405,"Units= ; EqnPrefix=Valem  ; EqnNo= 0; Multiplication= 1; ShowWorking= 0; EqnStyle= 2; Eqp$G$24_0")</f>
        <v/>
      </c>
    </row>
    <row r="408" spans="2:9" x14ac:dyDescent="0.25">
      <c r="F408" s="90">
        <f>COS(RADIANS(0))^2</f>
        <v>1</v>
      </c>
      <c r="H408" s="20" t="str">
        <f>[3]!EQS(F408,"Units= ; EqnPrefix=Valem  ; EqnNo= 0; Multiplication= 1; ShowWorking= 0; EqnStyle= 2; Eqp$H$274_2")</f>
        <v/>
      </c>
    </row>
    <row r="410" spans="2:9" x14ac:dyDescent="0.25">
      <c r="F410" s="34">
        <f>F405*F408</f>
        <v>12.365388132445736</v>
      </c>
      <c r="H410" s="20" t="str">
        <f>[3]!EQS(F410,"Units= ; EqnPrefix=Valem  ; EqnNo= 0; Multiplication= 1; ShowWorking= 0; EqnStyle= 2; Eqp$H$276_2")</f>
        <v/>
      </c>
    </row>
    <row r="411" spans="2:9" x14ac:dyDescent="0.25">
      <c r="E411" s="51"/>
      <c r="F411" s="53"/>
      <c r="G411" s="52"/>
      <c r="H411" s="20"/>
      <c r="I411" s="19"/>
    </row>
    <row r="412" spans="2:9" x14ac:dyDescent="0.25">
      <c r="F412" s="53">
        <f>COS(RADIANS(4))*F410</f>
        <v>12.335266668437331</v>
      </c>
      <c r="H412" s="20" t="str">
        <f>[3]!EQS(F412,"Units= ; EqnPrefix=Valem  ; EqnNo= 0; Multiplication= 1; ShowWorking= 0; EqnStyle= 2; Eqp$H$277_2")</f>
        <v/>
      </c>
    </row>
    <row r="413" spans="2:9" x14ac:dyDescent="0.25">
      <c r="F413" s="53">
        <f>SIN(RADIANS(4))*F410</f>
        <v>0.86256587259686957</v>
      </c>
      <c r="H413" s="20" t="str">
        <f>[3]!EQS(F413,"Units= ; EqnPrefix=Valem  ; EqnNo= 0; Multiplication= 1; ShowWorking= 0; EqnStyle=2; Eqp$H$278_2")</f>
        <v/>
      </c>
    </row>
    <row r="415" spans="2:9" x14ac:dyDescent="0.25">
      <c r="F415" s="84">
        <f>COS(RADIANS(8))^2</f>
        <v>0.98063084796915956</v>
      </c>
      <c r="H415" s="20" t="str">
        <f>[3]!EQS(F415,"Units= ; EqnPrefix=Valem  ; EqnNo= 0; Multiplication= 1; ShowWorking= 0; EqnStyle= 2; Eqp$H$278_2")</f>
        <v/>
      </c>
    </row>
    <row r="417" spans="5:9" x14ac:dyDescent="0.25">
      <c r="F417" s="34">
        <f>F405*F415</f>
        <v>12.125881049788044</v>
      </c>
      <c r="H417" s="20" t="str">
        <f>[3]!EQS(F417,"Units= ; EqnPrefix=Valem  ; EqnNo= 0; Multiplication= 1; ShowWorking= 0; EqnStyle= 2; Eqp$H$276_2")</f>
        <v/>
      </c>
    </row>
    <row r="418" spans="5:9" x14ac:dyDescent="0.25">
      <c r="E418" s="51"/>
      <c r="F418" s="53"/>
      <c r="G418" s="52"/>
      <c r="H418" s="20"/>
      <c r="I418" s="19"/>
    </row>
    <row r="419" spans="5:9" x14ac:dyDescent="0.25">
      <c r="F419" s="53">
        <f>COS(RADIANS(4))*F417</f>
        <v>12.09634301299541</v>
      </c>
      <c r="H419" s="20" t="str">
        <f>[3]!EQS(F419,"Units= ; EqnPrefix=Valem  ; EqnNo= 0; Multiplication= 1; ShowWorking= 0; EqnStyle= 2; Eqp$H$277_2")</f>
        <v/>
      </c>
    </row>
    <row r="420" spans="5:9" x14ac:dyDescent="0.25">
      <c r="F420" s="53">
        <f>SIN(RADIANS(4))*F417</f>
        <v>0.84585870307392619</v>
      </c>
      <c r="H420" s="20" t="str">
        <f>[3]!EQS(F420,"Units= ; EqnPrefix=Valem  ; EqnNo= 0; Multiplication= 1; ShowWorking= 0; EqnStyle=2; Eqp$H$278_2")</f>
        <v/>
      </c>
    </row>
    <row r="421" spans="5:9" x14ac:dyDescent="0.25">
      <c r="E421" s="51"/>
      <c r="F421" s="53"/>
      <c r="G421" s="52"/>
      <c r="H421" s="20"/>
      <c r="I421" s="19"/>
    </row>
  </sheetData>
  <mergeCells count="1">
    <mergeCell ref="A2:R2"/>
  </mergeCells>
  <pageMargins left="0.7" right="0.48958333333333331" top="0.75" bottom="0.75" header="0.3" footer="0.3"/>
  <pageSetup paperSize="9" orientation="portrait" horizontalDpi="300" verticalDpi="300" r:id="rId1"/>
  <customProperties>
    <customPr name="SSCSheetTrackingNo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AB421"/>
  <sheetViews>
    <sheetView tabSelected="1" topLeftCell="A203" workbookViewId="0">
      <selection activeCell="P379" sqref="P379"/>
    </sheetView>
  </sheetViews>
  <sheetFormatPr defaultRowHeight="18" outlineLevelRow="1" x14ac:dyDescent="0.25"/>
  <cols>
    <col min="1" max="1" width="1.375" style="54" customWidth="1"/>
    <col min="2" max="2" width="1.5" style="54" customWidth="1"/>
    <col min="3" max="4" width="1.5" style="23" customWidth="1"/>
    <col min="5" max="5" width="6.125" style="13" customWidth="1"/>
    <col min="6" max="6" width="8.5" style="13" customWidth="1"/>
    <col min="7" max="7" width="6.125" style="44" customWidth="1"/>
    <col min="8" max="8" width="0.875" style="13" customWidth="1"/>
    <col min="9" max="9" width="3.625" style="13" customWidth="1"/>
    <col min="10" max="11" width="6.125" style="13" customWidth="1"/>
    <col min="12" max="20" width="6.25" style="13" customWidth="1"/>
    <col min="21" max="21" width="1.375" style="13" customWidth="1"/>
    <col min="22" max="22" width="6.25" style="13" customWidth="1"/>
    <col min="23" max="16384" width="9" style="13"/>
  </cols>
  <sheetData>
    <row r="2" spans="1:18" ht="31.5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outlineLevel="1" x14ac:dyDescent="0.25">
      <c r="F3" s="13">
        <v>21</v>
      </c>
    </row>
    <row r="4" spans="1:18" outlineLevel="1" x14ac:dyDescent="0.25">
      <c r="F4" s="13">
        <f>F3</f>
        <v>21</v>
      </c>
    </row>
    <row r="5" spans="1:18" outlineLevel="1" x14ac:dyDescent="0.25">
      <c r="F5" s="13">
        <v>1.2250000000000001</v>
      </c>
    </row>
    <row r="6" spans="1:18" outlineLevel="1" x14ac:dyDescent="0.25">
      <c r="F6" s="13">
        <v>0.19</v>
      </c>
    </row>
    <row r="7" spans="1:18" outlineLevel="1" x14ac:dyDescent="0.25">
      <c r="F7" s="13">
        <v>0.05</v>
      </c>
    </row>
    <row r="8" spans="1:18" outlineLevel="1" x14ac:dyDescent="0.25">
      <c r="F8" s="13">
        <v>10</v>
      </c>
    </row>
    <row r="9" spans="1:18" outlineLevel="1" x14ac:dyDescent="0.25">
      <c r="F9" s="13">
        <v>1.1499999999999999</v>
      </c>
    </row>
    <row r="10" spans="1:18" outlineLevel="1" x14ac:dyDescent="0.25">
      <c r="E10" s="14"/>
    </row>
    <row r="11" spans="1:18" x14ac:dyDescent="0.25">
      <c r="E11" s="14"/>
    </row>
    <row r="12" spans="1:18" x14ac:dyDescent="0.25">
      <c r="C12" s="24"/>
      <c r="D12" s="24"/>
      <c r="E12" s="18"/>
      <c r="F12" s="18"/>
      <c r="G12" s="46"/>
      <c r="H12" s="18"/>
      <c r="I12" s="18"/>
      <c r="J12" s="18"/>
      <c r="K12" s="18"/>
      <c r="L12" s="18"/>
    </row>
    <row r="13" spans="1:18" outlineLevel="1" x14ac:dyDescent="0.25">
      <c r="B13" s="55"/>
      <c r="D13" s="24"/>
      <c r="E13" s="18"/>
      <c r="F13" s="18"/>
      <c r="G13" s="46"/>
      <c r="H13" s="18"/>
      <c r="I13" s="18"/>
      <c r="J13" s="18"/>
      <c r="K13" s="18"/>
      <c r="L13" s="18"/>
    </row>
    <row r="14" spans="1:18" outlineLevel="1" x14ac:dyDescent="0.25">
      <c r="E14" s="14"/>
      <c r="K14" s="26"/>
    </row>
    <row r="15" spans="1:18" outlineLevel="1" x14ac:dyDescent="0.25">
      <c r="F15" s="22">
        <v>36</v>
      </c>
    </row>
    <row r="16" spans="1:18" outlineLevel="1" x14ac:dyDescent="0.25">
      <c r="F16" s="22">
        <v>0.32400000000000001</v>
      </c>
    </row>
    <row r="17" spans="3:12" outlineLevel="1" x14ac:dyDescent="0.25">
      <c r="D17" s="26"/>
      <c r="E17" s="17"/>
      <c r="F17" s="16"/>
      <c r="G17" s="45"/>
      <c r="I17" s="21"/>
    </row>
    <row r="18" spans="3:12" outlineLevel="1" x14ac:dyDescent="0.25">
      <c r="F18" s="33">
        <f>F16*F15</f>
        <v>11.664</v>
      </c>
      <c r="H18" s="20" t="str">
        <f>[3]!EQS(F18,"Units= ; EqnPrefix=Valem  ; EqnNo= 0; Multiplication= 1; ShowWorking= 1; EqnStyle=2; Eqp$G$17_0")</f>
        <v/>
      </c>
      <c r="I18" s="19" t="s">
        <v>0</v>
      </c>
      <c r="L18" s="15"/>
    </row>
    <row r="19" spans="3:12" outlineLevel="1" x14ac:dyDescent="0.25">
      <c r="F19" s="16"/>
      <c r="G19" s="45"/>
      <c r="I19" s="21"/>
    </row>
    <row r="20" spans="3:12" ht="16.5" customHeight="1" outlineLevel="1" x14ac:dyDescent="0.25">
      <c r="F20" s="30">
        <f>$F$6*LN(F15/$F$7)*$F$3</f>
        <v>26.251212335920307</v>
      </c>
      <c r="H20" s="20" t="str">
        <f>[3]!EQS(F20,"Units= ; EqnPrefix=Valem  ; EqnNo= 0; Multiplication= 1; ShowWorking= 0; EqnStyle= 2; Eqp$H$21_2")</f>
        <v/>
      </c>
      <c r="I20" s="19" t="s">
        <v>1</v>
      </c>
      <c r="J20" s="20"/>
    </row>
    <row r="21" spans="3:12" ht="12" customHeight="1" outlineLevel="1" x14ac:dyDescent="0.25">
      <c r="E21" s="17"/>
      <c r="F21" s="30"/>
      <c r="G21" s="45"/>
      <c r="H21" s="20" t="str">
        <f>[3]!EQS(F20,"Units= ; EqnPrefix=Valem  ; EqnNo= 0; Multiplication= 1; ShowWorking= 1; EqnStyle= 2; Eqp$H$21_$H$22_3")</f>
        <v/>
      </c>
      <c r="I21" s="19" t="s">
        <v>2</v>
      </c>
      <c r="J21" s="20"/>
    </row>
    <row r="22" spans="3:12" outlineLevel="1" x14ac:dyDescent="0.25">
      <c r="D22" s="29"/>
      <c r="F22" s="30"/>
      <c r="G22" s="45"/>
      <c r="H22" s="20"/>
      <c r="I22" s="28"/>
      <c r="J22" s="20"/>
    </row>
    <row r="23" spans="3:12" outlineLevel="1" x14ac:dyDescent="0.25">
      <c r="F23" s="30">
        <f>1/2*$F$5*F20^2</f>
        <v>422.08976632716445</v>
      </c>
      <c r="H23" s="20" t="str">
        <f>[3]!EQS(F23,"Units= ; EqnPrefix=Valem  ; EqnNo= 0; Multiplication= 1; ShowWorking= 0; EqnStyle= 2; Eqp$G$21_0")</f>
        <v/>
      </c>
      <c r="I23" s="19" t="s">
        <v>3</v>
      </c>
      <c r="J23" s="20"/>
    </row>
    <row r="24" spans="3:12" outlineLevel="1" x14ac:dyDescent="0.25">
      <c r="E24" s="25"/>
      <c r="F24" s="30"/>
      <c r="G24" s="47"/>
      <c r="H24" s="20" t="str">
        <f>[3]!EQS(F23,"Units= ; EqnPrefix=Valem  ; EqnNo= 0; Multiplication= 1; ShowWorking= 1; EqnStyle= 2; Eqp$G$21_$G$25_1")</f>
        <v/>
      </c>
      <c r="I24" s="19" t="s">
        <v>4</v>
      </c>
      <c r="J24" s="20"/>
    </row>
    <row r="25" spans="3:12" outlineLevel="1" x14ac:dyDescent="0.25">
      <c r="E25" s="25"/>
      <c r="F25" s="30"/>
      <c r="G25" s="47"/>
      <c r="I25" s="28"/>
      <c r="J25" s="20"/>
    </row>
    <row r="26" spans="3:12" outlineLevel="1" x14ac:dyDescent="0.25">
      <c r="F26" s="30">
        <f>(1+2.28/LN(F15/$F$7))^2</f>
        <v>1.8131807308313552</v>
      </c>
      <c r="G26" s="47"/>
      <c r="H26" s="20" t="str">
        <f>[3]!EQS(F26,"Units= ; EqnPrefix=Valem  ; EqnNo= 0; Multiplication= 1; ShowWorking= 0; EqnStyle= 2; Eqp$G$24_0")</f>
        <v/>
      </c>
      <c r="I26" s="19" t="s">
        <v>5</v>
      </c>
      <c r="J26" s="20"/>
    </row>
    <row r="27" spans="3:12" outlineLevel="1" x14ac:dyDescent="0.25">
      <c r="E27" s="25"/>
      <c r="F27" s="30"/>
      <c r="G27" s="47"/>
      <c r="H27" s="20" t="str">
        <f>[3]!EQS(F26,"Units= ; EqnPrefix=Valem  ; EqnNo= 0; Multiplication= 1; ShowWorking= 1; EqnStyle= 2; Eqp$G$24_$G$28_1")</f>
        <v/>
      </c>
      <c r="I27" s="19" t="s">
        <v>6</v>
      </c>
      <c r="J27" s="20"/>
    </row>
    <row r="28" spans="3:12" outlineLevel="1" x14ac:dyDescent="0.25">
      <c r="D28" s="13"/>
      <c r="E28" s="25"/>
      <c r="F28" s="30"/>
      <c r="G28" s="47"/>
      <c r="J28" s="20"/>
    </row>
    <row r="29" spans="3:12" outlineLevel="1" x14ac:dyDescent="0.25">
      <c r="F29" s="13">
        <v>1.1499999999999999</v>
      </c>
      <c r="J29" s="20"/>
    </row>
    <row r="30" spans="3:12" outlineLevel="1" x14ac:dyDescent="0.25">
      <c r="D30" s="27"/>
      <c r="E30" s="14"/>
      <c r="F30" s="31"/>
      <c r="H30" s="20"/>
      <c r="I30" s="20"/>
      <c r="J30" s="20"/>
    </row>
    <row r="31" spans="3:12" outlineLevel="1" x14ac:dyDescent="0.25">
      <c r="F31" s="20">
        <f>15*10^-6</f>
        <v>1.4999999999999999E-5</v>
      </c>
      <c r="H31" s="20"/>
      <c r="J31" s="20"/>
    </row>
    <row r="32" spans="3:12" outlineLevel="1" x14ac:dyDescent="0.25">
      <c r="F32" s="20">
        <f>F16</f>
        <v>0.32400000000000001</v>
      </c>
      <c r="H32" s="20"/>
      <c r="J32" s="20"/>
    </row>
    <row r="33" spans="3:12" outlineLevel="1" x14ac:dyDescent="0.25">
      <c r="C33" s="13"/>
      <c r="E33" s="25"/>
      <c r="F33" s="20"/>
      <c r="G33" s="47"/>
      <c r="H33" s="20"/>
      <c r="I33" s="29"/>
      <c r="J33" s="20"/>
    </row>
    <row r="34" spans="3:12" outlineLevel="1" x14ac:dyDescent="0.25">
      <c r="C34" s="13"/>
      <c r="F34" s="32">
        <f>F32*F20/F31</f>
        <v>567026.18645587866</v>
      </c>
      <c r="H34" s="20" t="str">
        <f>[3]!EQS(F34,"Units= ; EqnPrefix=Valem  ; EqnNo= 0; Multiplication= 1; ShowWorking= 1; EqnStyle= 2; Eqp$G$27_0")</f>
        <v/>
      </c>
      <c r="I34" s="19" t="s">
        <v>7</v>
      </c>
      <c r="J34" s="20"/>
    </row>
    <row r="35" spans="3:12" outlineLevel="1" x14ac:dyDescent="0.25">
      <c r="C35" s="13"/>
      <c r="F35" s="32">
        <f>6.175*10^-4</f>
        <v>6.1749999999999999E-4</v>
      </c>
      <c r="H35" s="20"/>
      <c r="J35" s="20"/>
    </row>
    <row r="36" spans="3:12" outlineLevel="1" x14ac:dyDescent="0.25">
      <c r="C36" s="13"/>
      <c r="E36" s="25"/>
      <c r="F36" s="32"/>
      <c r="H36" s="20"/>
      <c r="I36" s="29"/>
      <c r="J36" s="20"/>
    </row>
    <row r="37" spans="3:12" outlineLevel="1" x14ac:dyDescent="0.25">
      <c r="C37" s="13"/>
      <c r="F37" s="32">
        <f>1.2+(0.18*LOG(10*F35))/(1+0.4*LOG(F34/10^6))</f>
        <v>0.75883386915863227</v>
      </c>
      <c r="H37" s="20" t="str">
        <f>[3]!EQS(F37,"Units= ; EqnPrefix=Valem  ; EqnNo= 0; Multiplication= 1; ShowWorking= 0; EqnStyle=2; Eqp$G$36_2")</f>
        <v/>
      </c>
      <c r="I37" s="19" t="s">
        <v>8</v>
      </c>
      <c r="J37" s="20"/>
    </row>
    <row r="38" spans="3:12" outlineLevel="1" x14ac:dyDescent="0.25">
      <c r="C38" s="13"/>
      <c r="E38" s="20"/>
      <c r="F38" s="20"/>
      <c r="H38" s="20" t="str">
        <f>[3]!EQS(F37,"Units= ; EqnPrefix=Valem  ; EqnNo= 0; Multiplication= 1; ShowWorking= 1; EqnStyle=2; Eqp$G$36_$G$37_3")</f>
        <v/>
      </c>
      <c r="I38" s="19" t="s">
        <v>9</v>
      </c>
      <c r="J38" s="20"/>
    </row>
    <row r="40" spans="3:12" x14ac:dyDescent="0.25">
      <c r="F40" s="34">
        <f>F23*F26*F29*F37*F16</f>
        <v>216.38914697938665</v>
      </c>
      <c r="H40" s="20" t="str">
        <f>[3]!EQS(F40,"Units= ; EqnPrefix=Valem  ; EqnNo= 0; Multiplication= 1; ShowWorking= 0; EqnStyle= 2; Eqp$G$39_0")</f>
        <v/>
      </c>
      <c r="I40" s="19" t="s">
        <v>10</v>
      </c>
    </row>
    <row r="41" spans="3:12" x14ac:dyDescent="0.25">
      <c r="H41" s="13" t="str">
        <f>[3]!EQS(F40,"Units= ; EqnPrefix=Valem  ; EqnNo= 0; Multiplication= 1; ShowWorking= 1; EqnStyle= 2; Eqp$G$39_$G$40_1")</f>
        <v/>
      </c>
      <c r="I41" s="19" t="s">
        <v>11</v>
      </c>
    </row>
    <row r="43" spans="3:12" x14ac:dyDescent="0.25">
      <c r="F43" s="53">
        <f>COS(RADIANS(4))*F40</f>
        <v>215.86203389302534</v>
      </c>
    </row>
    <row r="44" spans="3:12" x14ac:dyDescent="0.25">
      <c r="F44" s="53">
        <f>SIN(RADIANS(4))*F40</f>
        <v>15.094543849781257</v>
      </c>
    </row>
    <row r="46" spans="3:12" x14ac:dyDescent="0.25">
      <c r="C46" s="24"/>
      <c r="D46" s="24"/>
      <c r="E46" s="18"/>
      <c r="F46" s="18"/>
      <c r="G46" s="46"/>
      <c r="H46" s="18"/>
      <c r="I46" s="18"/>
      <c r="J46" s="18"/>
      <c r="K46" s="18"/>
      <c r="L46" s="18"/>
    </row>
    <row r="47" spans="3:12" outlineLevel="1" x14ac:dyDescent="0.25">
      <c r="E47" s="14"/>
    </row>
    <row r="48" spans="3:12" outlineLevel="1" x14ac:dyDescent="0.25">
      <c r="F48" s="22">
        <v>14</v>
      </c>
    </row>
    <row r="49" spans="4:10" outlineLevel="1" x14ac:dyDescent="0.25">
      <c r="F49" s="22">
        <v>0.27300000000000002</v>
      </c>
    </row>
    <row r="50" spans="4:10" outlineLevel="1" x14ac:dyDescent="0.25">
      <c r="F50" s="22">
        <v>15.5</v>
      </c>
    </row>
    <row r="51" spans="4:10" outlineLevel="1" x14ac:dyDescent="0.25">
      <c r="D51" s="26"/>
      <c r="E51" s="17"/>
      <c r="F51" s="16"/>
      <c r="G51" s="45"/>
      <c r="I51" s="21"/>
    </row>
    <row r="52" spans="4:10" outlineLevel="1" x14ac:dyDescent="0.25">
      <c r="F52" s="33">
        <f>F49*F50</f>
        <v>4.2315000000000005</v>
      </c>
      <c r="H52" s="20" t="str">
        <f>[3]!EQS(F52,"Units= ; EqnPrefix=Valem  ; EqnNo= 0; Multiplication= 1; ShowWorking= 1; EqnStyle=2; Eqp$G$17_0")</f>
        <v/>
      </c>
      <c r="I52" s="19" t="s">
        <v>12</v>
      </c>
    </row>
    <row r="53" spans="4:10" outlineLevel="1" x14ac:dyDescent="0.25">
      <c r="F53" s="16"/>
      <c r="G53" s="45"/>
      <c r="I53" s="21"/>
    </row>
    <row r="54" spans="4:10" outlineLevel="1" x14ac:dyDescent="0.25">
      <c r="E54" s="17"/>
      <c r="F54" s="16"/>
      <c r="G54" s="45"/>
      <c r="I54" s="21"/>
    </row>
    <row r="55" spans="4:10" outlineLevel="1" x14ac:dyDescent="0.25"/>
    <row r="56" spans="4:10" ht="16.5" customHeight="1" outlineLevel="1" x14ac:dyDescent="0.25">
      <c r="F56" s="30">
        <f>$F$6*LN(F48/$F$7)*$F$3</f>
        <v>22.482810516645301</v>
      </c>
      <c r="H56" s="20" t="str">
        <f>[3]!EQS(F56,"Units= ; EqnPrefix=Valem  ; EqnNo= 0; Multiplication= 1; ShowWorking= 0; EqnStyle= 2; Eqp$H$54_2")</f>
        <v/>
      </c>
      <c r="I56" s="19" t="s">
        <v>13</v>
      </c>
      <c r="J56" s="20"/>
    </row>
    <row r="57" spans="4:10" ht="12" customHeight="1" outlineLevel="1" x14ac:dyDescent="0.25">
      <c r="E57" s="17"/>
      <c r="F57" s="30"/>
      <c r="G57" s="45"/>
      <c r="H57" s="20" t="str">
        <f>[3]!EQS(F56,"Units= ; EqnPrefix=Valem  ; EqnNo= 0; Multiplication= 1; ShowWorking= 1; EqnStyle= 2; Eqp$H$54_$H$55_3")</f>
        <v/>
      </c>
      <c r="I57" s="19" t="s">
        <v>14</v>
      </c>
      <c r="J57" s="20"/>
    </row>
    <row r="58" spans="4:10" outlineLevel="1" x14ac:dyDescent="0.25">
      <c r="D58" s="29"/>
      <c r="F58" s="30"/>
      <c r="G58" s="45"/>
      <c r="H58" s="20"/>
      <c r="I58" s="28"/>
      <c r="J58" s="20"/>
    </row>
    <row r="59" spans="4:10" outlineLevel="1" x14ac:dyDescent="0.25">
      <c r="F59" s="30">
        <f>1/2*$F$5*F56^2</f>
        <v>309.60452084551815</v>
      </c>
      <c r="H59" s="20" t="str">
        <f>[3]!EQS(F59,"Units= ; EqnPrefix=Valem  ; EqnNo= 0; Multiplication= 1; ShowWorking= 0; EqnStyle= 2; Eqp$G$21_0")</f>
        <v/>
      </c>
      <c r="I59" s="19" t="s">
        <v>15</v>
      </c>
      <c r="J59" s="20"/>
    </row>
    <row r="60" spans="4:10" outlineLevel="1" x14ac:dyDescent="0.25">
      <c r="E60" s="25"/>
      <c r="F60" s="30"/>
      <c r="G60" s="47"/>
      <c r="H60" s="20" t="str">
        <f>[3]!EQS(F59,"Units= ; EqnPrefix=Valem  ; EqnNo= 0; Multiplication= 1; ShowWorking= 1; EqnStyle= 2; Eqp$G$21_$G$25_1")</f>
        <v/>
      </c>
      <c r="I60" s="19" t="s">
        <v>16</v>
      </c>
      <c r="J60" s="20"/>
    </row>
    <row r="61" spans="4:10" outlineLevel="1" x14ac:dyDescent="0.25">
      <c r="E61" s="25"/>
      <c r="F61" s="30"/>
      <c r="G61" s="47"/>
      <c r="I61" s="28"/>
      <c r="J61" s="20"/>
    </row>
    <row r="62" spans="4:10" outlineLevel="1" x14ac:dyDescent="0.25">
      <c r="F62" s="30">
        <f>(1+2.28/LN(F48/$F$7))^2</f>
        <v>1.9729829854343099</v>
      </c>
      <c r="G62" s="47"/>
      <c r="H62" s="20" t="str">
        <f>[3]!EQS(F62,"Units= ; EqnPrefix=Valem  ; EqnNo= 0; Multiplication= 1; ShowWorking= 0; EqnStyle= 2; Eqp$G$24_0")</f>
        <v/>
      </c>
      <c r="I62" s="19" t="s">
        <v>17</v>
      </c>
      <c r="J62" s="20"/>
    </row>
    <row r="63" spans="4:10" outlineLevel="1" x14ac:dyDescent="0.25">
      <c r="E63" s="25"/>
      <c r="F63" s="30"/>
      <c r="G63" s="47"/>
      <c r="H63" s="20" t="str">
        <f>[3]!EQS(F62,"Units= ; EqnPrefix=Valem  ; EqnNo= 0; Multiplication= 1; ShowWorking= 1; EqnStyle= 2; Eqp$G$24_$G$28_1")</f>
        <v/>
      </c>
      <c r="I63" s="19" t="s">
        <v>18</v>
      </c>
      <c r="J63" s="20"/>
    </row>
    <row r="64" spans="4:10" outlineLevel="1" x14ac:dyDescent="0.25">
      <c r="D64" s="13"/>
      <c r="E64" s="25"/>
      <c r="F64" s="30"/>
      <c r="G64" s="47"/>
      <c r="J64" s="20"/>
    </row>
    <row r="65" spans="3:10" outlineLevel="1" x14ac:dyDescent="0.25">
      <c r="F65" s="13">
        <v>1.1499999999999999</v>
      </c>
      <c r="J65" s="20"/>
    </row>
    <row r="66" spans="3:10" outlineLevel="1" x14ac:dyDescent="0.25">
      <c r="D66" s="27"/>
      <c r="E66" s="14"/>
      <c r="F66" s="31"/>
      <c r="H66" s="20"/>
      <c r="I66" s="20"/>
      <c r="J66" s="20"/>
    </row>
    <row r="67" spans="3:10" outlineLevel="1" x14ac:dyDescent="0.25">
      <c r="F67" s="20">
        <f>15*10^-6</f>
        <v>1.4999999999999999E-5</v>
      </c>
      <c r="H67" s="20"/>
      <c r="J67" s="20"/>
    </row>
    <row r="68" spans="3:10" outlineLevel="1" x14ac:dyDescent="0.25">
      <c r="F68" s="20">
        <f>F49</f>
        <v>0.27300000000000002</v>
      </c>
      <c r="H68" s="20"/>
      <c r="J68" s="20"/>
    </row>
    <row r="69" spans="3:10" outlineLevel="1" x14ac:dyDescent="0.25">
      <c r="C69" s="13"/>
      <c r="E69" s="25"/>
      <c r="F69" s="20"/>
      <c r="G69" s="47"/>
      <c r="H69" s="20"/>
      <c r="I69" s="29"/>
      <c r="J69" s="20"/>
    </row>
    <row r="70" spans="3:10" outlineLevel="1" x14ac:dyDescent="0.25">
      <c r="C70" s="13"/>
      <c r="F70" s="32">
        <f>F68*F56/F67</f>
        <v>409187.15140294458</v>
      </c>
      <c r="H70" s="20" t="str">
        <f>[3]!EQS(F70,"Units= ; EqnPrefix=Valem  ; EqnNo= 0; Multiplication= 1; ShowWorking= 0; EqnStyle= 2; Eqp$G$27_0")</f>
        <v/>
      </c>
      <c r="I70" s="19" t="s">
        <v>19</v>
      </c>
      <c r="J70" s="20"/>
    </row>
    <row r="71" spans="3:10" outlineLevel="1" x14ac:dyDescent="0.25">
      <c r="C71" s="13"/>
      <c r="E71" s="25"/>
      <c r="F71" s="32"/>
      <c r="H71" s="20" t="str">
        <f>[3]!EQS(F70,"Units= ; EqnPrefix=Valem  ; EqnNo= 0; Multiplication= 1; ShowWorking= 1; EqnStyle= 2; Eqp$G$27_$H$69_1")</f>
        <v/>
      </c>
      <c r="I71" s="19" t="s">
        <v>20</v>
      </c>
      <c r="J71" s="20"/>
    </row>
    <row r="72" spans="3:10" outlineLevel="1" x14ac:dyDescent="0.25">
      <c r="C72" s="13"/>
      <c r="F72" s="35">
        <f>0.2/F49*1000</f>
        <v>732.6007326007325</v>
      </c>
      <c r="H72" s="20"/>
      <c r="J72" s="20"/>
    </row>
    <row r="73" spans="3:10" outlineLevel="1" x14ac:dyDescent="0.25">
      <c r="C73" s="13"/>
      <c r="E73" s="25"/>
      <c r="F73" s="32"/>
      <c r="H73" s="20"/>
      <c r="I73" s="29"/>
      <c r="J73" s="20"/>
    </row>
    <row r="74" spans="3:10" outlineLevel="1" x14ac:dyDescent="0.25">
      <c r="F74" s="30">
        <f>1.2+(0.18*LOG(10*F72))/(1+0.4*LOG(F70/10^6))</f>
        <v>2.0235106772562297</v>
      </c>
      <c r="H74" s="20" t="str">
        <f>[3]!EQS(F74,"Units= ; EqnPrefix=Valem  ; EqnNo= 0; Multiplication= 1; ShowWorking= 0; EqnStyle=2; Eqp$G$36_2")</f>
        <v/>
      </c>
      <c r="I74" s="19" t="s">
        <v>21</v>
      </c>
      <c r="J74" s="20"/>
    </row>
    <row r="75" spans="3:10" outlineLevel="1" x14ac:dyDescent="0.25">
      <c r="E75" s="20"/>
      <c r="F75" s="20"/>
      <c r="H75" s="20" t="str">
        <f>[3]!EQS(F74,"Units= ; EqnPrefix=Valem  ; EqnNo= 0; Multiplication= 1; ShowWorking= 1; EqnStyle=2; Eqp$G$36_$G$37_3")</f>
        <v/>
      </c>
      <c r="I75" s="19" t="s">
        <v>22</v>
      </c>
      <c r="J75" s="20"/>
    </row>
    <row r="76" spans="3:10" outlineLevel="1" x14ac:dyDescent="0.25">
      <c r="E76" s="20"/>
      <c r="F76" s="20"/>
      <c r="H76" s="20"/>
      <c r="I76" s="28"/>
      <c r="J76" s="20"/>
    </row>
    <row r="77" spans="3:10" outlineLevel="1" x14ac:dyDescent="0.25">
      <c r="F77" s="92">
        <f>COS(RADIANS(45))^2</f>
        <v>0.50000000000000011</v>
      </c>
      <c r="H77" s="20" t="str">
        <f>[3]!EQS(F77,"Units= ; EqnPrefix=Valem  ; EqnNo= 0; Multiplication= 1; ShowWorking= 0; EqnStyle= 2; Eqp$H$75_2")</f>
        <v/>
      </c>
      <c r="I77" s="19" t="s">
        <v>70</v>
      </c>
      <c r="J77" s="20"/>
    </row>
    <row r="79" spans="3:10" x14ac:dyDescent="0.25">
      <c r="F79" s="34">
        <f>F59*F62*F65*F74*F49*F77</f>
        <v>194.02899120302681</v>
      </c>
      <c r="H79" s="20" t="str">
        <f>[3]!EQS(F79,"Units= ; EqnPrefix=Valem  ; EqnNo= 0; Multiplication= 1; ShowWorking= 0; EqnStyle= 2; Eqp$G$39_0")</f>
        <v/>
      </c>
      <c r="I79" s="19" t="s">
        <v>24</v>
      </c>
    </row>
    <row r="80" spans="3:10" x14ac:dyDescent="0.25">
      <c r="H80" s="13" t="str">
        <f>[3]!EQS(F79,"Units= ; EqnPrefix=Valem  ; EqnNo= 0; Multiplication= 1; ShowWorking= 1; EqnStyle= 2; Eqp$G$39_$G$40_1")</f>
        <v/>
      </c>
      <c r="I80" s="19" t="s">
        <v>125</v>
      </c>
    </row>
    <row r="83" spans="3:12" x14ac:dyDescent="0.25">
      <c r="C83" s="24"/>
      <c r="D83" s="24"/>
      <c r="E83" s="18"/>
      <c r="F83" s="18"/>
      <c r="G83" s="46"/>
      <c r="H83" s="18"/>
      <c r="I83" s="18"/>
      <c r="J83" s="18"/>
      <c r="K83" s="18"/>
      <c r="L83" s="18"/>
    </row>
    <row r="84" spans="3:12" outlineLevel="1" x14ac:dyDescent="0.25">
      <c r="E84" s="14"/>
    </row>
    <row r="85" spans="3:12" outlineLevel="1" x14ac:dyDescent="0.25">
      <c r="F85" s="22">
        <v>28</v>
      </c>
    </row>
    <row r="86" spans="3:12" outlineLevel="1" x14ac:dyDescent="0.25">
      <c r="F86" s="22">
        <v>0.22</v>
      </c>
    </row>
    <row r="87" spans="3:12" outlineLevel="1" x14ac:dyDescent="0.25">
      <c r="F87" s="22">
        <v>23</v>
      </c>
    </row>
    <row r="88" spans="3:12" outlineLevel="1" x14ac:dyDescent="0.25">
      <c r="D88" s="26"/>
      <c r="E88" s="17"/>
      <c r="F88" s="16"/>
      <c r="G88" s="45"/>
      <c r="I88" s="21"/>
    </row>
    <row r="89" spans="3:12" outlineLevel="1" x14ac:dyDescent="0.25">
      <c r="F89" s="33">
        <f>F86*F87</f>
        <v>5.0599999999999996</v>
      </c>
      <c r="H89" s="20" t="str">
        <f>[3]!EQS(F89,"Units= ; EqnPrefix=Valem  ; EqnNo= 0; Multiplication= 1; ShowWorking= 1; EqnStyle=2; Eqp$G$17_0")</f>
        <v/>
      </c>
      <c r="I89" s="19" t="s">
        <v>26</v>
      </c>
    </row>
    <row r="90" spans="3:12" outlineLevel="1" x14ac:dyDescent="0.25">
      <c r="E90" s="25"/>
      <c r="F90" s="33"/>
      <c r="G90" s="47"/>
      <c r="H90" s="20"/>
      <c r="I90" s="19"/>
    </row>
    <row r="91" spans="3:12" outlineLevel="1" x14ac:dyDescent="0.25">
      <c r="F91" s="16"/>
      <c r="G91" s="45"/>
      <c r="I91" s="21"/>
    </row>
    <row r="92" spans="3:12" outlineLevel="1" x14ac:dyDescent="0.25">
      <c r="E92" s="17"/>
      <c r="F92" s="16"/>
      <c r="G92" s="45"/>
      <c r="I92" s="21"/>
    </row>
    <row r="93" spans="3:12" outlineLevel="1" x14ac:dyDescent="0.25"/>
    <row r="94" spans="3:12" ht="16.5" customHeight="1" outlineLevel="1" x14ac:dyDescent="0.25">
      <c r="F94" s="30">
        <f>$F$6*LN(F85/$F$7)*$F$3</f>
        <v>25.248467767079489</v>
      </c>
      <c r="H94" s="20" t="str">
        <f>[3]!EQS(F94,"Units= ; EqnPrefix=Valem  ; EqnNo= 0; Multiplication= 1; ShowWorking= 0; EqnStyle= 2; Eqp$H$54_2")</f>
        <v/>
      </c>
      <c r="I94" s="19" t="s">
        <v>27</v>
      </c>
      <c r="J94" s="20"/>
    </row>
    <row r="95" spans="3:12" ht="12" customHeight="1" outlineLevel="1" x14ac:dyDescent="0.25">
      <c r="E95" s="17"/>
      <c r="F95" s="30"/>
      <c r="G95" s="45"/>
      <c r="H95" s="20" t="str">
        <f>[3]!EQS(F94,"Units= ; EqnPrefix=Valem  ; EqnNo= 0; Multiplication= 1; ShowWorking= 1; EqnStyle= 2; Eqp$H$54_$H$55_3")</f>
        <v/>
      </c>
      <c r="I95" s="19" t="s">
        <v>28</v>
      </c>
      <c r="J95" s="20"/>
    </row>
    <row r="96" spans="3:12" outlineLevel="1" x14ac:dyDescent="0.25">
      <c r="D96" s="29"/>
      <c r="F96" s="30"/>
      <c r="G96" s="45"/>
      <c r="H96" s="20"/>
      <c r="I96" s="28"/>
      <c r="J96" s="20"/>
    </row>
    <row r="97" spans="3:10" outlineLevel="1" x14ac:dyDescent="0.25">
      <c r="F97" s="30">
        <f>1/2*$F$5*F94^2</f>
        <v>390.45963880846682</v>
      </c>
      <c r="H97" s="20" t="str">
        <f>[3]!EQS(F97,"Units= ; EqnPrefix=Valem  ; EqnNo= 0; Multiplication= 1; ShowWorking= 0; EqnStyle= 2; Eqp$G$21_0")</f>
        <v/>
      </c>
      <c r="I97" s="19" t="s">
        <v>29</v>
      </c>
      <c r="J97" s="20"/>
    </row>
    <row r="98" spans="3:10" outlineLevel="1" x14ac:dyDescent="0.25">
      <c r="E98" s="25"/>
      <c r="F98" s="30"/>
      <c r="G98" s="47"/>
      <c r="H98" s="20" t="str">
        <f>[3]!EQS(F97,"Units= ; EqnPrefix=Valem  ; EqnNo= 0; Multiplication= 1; ShowWorking= 1; EqnStyle= 2; Eqp$G$21_$G$25_1")</f>
        <v/>
      </c>
      <c r="I98" s="19" t="s">
        <v>30</v>
      </c>
      <c r="J98" s="20"/>
    </row>
    <row r="99" spans="3:10" outlineLevel="1" x14ac:dyDescent="0.25">
      <c r="E99" s="25"/>
      <c r="F99" s="30"/>
      <c r="G99" s="47"/>
      <c r="I99" s="28"/>
      <c r="J99" s="20"/>
    </row>
    <row r="100" spans="3:10" outlineLevel="1" x14ac:dyDescent="0.25">
      <c r="F100" s="30">
        <f>(1+2.28/LN(F85/$F$7))^2</f>
        <v>1.8504351691877789</v>
      </c>
      <c r="G100" s="47"/>
      <c r="H100" s="20" t="str">
        <f>[3]!EQS(F100,"Units= ; EqnPrefix=Valem  ; EqnNo= 0; Multiplication= 1; ShowWorking= 0; EqnStyle= 2; Eqp$G$24_0")</f>
        <v/>
      </c>
      <c r="I100" s="19" t="s">
        <v>31</v>
      </c>
      <c r="J100" s="20"/>
    </row>
    <row r="101" spans="3:10" outlineLevel="1" x14ac:dyDescent="0.25">
      <c r="E101" s="25"/>
      <c r="F101" s="30"/>
      <c r="G101" s="47"/>
      <c r="H101" s="20" t="str">
        <f>[3]!EQS(F100,"Units= ; EqnPrefix=Valem  ; EqnNo= 0; Multiplication= 1; ShowWorking= 1; EqnStyle= 2; Eqp$G$24_$G$28_1")</f>
        <v/>
      </c>
      <c r="I101" s="19" t="s">
        <v>32</v>
      </c>
      <c r="J101" s="20"/>
    </row>
    <row r="102" spans="3:10" outlineLevel="1" x14ac:dyDescent="0.25">
      <c r="D102" s="13"/>
      <c r="E102" s="25"/>
      <c r="F102" s="30"/>
      <c r="G102" s="47"/>
      <c r="J102" s="20"/>
    </row>
    <row r="103" spans="3:10" outlineLevel="1" x14ac:dyDescent="0.25">
      <c r="F103" s="13">
        <v>1.1499999999999999</v>
      </c>
      <c r="J103" s="20"/>
    </row>
    <row r="104" spans="3:10" outlineLevel="1" x14ac:dyDescent="0.25">
      <c r="D104" s="27"/>
      <c r="E104" s="14"/>
      <c r="F104" s="31"/>
      <c r="H104" s="20"/>
      <c r="I104" s="20"/>
      <c r="J104" s="20"/>
    </row>
    <row r="105" spans="3:10" outlineLevel="1" x14ac:dyDescent="0.25">
      <c r="C105" s="13"/>
      <c r="E105" s="25"/>
      <c r="F105" s="32"/>
      <c r="H105" s="20"/>
      <c r="I105" s="29"/>
      <c r="J105" s="20"/>
    </row>
    <row r="106" spans="3:10" outlineLevel="1" x14ac:dyDescent="0.25">
      <c r="F106" s="30">
        <v>2</v>
      </c>
      <c r="H106" s="20"/>
      <c r="I106" s="19"/>
      <c r="J106" s="20"/>
    </row>
    <row r="107" spans="3:10" outlineLevel="1" x14ac:dyDescent="0.25">
      <c r="E107" s="20"/>
      <c r="F107" s="20"/>
      <c r="H107" s="20"/>
      <c r="I107" s="28"/>
      <c r="J107" s="20"/>
    </row>
    <row r="108" spans="3:10" outlineLevel="1" x14ac:dyDescent="0.25">
      <c r="D108" s="36"/>
      <c r="F108" s="38">
        <f>MIN(70,2*F87/F86)</f>
        <v>70</v>
      </c>
      <c r="H108" s="20"/>
      <c r="I108" s="28"/>
      <c r="J108" s="20"/>
    </row>
    <row r="109" spans="3:10" outlineLevel="1" x14ac:dyDescent="0.25">
      <c r="E109" s="20"/>
      <c r="F109" s="20"/>
      <c r="H109" s="20"/>
      <c r="I109" s="28"/>
      <c r="J109" s="20"/>
    </row>
    <row r="110" spans="3:10" outlineLevel="1" x14ac:dyDescent="0.25">
      <c r="D110" s="36"/>
      <c r="F110" s="20">
        <v>1</v>
      </c>
      <c r="H110" s="20"/>
      <c r="I110" s="28"/>
      <c r="J110" s="20"/>
    </row>
    <row r="111" spans="3:10" outlineLevel="1" x14ac:dyDescent="0.25">
      <c r="F111" s="20"/>
      <c r="H111" s="20"/>
      <c r="I111" s="28"/>
      <c r="J111" s="20"/>
    </row>
    <row r="112" spans="3:10" outlineLevel="1" x14ac:dyDescent="0.25">
      <c r="F112" s="13">
        <v>0.92</v>
      </c>
      <c r="H112" s="20"/>
      <c r="I112" s="28"/>
      <c r="J112" s="20"/>
    </row>
    <row r="113" spans="3:12" outlineLevel="1" x14ac:dyDescent="0.25">
      <c r="E113" s="20"/>
      <c r="F113" s="37"/>
      <c r="H113" s="20"/>
      <c r="I113" s="28"/>
      <c r="J113" s="20"/>
    </row>
    <row r="114" spans="3:12" outlineLevel="1" x14ac:dyDescent="0.25">
      <c r="F114" s="39">
        <f>F106*F112</f>
        <v>1.84</v>
      </c>
      <c r="H114" s="20" t="str">
        <f>[3]!EQS(F114,"Units= ; EqnPrefix=Valem  ; EqnNo= 0; Multiplication= 1; ShowWorking= 0; EqnStyle= 2; Eqp$H$119_2")</f>
        <v/>
      </c>
      <c r="I114" s="19" t="s">
        <v>33</v>
      </c>
      <c r="J114" s="20"/>
    </row>
    <row r="115" spans="3:12" outlineLevel="1" x14ac:dyDescent="0.25">
      <c r="E115" s="20"/>
      <c r="F115" s="37"/>
      <c r="H115" s="20" t="str">
        <f>[3]!EQS(F114,"Units= ; EqnPrefix=Valem  ; EqnNo= 0; Multiplication= 1; ShowWorking= 1; EqnStyle= 2; Eqp$H$119_$H$120_3")</f>
        <v/>
      </c>
      <c r="I115" s="19" t="s">
        <v>34</v>
      </c>
      <c r="J115" s="20"/>
    </row>
    <row r="116" spans="3:12" outlineLevel="1" x14ac:dyDescent="0.25">
      <c r="E116" s="20"/>
      <c r="F116" s="20"/>
      <c r="H116" s="20"/>
      <c r="I116" s="28"/>
      <c r="J116" s="20"/>
    </row>
    <row r="117" spans="3:12" outlineLevel="1" x14ac:dyDescent="0.25">
      <c r="F117" s="91">
        <f>COS(RADIANS(45))^2</f>
        <v>0.50000000000000011</v>
      </c>
      <c r="H117" s="20" t="str">
        <f>[3]!EQS(F117,"Units= ; EqnPrefix=Valem  ; EqnNo= 0; Multiplication= 1; ShowWorking= 0; EqnStyle= 2; Eqp$H$75_2")</f>
        <v/>
      </c>
      <c r="I117" s="19" t="s">
        <v>70</v>
      </c>
      <c r="J117" s="20"/>
    </row>
    <row r="118" spans="3:12" outlineLevel="1" x14ac:dyDescent="0.25"/>
    <row r="119" spans="3:12" x14ac:dyDescent="0.25">
      <c r="F119" s="34">
        <f>F97*F100*F103*F114*F86*F117</f>
        <v>168.17381287782194</v>
      </c>
      <c r="H119" s="20" t="str">
        <f>[3]!EQS(F119,"Units= ; EqnPrefix=Valem  ; EqnNo= 0; Multiplication= 1; ShowWorking= 0; EqnStyle= 2; Eqp$G$39_0")</f>
        <v/>
      </c>
      <c r="I119" s="19" t="s">
        <v>35</v>
      </c>
    </row>
    <row r="120" spans="3:12" x14ac:dyDescent="0.25">
      <c r="H120" s="13" t="str">
        <f>[3]!EQS(F119,"Units= ; EqnPrefix=Valem  ; EqnNo= 0; Multiplication= 1; ShowWorking= 1; EqnStyle= 2; Eqp$G$39_$G$40_1")</f>
        <v/>
      </c>
      <c r="I120" s="19" t="s">
        <v>126</v>
      </c>
    </row>
    <row r="123" spans="3:12" x14ac:dyDescent="0.25">
      <c r="C123" s="24"/>
      <c r="D123" s="24"/>
      <c r="E123" s="18"/>
      <c r="F123" s="18"/>
      <c r="G123" s="46"/>
      <c r="H123" s="18"/>
      <c r="I123" s="18"/>
      <c r="J123" s="18"/>
      <c r="K123" s="18"/>
      <c r="L123" s="18"/>
    </row>
    <row r="124" spans="3:12" outlineLevel="1" x14ac:dyDescent="0.25">
      <c r="E124" s="14"/>
    </row>
    <row r="125" spans="3:12" outlineLevel="1" x14ac:dyDescent="0.25">
      <c r="F125" s="22">
        <v>36</v>
      </c>
    </row>
    <row r="126" spans="3:12" outlineLevel="1" x14ac:dyDescent="0.25">
      <c r="F126" s="22">
        <v>0.25</v>
      </c>
    </row>
    <row r="127" spans="3:12" outlineLevel="1" x14ac:dyDescent="0.25">
      <c r="F127" s="22">
        <v>0.25</v>
      </c>
    </row>
    <row r="128" spans="3:12" outlineLevel="1" x14ac:dyDescent="0.25">
      <c r="F128" s="22">
        <v>23</v>
      </c>
    </row>
    <row r="129" spans="3:10" outlineLevel="1" x14ac:dyDescent="0.25">
      <c r="D129" s="26"/>
      <c r="E129" s="17"/>
      <c r="F129" s="16"/>
      <c r="G129" s="45"/>
      <c r="I129" s="21"/>
    </row>
    <row r="130" spans="3:10" outlineLevel="1" x14ac:dyDescent="0.25">
      <c r="F130" s="33">
        <f>F126*F128</f>
        <v>5.75</v>
      </c>
      <c r="H130" s="20" t="str">
        <f>[3]!EQS(F130,"Units= ; EqnPrefix=Valem  ; EqnNo= 0; Multiplication= 1; ShowWorking= 1; EqnStyle=2; Eqp$G$17_0")</f>
        <v/>
      </c>
      <c r="I130" s="19" t="s">
        <v>37</v>
      </c>
    </row>
    <row r="131" spans="3:10" outlineLevel="1" x14ac:dyDescent="0.25">
      <c r="E131" s="25"/>
      <c r="F131" s="33"/>
      <c r="G131" s="47"/>
      <c r="H131" s="20"/>
      <c r="I131" s="19"/>
    </row>
    <row r="132" spans="3:10" outlineLevel="1" x14ac:dyDescent="0.25">
      <c r="C132" s="36"/>
      <c r="F132" s="33">
        <f>F127*F126</f>
        <v>6.25E-2</v>
      </c>
      <c r="H132" s="20" t="str">
        <f>[3]!EQS(F132,"Units= ; EqnPrefix=Valem  ; EqnNo= 0; Multiplication= 1; ShowWorking= 1; EqnStyle= 2; Eqp$H$137_2")</f>
        <v/>
      </c>
      <c r="I132" s="19" t="s">
        <v>38</v>
      </c>
    </row>
    <row r="133" spans="3:10" outlineLevel="1" x14ac:dyDescent="0.25">
      <c r="F133" s="16"/>
      <c r="G133" s="45"/>
      <c r="I133" s="21"/>
    </row>
    <row r="134" spans="3:10" outlineLevel="1" x14ac:dyDescent="0.25">
      <c r="E134" s="17"/>
      <c r="F134" s="16"/>
      <c r="G134" s="45"/>
      <c r="I134" s="21"/>
    </row>
    <row r="135" spans="3:10" outlineLevel="1" x14ac:dyDescent="0.25"/>
    <row r="136" spans="3:10" outlineLevel="1" x14ac:dyDescent="0.25">
      <c r="F136" s="30">
        <f>$F$6*LN(F125/$F$7)*$F$3</f>
        <v>26.251212335920307</v>
      </c>
      <c r="H136" s="20" t="str">
        <f>[3]!EQS(F136,"Units= ; EqnPrefix=Valem  ; EqnNo= 0; Multiplication= 1; ShowWorking= 0; EqnStyle= 2; Eqp$H$54_2")</f>
        <v/>
      </c>
      <c r="I136" s="19" t="s">
        <v>39</v>
      </c>
      <c r="J136" s="20"/>
    </row>
    <row r="137" spans="3:10" outlineLevel="1" x14ac:dyDescent="0.25">
      <c r="E137" s="17"/>
      <c r="F137" s="30"/>
      <c r="G137" s="45"/>
      <c r="H137" s="20" t="str">
        <f>[3]!EQS(F136,"Units= ; EqnPrefix=Valem  ; EqnNo= 0; Multiplication= 1; ShowWorking= 1; EqnStyle= 2; Eqp$H$54_$H$55_3")</f>
        <v/>
      </c>
      <c r="I137" s="19" t="s">
        <v>2</v>
      </c>
      <c r="J137" s="20"/>
    </row>
    <row r="138" spans="3:10" outlineLevel="1" x14ac:dyDescent="0.25">
      <c r="D138" s="29"/>
      <c r="F138" s="30"/>
      <c r="G138" s="45"/>
      <c r="H138" s="20"/>
      <c r="I138" s="28"/>
      <c r="J138" s="20"/>
    </row>
    <row r="139" spans="3:10" outlineLevel="1" x14ac:dyDescent="0.25">
      <c r="F139" s="30">
        <f>1/2*$F$5*F136^2</f>
        <v>422.08976632716445</v>
      </c>
      <c r="H139" s="20" t="str">
        <f>[3]!EQS(F139,"Units= ; EqnPrefix=Valem  ; EqnNo= 0; Multiplication= 1; ShowWorking= 0; EqnStyle= 2; Eqp$G$21_0")</f>
        <v/>
      </c>
      <c r="I139" s="19" t="s">
        <v>40</v>
      </c>
      <c r="J139" s="20"/>
    </row>
    <row r="140" spans="3:10" outlineLevel="1" x14ac:dyDescent="0.25">
      <c r="E140" s="25"/>
      <c r="F140" s="30"/>
      <c r="G140" s="47"/>
      <c r="H140" s="20" t="str">
        <f>[3]!EQS(F139,"Units= ; EqnPrefix=Valem  ; EqnNo= 0; Multiplication= 1; ShowWorking= 1; EqnStyle= 2; Eqp$G$21_$G$25_1")</f>
        <v/>
      </c>
      <c r="I140" s="19" t="s">
        <v>4</v>
      </c>
      <c r="J140" s="20"/>
    </row>
    <row r="141" spans="3:10" outlineLevel="1" x14ac:dyDescent="0.25">
      <c r="E141" s="25"/>
      <c r="F141" s="30"/>
      <c r="G141" s="47"/>
      <c r="I141" s="28"/>
      <c r="J141" s="20"/>
    </row>
    <row r="142" spans="3:10" outlineLevel="1" x14ac:dyDescent="0.25">
      <c r="F142" s="30">
        <f>(1+2.28/LN(F125/$F$7))^2</f>
        <v>1.8131807308313552</v>
      </c>
      <c r="G142" s="47"/>
      <c r="H142" s="20" t="str">
        <f>[3]!EQS(F142,"Units= ; EqnPrefix=Valem  ; EqnNo= 0; Multiplication= 1; ShowWorking= 0; EqnStyle= 2; Eqp$G$24_0")</f>
        <v/>
      </c>
      <c r="I142" s="19" t="s">
        <v>41</v>
      </c>
      <c r="J142" s="20"/>
    </row>
    <row r="143" spans="3:10" outlineLevel="1" x14ac:dyDescent="0.25">
      <c r="E143" s="25"/>
      <c r="F143" s="30"/>
      <c r="G143" s="47"/>
      <c r="H143" s="20" t="str">
        <f>[3]!EQS(F142,"Units= ; EqnPrefix=Valem  ; EqnNo= 0; Multiplication= 1; ShowWorking= 1; EqnStyle= 2; Eqp$G$24_$G$28_1")</f>
        <v/>
      </c>
      <c r="I143" s="19" t="s">
        <v>6</v>
      </c>
      <c r="J143" s="20"/>
    </row>
    <row r="144" spans="3:10" outlineLevel="1" x14ac:dyDescent="0.25">
      <c r="D144" s="13"/>
      <c r="E144" s="25"/>
      <c r="F144" s="30"/>
      <c r="G144" s="47"/>
      <c r="J144" s="20"/>
    </row>
    <row r="145" spans="3:10" outlineLevel="1" x14ac:dyDescent="0.25">
      <c r="F145" s="13">
        <v>1.1499999999999999</v>
      </c>
      <c r="J145" s="20"/>
    </row>
    <row r="146" spans="3:10" outlineLevel="1" x14ac:dyDescent="0.25">
      <c r="D146" s="27"/>
      <c r="E146" s="14"/>
      <c r="F146" s="31"/>
      <c r="H146" s="20"/>
      <c r="I146" s="20"/>
      <c r="J146" s="20"/>
    </row>
    <row r="147" spans="3:10" outlineLevel="1" x14ac:dyDescent="0.25">
      <c r="C147" s="13"/>
      <c r="E147" s="25"/>
      <c r="F147" s="32"/>
      <c r="H147" s="20"/>
      <c r="I147" s="29"/>
      <c r="J147" s="20"/>
    </row>
    <row r="148" spans="3:10" outlineLevel="1" x14ac:dyDescent="0.25">
      <c r="F148" s="30">
        <v>2</v>
      </c>
      <c r="H148" s="20"/>
      <c r="I148" s="19"/>
      <c r="J148" s="20"/>
    </row>
    <row r="149" spans="3:10" outlineLevel="1" x14ac:dyDescent="0.25">
      <c r="E149" s="20"/>
      <c r="F149" s="20"/>
      <c r="H149" s="20"/>
      <c r="I149" s="28"/>
      <c r="J149" s="20"/>
    </row>
    <row r="150" spans="3:10" outlineLevel="1" x14ac:dyDescent="0.25">
      <c r="D150" s="36"/>
      <c r="F150" s="38">
        <f>MIN(70,2*F128/F126)</f>
        <v>70</v>
      </c>
      <c r="H150" s="20" t="str">
        <f>[3]!EQS(F150,"Units= ; EqnPrefix=Valem  ; EqnNo= 0; Multiplication= 1; ShowWorking= 1; EqnStyle=2; Eqp$H$148_0")</f>
        <v/>
      </c>
      <c r="I150" s="19" t="s">
        <v>42</v>
      </c>
      <c r="J150" s="20"/>
    </row>
    <row r="151" spans="3:10" outlineLevel="1" x14ac:dyDescent="0.25">
      <c r="E151" s="20"/>
      <c r="F151" s="20"/>
      <c r="H151" s="20"/>
      <c r="I151" s="28"/>
      <c r="J151" s="20"/>
    </row>
    <row r="152" spans="3:10" outlineLevel="1" x14ac:dyDescent="0.25">
      <c r="D152" s="36"/>
      <c r="F152" s="20">
        <v>1</v>
      </c>
      <c r="H152" s="20"/>
      <c r="I152" s="28"/>
      <c r="J152" s="20"/>
    </row>
    <row r="153" spans="3:10" outlineLevel="1" x14ac:dyDescent="0.25">
      <c r="F153" s="20"/>
      <c r="H153" s="20"/>
      <c r="I153" s="28"/>
      <c r="J153" s="20"/>
    </row>
    <row r="154" spans="3:10" outlineLevel="1" x14ac:dyDescent="0.25">
      <c r="F154" s="13">
        <v>0.92</v>
      </c>
      <c r="H154" s="20"/>
      <c r="I154" s="28"/>
      <c r="J154" s="20"/>
    </row>
    <row r="155" spans="3:10" outlineLevel="1" x14ac:dyDescent="0.25">
      <c r="E155" s="42"/>
      <c r="H155" s="20"/>
      <c r="I155" s="28"/>
      <c r="J155" s="20"/>
    </row>
    <row r="156" spans="3:10" outlineLevel="1" x14ac:dyDescent="0.25">
      <c r="F156" s="13">
        <v>0.88</v>
      </c>
      <c r="H156" s="20"/>
      <c r="J156" s="20"/>
    </row>
    <row r="157" spans="3:10" outlineLevel="1" x14ac:dyDescent="0.25">
      <c r="E157" s="20"/>
      <c r="F157" s="37"/>
      <c r="H157" s="20"/>
      <c r="I157" s="28"/>
      <c r="J157" s="20"/>
    </row>
    <row r="158" spans="3:10" outlineLevel="1" x14ac:dyDescent="0.25">
      <c r="F158" s="39">
        <f>F148*F154*F156</f>
        <v>1.6192</v>
      </c>
      <c r="H158" s="20" t="str">
        <f>[3]!EQS(F158,"Units= ; EqnPrefix=Valem  ; EqnNo= 0; Multiplication= 1; ShowWorking= 0; EqnStyle= 2; Eqp$H$119_2")</f>
        <v/>
      </c>
      <c r="I158" s="19" t="s">
        <v>43</v>
      </c>
      <c r="J158" s="20"/>
    </row>
    <row r="159" spans="3:10" outlineLevel="1" x14ac:dyDescent="0.25">
      <c r="E159" s="20"/>
      <c r="F159" s="37"/>
      <c r="H159" s="20" t="str">
        <f>[3]!EQS(F158,"Units= ; EqnPrefix=Valem  ; EqnNo= 0; Multiplication= 1; ShowWorking= 1; EqnStyle= 2; Eqp$H$119_$H$120_3")</f>
        <v/>
      </c>
      <c r="I159" s="19" t="s">
        <v>44</v>
      </c>
      <c r="J159" s="20"/>
    </row>
    <row r="160" spans="3:10" outlineLevel="1" x14ac:dyDescent="0.25">
      <c r="E160" s="20"/>
      <c r="F160" s="37"/>
      <c r="H160" s="20"/>
      <c r="I160" s="28"/>
      <c r="J160" s="20"/>
    </row>
    <row r="161" spans="3:12" outlineLevel="1" x14ac:dyDescent="0.25">
      <c r="C161" s="43"/>
      <c r="F161" s="39">
        <f>F148*F154</f>
        <v>1.84</v>
      </c>
      <c r="H161" s="20" t="str">
        <f>[3]!EQS(F161,"Units= ; EqnPrefix=Valem  ; EqnNo= 0; Multiplication= 1; ShowWorking= 0; EqnStyle= 2; Eqp$H$119_2")</f>
        <v/>
      </c>
      <c r="I161" s="19" t="s">
        <v>45</v>
      </c>
      <c r="J161" s="20"/>
    </row>
    <row r="162" spans="3:12" outlineLevel="1" x14ac:dyDescent="0.25">
      <c r="E162" s="20"/>
      <c r="F162" s="37"/>
      <c r="H162" s="20" t="str">
        <f>[3]!EQS(F161,"Units= ; EqnPrefix=Valem  ; EqnNo= 0; Multiplication= 1; ShowWorking= 1; EqnStyle= 2; Eqp$H$119_$H$120_3")</f>
        <v/>
      </c>
      <c r="I162" s="19" t="s">
        <v>34</v>
      </c>
      <c r="J162" s="20"/>
    </row>
    <row r="163" spans="3:12" outlineLevel="1" x14ac:dyDescent="0.25">
      <c r="E163" s="20"/>
      <c r="F163" s="20"/>
      <c r="H163" s="20"/>
      <c r="I163" s="28"/>
      <c r="J163" s="20"/>
    </row>
    <row r="164" spans="3:12" outlineLevel="1" x14ac:dyDescent="0.25">
      <c r="F164" s="91">
        <f>COS(RADIANS(45))^2</f>
        <v>0.50000000000000011</v>
      </c>
      <c r="H164" s="20" t="str">
        <f>[3]!EQS(F164,"Units= ; EqnPrefix=Valem  ; EqnNo= 0; Multiplication= 1; ShowWorking= 0; EqnStyle= 2; Eqp$H$75_2")</f>
        <v/>
      </c>
      <c r="I164" s="19" t="s">
        <v>70</v>
      </c>
      <c r="J164" s="20"/>
    </row>
    <row r="165" spans="3:12" outlineLevel="1" x14ac:dyDescent="0.25">
      <c r="E165" s="42"/>
      <c r="F165" s="40"/>
      <c r="H165" s="20"/>
      <c r="I165" s="28"/>
      <c r="J165" s="20"/>
    </row>
    <row r="166" spans="3:12" outlineLevel="1" x14ac:dyDescent="0.25">
      <c r="F166" s="91">
        <f>COS(RADIANS(45))^2</f>
        <v>0.50000000000000011</v>
      </c>
      <c r="H166" s="20" t="str">
        <f>[3]!EQS(F166,"Units= ; EqnPrefix=Valem  ; EqnNo= 0; Multiplication= 1; ShowWorking= 0; EqnStyle= 2; Eqp$H$75_2")</f>
        <v/>
      </c>
      <c r="I166" s="19" t="s">
        <v>70</v>
      </c>
      <c r="J166" s="20"/>
    </row>
    <row r="168" spans="3:12" x14ac:dyDescent="0.25">
      <c r="F168" s="34">
        <f>F139*F142*F145*F158*F126*F164</f>
        <v>178.13705421219058</v>
      </c>
      <c r="H168" s="20" t="str">
        <f>[3]!EQS(F168,"Units= ; EqnPrefix=Valem  ; EqnNo= 0; Multiplication= 1; ShowWorking= 0; EqnStyle= 2; Eqp$G$39_0")</f>
        <v/>
      </c>
      <c r="I168" s="19" t="s">
        <v>47</v>
      </c>
    </row>
    <row r="169" spans="3:12" x14ac:dyDescent="0.25">
      <c r="H169" s="13" t="str">
        <f>[3]!EQS(F168,"Units= ; EqnPrefix=Valem  ; EqnNo= 0; Multiplication= 1; ShowWorking= 1; EqnStyle= 2; Eqp$G$39_$G$40_1")</f>
        <v/>
      </c>
      <c r="I169" s="19" t="s">
        <v>127</v>
      </c>
    </row>
    <row r="171" spans="3:12" x14ac:dyDescent="0.25">
      <c r="F171" s="34">
        <f>F139*F142*F145*F161*F127*F126*F166</f>
        <v>50.607117673917791</v>
      </c>
      <c r="H171" s="20" t="str">
        <f>[3]!EQS(F171,"Units= ; EqnPrefix=Valem  ; EqnNo= 0; Multiplication= 1; ShowWorking= 0; EqnStyle= 2; Eqp$G$39_0")</f>
        <v/>
      </c>
      <c r="I171" s="19" t="s">
        <v>49</v>
      </c>
    </row>
    <row r="172" spans="3:12" x14ac:dyDescent="0.25">
      <c r="H172" s="13" t="str">
        <f>[3]!EQS(F171,"Units= ; EqnPrefix=Valem  ; EqnNo= 0; Multiplication= 1; ShowWorking= 1; EqnStyle= 2; Eqp$G$39_$G$40_1")</f>
        <v/>
      </c>
      <c r="I172" s="19" t="s">
        <v>128</v>
      </c>
    </row>
    <row r="173" spans="3:12" x14ac:dyDescent="0.25">
      <c r="C173" s="24"/>
      <c r="D173" s="24"/>
      <c r="E173" s="18"/>
      <c r="F173" s="18"/>
      <c r="G173" s="46"/>
      <c r="H173" s="18"/>
      <c r="I173" s="18"/>
      <c r="J173" s="18"/>
      <c r="K173" s="18"/>
      <c r="L173" s="18"/>
    </row>
    <row r="174" spans="3:12" outlineLevel="1" x14ac:dyDescent="0.25">
      <c r="E174" s="14"/>
    </row>
    <row r="175" spans="3:12" outlineLevel="1" x14ac:dyDescent="0.25">
      <c r="F175" s="22">
        <v>41</v>
      </c>
    </row>
    <row r="176" spans="3:12" outlineLevel="1" x14ac:dyDescent="0.25">
      <c r="F176" s="22">
        <v>0.25</v>
      </c>
    </row>
    <row r="177" spans="3:10" outlineLevel="1" x14ac:dyDescent="0.25">
      <c r="F177" s="22">
        <v>0.15</v>
      </c>
    </row>
    <row r="178" spans="3:10" outlineLevel="1" x14ac:dyDescent="0.25">
      <c r="F178" s="22">
        <v>5</v>
      </c>
    </row>
    <row r="179" spans="3:10" outlineLevel="1" x14ac:dyDescent="0.25">
      <c r="D179" s="26"/>
      <c r="E179" s="17"/>
      <c r="F179" s="16"/>
      <c r="G179" s="45"/>
      <c r="I179" s="21"/>
    </row>
    <row r="180" spans="3:10" outlineLevel="1" x14ac:dyDescent="0.25">
      <c r="F180" s="33">
        <f>F177*F178</f>
        <v>0.75</v>
      </c>
      <c r="H180" s="20" t="str">
        <f>[3]!EQS(F180,"Units= ; EqnPrefix=Valem  ; EqnNo= 0; Multiplication= 1; ShowWorking= 1; EqnStyle=2; Eqp$G$17_0")</f>
        <v/>
      </c>
      <c r="I180" s="19" t="s">
        <v>51</v>
      </c>
    </row>
    <row r="181" spans="3:10" outlineLevel="1" x14ac:dyDescent="0.25">
      <c r="E181" s="25"/>
      <c r="F181" s="33"/>
      <c r="G181" s="47"/>
      <c r="H181" s="20"/>
      <c r="I181" s="19"/>
    </row>
    <row r="182" spans="3:10" outlineLevel="1" x14ac:dyDescent="0.25">
      <c r="C182" s="36"/>
      <c r="F182" s="33">
        <f>F178*F176</f>
        <v>1.25</v>
      </c>
      <c r="H182" s="20" t="str">
        <f>[3]!EQS(F182,"Units= ; EqnPrefix=Valem  ; EqnNo= 0; Multiplication= 1; ShowWorking= 1; EqnStyle= 2; Eqp$H$137_2")</f>
        <v/>
      </c>
      <c r="I182" s="19" t="s">
        <v>52</v>
      </c>
    </row>
    <row r="183" spans="3:10" outlineLevel="1" x14ac:dyDescent="0.25">
      <c r="F183" s="16"/>
      <c r="G183" s="45"/>
      <c r="I183" s="21"/>
    </row>
    <row r="184" spans="3:10" outlineLevel="1" x14ac:dyDescent="0.25">
      <c r="E184" s="17"/>
      <c r="F184" s="16"/>
      <c r="G184" s="45"/>
      <c r="I184" s="21"/>
    </row>
    <row r="185" spans="3:10" outlineLevel="1" x14ac:dyDescent="0.25"/>
    <row r="186" spans="3:10" outlineLevel="1" x14ac:dyDescent="0.25">
      <c r="F186" s="30">
        <f>$F$6*LN(F175/$F$7)*$F$3</f>
        <v>26.770124317630611</v>
      </c>
      <c r="H186" s="20" t="str">
        <f>[3]!EQS(F186,"Units= ; EqnPrefix=Valem  ; EqnNo= 0; Multiplication= 1; ShowWorking= 0; EqnStyle= 2; Eqp$H$54_2")</f>
        <v/>
      </c>
      <c r="I186" s="19" t="s">
        <v>53</v>
      </c>
      <c r="J186" s="20"/>
    </row>
    <row r="187" spans="3:10" outlineLevel="1" x14ac:dyDescent="0.25">
      <c r="E187" s="17"/>
      <c r="F187" s="30"/>
      <c r="G187" s="45"/>
      <c r="H187" s="20" t="str">
        <f>[3]!EQS(F186,"Units= ; EqnPrefix=Valem  ; EqnNo= 0; Multiplication= 1; ShowWorking= 1; EqnStyle= 2; Eqp$H$54_$H$55_3")</f>
        <v/>
      </c>
      <c r="I187" s="19" t="s">
        <v>54</v>
      </c>
      <c r="J187" s="20"/>
    </row>
    <row r="188" spans="3:10" outlineLevel="1" x14ac:dyDescent="0.25">
      <c r="D188" s="29"/>
      <c r="F188" s="30"/>
      <c r="G188" s="45"/>
      <c r="H188" s="20"/>
      <c r="I188" s="28"/>
      <c r="J188" s="20"/>
    </row>
    <row r="189" spans="3:10" outlineLevel="1" x14ac:dyDescent="0.25">
      <c r="F189" s="30">
        <f>1/2*$F$5*F186^2</f>
        <v>438.94172803860613</v>
      </c>
      <c r="H189" s="20" t="str">
        <f>[3]!EQS(F189,"Units= ; EqnPrefix=Valem  ; EqnNo= 0; Multiplication= 1; ShowWorking= 0; EqnStyle= 2; Eqp$G$21_0")</f>
        <v/>
      </c>
      <c r="I189" s="19" t="s">
        <v>55</v>
      </c>
      <c r="J189" s="20"/>
    </row>
    <row r="190" spans="3:10" outlineLevel="1" x14ac:dyDescent="0.25">
      <c r="E190" s="25"/>
      <c r="F190" s="30"/>
      <c r="G190" s="47"/>
      <c r="H190" s="20" t="str">
        <f>[3]!EQS(F189,"Units= ; EqnPrefix=Valem  ; EqnNo= 0; Multiplication= 1; ShowWorking= 1; EqnStyle= 2; Eqp$G$21_$G$25_1")</f>
        <v/>
      </c>
      <c r="I190" s="19" t="s">
        <v>56</v>
      </c>
      <c r="J190" s="20"/>
    </row>
    <row r="191" spans="3:10" outlineLevel="1" x14ac:dyDescent="0.25">
      <c r="E191" s="25"/>
      <c r="F191" s="30"/>
      <c r="G191" s="47"/>
      <c r="I191" s="28"/>
      <c r="J191" s="20"/>
    </row>
    <row r="192" spans="3:10" outlineLevel="1" x14ac:dyDescent="0.25">
      <c r="F192" s="30">
        <f>(1+2.28/LN(F175/$F$7))^2</f>
        <v>1.7951352851913878</v>
      </c>
      <c r="G192" s="47"/>
      <c r="H192" s="20" t="str">
        <f>[3]!EQS(F192,"Units= ; EqnPrefix=Valem  ; EqnNo= 0; Multiplication= 1; ShowWorking= 0; EqnStyle= 2; Eqp$G$24_0")</f>
        <v/>
      </c>
      <c r="I192" s="19" t="s">
        <v>57</v>
      </c>
      <c r="J192" s="20"/>
    </row>
    <row r="193" spans="3:10" outlineLevel="1" x14ac:dyDescent="0.25">
      <c r="E193" s="25"/>
      <c r="F193" s="30"/>
      <c r="G193" s="47"/>
      <c r="H193" s="20" t="str">
        <f>[3]!EQS(F192,"Units= ; EqnPrefix=Valem  ; EqnNo= 0; Multiplication= 1; ShowWorking= 1; EqnStyle= 2; Eqp$G$24_$G$28_1")</f>
        <v/>
      </c>
      <c r="I193" s="19" t="s">
        <v>58</v>
      </c>
      <c r="J193" s="20"/>
    </row>
    <row r="194" spans="3:10" outlineLevel="1" x14ac:dyDescent="0.25">
      <c r="D194" s="13"/>
      <c r="E194" s="25"/>
      <c r="F194" s="30"/>
      <c r="G194" s="47"/>
      <c r="J194" s="20"/>
    </row>
    <row r="195" spans="3:10" outlineLevel="1" x14ac:dyDescent="0.25">
      <c r="F195" s="13">
        <v>1.1499999999999999</v>
      </c>
      <c r="J195" s="20"/>
    </row>
    <row r="196" spans="3:10" outlineLevel="1" x14ac:dyDescent="0.25">
      <c r="D196" s="27"/>
      <c r="E196" s="14"/>
      <c r="F196" s="31"/>
      <c r="H196" s="20"/>
      <c r="I196" s="20"/>
      <c r="J196" s="20"/>
    </row>
    <row r="197" spans="3:10" outlineLevel="1" x14ac:dyDescent="0.25">
      <c r="C197" s="13"/>
      <c r="E197" s="25"/>
      <c r="F197" s="32"/>
      <c r="H197" s="20"/>
      <c r="I197" s="29"/>
      <c r="J197" s="20"/>
    </row>
    <row r="198" spans="3:10" outlineLevel="1" x14ac:dyDescent="0.25">
      <c r="F198" s="30">
        <v>2</v>
      </c>
      <c r="H198" s="20"/>
      <c r="I198" s="19"/>
      <c r="J198" s="20"/>
    </row>
    <row r="199" spans="3:10" outlineLevel="1" x14ac:dyDescent="0.25">
      <c r="E199" s="20"/>
      <c r="F199" s="20"/>
      <c r="H199" s="20"/>
      <c r="I199" s="28"/>
      <c r="J199" s="20"/>
    </row>
    <row r="200" spans="3:10" outlineLevel="1" x14ac:dyDescent="0.25">
      <c r="D200" s="36"/>
      <c r="F200" s="38">
        <f>MIN(70,2*F178/F176)</f>
        <v>40</v>
      </c>
      <c r="H200" s="20"/>
      <c r="J200" s="20"/>
    </row>
    <row r="201" spans="3:10" outlineLevel="1" x14ac:dyDescent="0.25">
      <c r="E201" s="20"/>
      <c r="F201" s="20"/>
      <c r="H201" s="20"/>
      <c r="I201" s="28"/>
      <c r="J201" s="20"/>
    </row>
    <row r="202" spans="3:10" outlineLevel="1" x14ac:dyDescent="0.25">
      <c r="D202" s="36"/>
      <c r="F202" s="20">
        <v>1</v>
      </c>
      <c r="H202" s="20"/>
      <c r="I202" s="28"/>
      <c r="J202" s="20"/>
    </row>
    <row r="203" spans="3:10" outlineLevel="1" x14ac:dyDescent="0.25">
      <c r="F203" s="20"/>
      <c r="H203" s="20"/>
      <c r="I203" s="28"/>
      <c r="J203" s="20"/>
    </row>
    <row r="204" spans="3:10" outlineLevel="1" x14ac:dyDescent="0.25">
      <c r="F204" s="13">
        <v>0.85</v>
      </c>
      <c r="H204" s="20"/>
      <c r="I204" s="28"/>
      <c r="J204" s="20"/>
    </row>
    <row r="205" spans="3:10" outlineLevel="1" x14ac:dyDescent="0.25">
      <c r="E205" s="42"/>
      <c r="H205" s="20"/>
      <c r="I205" s="28"/>
      <c r="J205" s="20"/>
    </row>
    <row r="206" spans="3:10" outlineLevel="1" x14ac:dyDescent="0.25">
      <c r="F206" s="13">
        <v>0.9</v>
      </c>
      <c r="H206" s="20"/>
    </row>
    <row r="207" spans="3:10" outlineLevel="1" x14ac:dyDescent="0.25">
      <c r="E207" s="20"/>
      <c r="F207" s="37"/>
      <c r="H207" s="20"/>
      <c r="I207" s="28"/>
      <c r="J207" s="20"/>
    </row>
    <row r="208" spans="3:10" outlineLevel="1" x14ac:dyDescent="0.25">
      <c r="F208" s="39">
        <f>F198*F204*F206</f>
        <v>1.53</v>
      </c>
      <c r="H208" s="20" t="str">
        <f>[3]!EQS(F208,"Units= ; EqnPrefix=Valem  ; EqnNo= 0; Multiplication= 1; ShowWorking= 0; EqnStyle= 2; Eqp$H$119_2")</f>
        <v/>
      </c>
      <c r="I208" s="19" t="s">
        <v>59</v>
      </c>
      <c r="J208" s="20"/>
    </row>
    <row r="209" spans="3:10" outlineLevel="1" x14ac:dyDescent="0.25">
      <c r="E209" s="20"/>
      <c r="F209" s="37"/>
      <c r="H209" s="20" t="str">
        <f>[3]!EQS(F208,"Units= ; EqnPrefix=Valem  ; EqnNo= 0; Multiplication= 1; ShowWorking= 1; EqnStyle= 2; Eqp$H$119_$H$120_3")</f>
        <v/>
      </c>
      <c r="I209" s="19" t="s">
        <v>60</v>
      </c>
      <c r="J209" s="20"/>
    </row>
    <row r="210" spans="3:10" outlineLevel="1" x14ac:dyDescent="0.25">
      <c r="E210" s="20"/>
      <c r="F210" s="37"/>
      <c r="H210" s="20"/>
      <c r="I210" s="28"/>
      <c r="J210" s="20"/>
    </row>
    <row r="211" spans="3:10" outlineLevel="1" x14ac:dyDescent="0.25">
      <c r="C211" s="43"/>
      <c r="F211" s="39">
        <f>F198*F204*F206</f>
        <v>1.53</v>
      </c>
      <c r="H211" s="20" t="str">
        <f>[3]!EQS(F211,"Units= ; EqnPrefix=Valem  ; EqnNo= 0; Multiplication= 1; ShowWorking= 0; EqnStyle= 2; Eqp$H$119_2")</f>
        <v/>
      </c>
      <c r="I211" s="19" t="s">
        <v>59</v>
      </c>
      <c r="J211" s="20"/>
    </row>
    <row r="212" spans="3:10" outlineLevel="1" x14ac:dyDescent="0.25">
      <c r="E212" s="20"/>
      <c r="F212" s="37"/>
      <c r="H212" s="20" t="str">
        <f>[3]!EQS(F211,"Units= ; EqnPrefix=Valem  ; EqnNo= 0; Multiplication= 1; ShowWorking= 1; EqnStyle= 2; Eqp$H$119_$H$120_3")</f>
        <v/>
      </c>
      <c r="I212" s="19" t="s">
        <v>60</v>
      </c>
      <c r="J212" s="20"/>
    </row>
    <row r="213" spans="3:10" outlineLevel="1" x14ac:dyDescent="0.25">
      <c r="E213" s="20"/>
      <c r="F213" s="20"/>
      <c r="H213" s="20"/>
      <c r="I213" s="28"/>
      <c r="J213" s="20"/>
    </row>
    <row r="214" spans="3:10" outlineLevel="1" x14ac:dyDescent="0.25">
      <c r="F214" s="91">
        <f>COS(RADIANS(45))^2</f>
        <v>0.50000000000000011</v>
      </c>
      <c r="H214" s="20" t="str">
        <f>[3]!EQS(F214,"Units= ; EqnPrefix=Valem  ; EqnNo= 0; Multiplication= 1; ShowWorking= 0; EqnStyle= 2; Eqp$H$75_2")</f>
        <v/>
      </c>
      <c r="I214" s="19" t="s">
        <v>70</v>
      </c>
      <c r="J214" s="20"/>
    </row>
    <row r="215" spans="3:10" outlineLevel="1" x14ac:dyDescent="0.25">
      <c r="E215" s="42"/>
      <c r="F215" s="40"/>
      <c r="H215" s="20"/>
      <c r="I215" s="28"/>
      <c r="J215" s="20"/>
    </row>
    <row r="216" spans="3:10" outlineLevel="1" x14ac:dyDescent="0.25">
      <c r="F216" s="91">
        <f>COS(RADIANS(45))^2</f>
        <v>0.50000000000000011</v>
      </c>
      <c r="H216" s="20" t="str">
        <f>[3]!EQS(F216,"Units= ; EqnPrefix=Valem  ; EqnNo= 0; Multiplication= 1; ShowWorking= 0; EqnStyle= 2; Eqp$H$75_2")</f>
        <v/>
      </c>
      <c r="I216" s="19" t="s">
        <v>70</v>
      </c>
      <c r="J216" s="20"/>
    </row>
    <row r="218" spans="3:10" x14ac:dyDescent="0.25">
      <c r="F218" s="34">
        <f>F189*F192*F195*F208*F177*F214</f>
        <v>103.98114301523243</v>
      </c>
      <c r="H218" s="20" t="str">
        <f>[3]!EQS(F218,"Units= ; EqnPrefix=Valem  ; EqnNo= 0; Multiplication= 1; ShowWorking= 0; EqnStyle= 2; Eqp$G$39_0")</f>
        <v/>
      </c>
      <c r="I218" s="19" t="s">
        <v>61</v>
      </c>
    </row>
    <row r="219" spans="3:10" x14ac:dyDescent="0.25">
      <c r="H219" s="13" t="str">
        <f>[3]!EQS(F218,"Units= ; EqnPrefix=Valem  ; EqnNo= 0; Multiplication= 1; ShowWorking= 1; EqnStyle= 2; Eqp$G$39_$G$40_1")</f>
        <v/>
      </c>
      <c r="I219" s="19" t="s">
        <v>129</v>
      </c>
    </row>
    <row r="221" spans="3:10" x14ac:dyDescent="0.25">
      <c r="F221" s="34">
        <f>F189*F192*F195*F211*F176*F216</f>
        <v>173.30190502538738</v>
      </c>
      <c r="H221" s="20" t="str">
        <f>[3]!EQS(F221,"Units= ; EqnPrefix=Valem  ; EqnNo= 0; Multiplication= 1; ShowWorking= 0; EqnStyle= 2; Eqp$G$39_0")</f>
        <v/>
      </c>
      <c r="I221" s="19" t="s">
        <v>63</v>
      </c>
    </row>
    <row r="222" spans="3:10" x14ac:dyDescent="0.25">
      <c r="H222" s="13" t="str">
        <f>[3]!EQS(F221,"Units= ; EqnPrefix=Valem  ; EqnNo= 0; Multiplication= 1; ShowWorking= 1; EqnStyle= 2; Eqp$G$39_$G$40_1")</f>
        <v/>
      </c>
      <c r="I222" s="19" t="s">
        <v>130</v>
      </c>
    </row>
    <row r="224" spans="3:10" x14ac:dyDescent="0.25">
      <c r="C224" s="24"/>
      <c r="D224" s="24"/>
      <c r="E224" s="18"/>
    </row>
    <row r="225" spans="4:10" outlineLevel="1" x14ac:dyDescent="0.25">
      <c r="E225" s="14"/>
    </row>
    <row r="226" spans="4:10" outlineLevel="1" x14ac:dyDescent="0.25"/>
    <row r="227" spans="4:10" outlineLevel="1" x14ac:dyDescent="0.25"/>
    <row r="228" spans="4:10" outlineLevel="1" x14ac:dyDescent="0.25"/>
    <row r="229" spans="4:10" outlineLevel="1" x14ac:dyDescent="0.25"/>
    <row r="230" spans="4:10" outlineLevel="1" x14ac:dyDescent="0.25">
      <c r="E230" s="14"/>
    </row>
    <row r="231" spans="4:10" outlineLevel="1" x14ac:dyDescent="0.25">
      <c r="F231" s="22">
        <v>36</v>
      </c>
    </row>
    <row r="232" spans="4:10" outlineLevel="1" x14ac:dyDescent="0.25">
      <c r="F232" s="22">
        <v>2.01E-2</v>
      </c>
    </row>
    <row r="233" spans="4:10" outlineLevel="1" x14ac:dyDescent="0.25">
      <c r="F233" s="22">
        <v>40.590000000000003</v>
      </c>
    </row>
    <row r="234" spans="4:10" outlineLevel="1" x14ac:dyDescent="0.25">
      <c r="D234" s="26"/>
      <c r="E234" s="17"/>
      <c r="F234" s="16"/>
      <c r="G234" s="45"/>
      <c r="I234" s="21"/>
    </row>
    <row r="235" spans="4:10" outlineLevel="1" x14ac:dyDescent="0.25">
      <c r="F235" s="33">
        <f>F232*F233</f>
        <v>0.81585900000000011</v>
      </c>
      <c r="H235" s="20" t="str">
        <f>[3]!EQS(F235,"Units= ; EqnPrefix=Valem  ; EqnNo= 0; Multiplication= 1; ShowWorking= 1; EqnStyle=2; Eqp$G$17_0")</f>
        <v/>
      </c>
      <c r="I235" s="19" t="s">
        <v>65</v>
      </c>
    </row>
    <row r="236" spans="4:10" outlineLevel="1" x14ac:dyDescent="0.25">
      <c r="F236" s="16"/>
      <c r="G236" s="45"/>
      <c r="I236" s="21"/>
    </row>
    <row r="237" spans="4:10" outlineLevel="1" x14ac:dyDescent="0.25">
      <c r="F237" s="30">
        <f>$F$6*LN(F231/$F$7)*$F$3</f>
        <v>26.251212335920307</v>
      </c>
      <c r="H237" s="20" t="str">
        <f>[3]!EQS(F237,"Units= ; EqnPrefix=Valem  ; EqnNo= 0; Multiplication= 1; ShowWorking= 0; EqnStyle= 2; Eqp$H$21_2")</f>
        <v/>
      </c>
      <c r="I237" s="19" t="s">
        <v>66</v>
      </c>
      <c r="J237" s="20"/>
    </row>
    <row r="238" spans="4:10" outlineLevel="1" x14ac:dyDescent="0.25">
      <c r="E238" s="17"/>
      <c r="F238" s="30"/>
      <c r="G238" s="45"/>
      <c r="H238" s="20" t="str">
        <f>[3]!EQS(F237,"Units= ; EqnPrefix=Valem  ; EqnNo= 0; Multiplication= 1; ShowWorking= 1; EqnStyle= 2; Eqp$H$21_$H$22_3")</f>
        <v/>
      </c>
      <c r="I238" s="19" t="s">
        <v>2</v>
      </c>
      <c r="J238" s="20"/>
    </row>
    <row r="239" spans="4:10" outlineLevel="1" x14ac:dyDescent="0.25">
      <c r="D239" s="29"/>
      <c r="F239" s="30"/>
      <c r="G239" s="45"/>
      <c r="H239" s="20"/>
      <c r="I239" s="28"/>
      <c r="J239" s="20"/>
    </row>
    <row r="240" spans="4:10" outlineLevel="1" x14ac:dyDescent="0.25">
      <c r="F240" s="30">
        <f>1/2*$F$5*F237^2</f>
        <v>422.08976632716445</v>
      </c>
      <c r="H240" s="20" t="str">
        <f>[3]!EQS(F240,"Units= ; EqnPrefix=Valem  ; EqnNo= 0; Multiplication= 1; ShowWorking= 0; EqnStyle= 2; Eqp$G$21_0")</f>
        <v/>
      </c>
      <c r="I240" s="19" t="s">
        <v>67</v>
      </c>
      <c r="J240" s="20"/>
    </row>
    <row r="241" spans="3:10" outlineLevel="1" x14ac:dyDescent="0.25">
      <c r="E241" s="25"/>
      <c r="F241" s="30"/>
      <c r="G241" s="47"/>
      <c r="H241" s="20" t="str">
        <f>[3]!EQS(F240,"Units= ; EqnPrefix=Valem  ; EqnNo= 0; Multiplication= 1; ShowWorking= 1; EqnStyle= 2; Eqp$G$21_$G$25_1")</f>
        <v/>
      </c>
      <c r="I241" s="19" t="s">
        <v>4</v>
      </c>
      <c r="J241" s="20"/>
    </row>
    <row r="242" spans="3:10" outlineLevel="1" x14ac:dyDescent="0.25">
      <c r="E242" s="25"/>
      <c r="F242" s="30"/>
      <c r="G242" s="47"/>
      <c r="I242" s="28"/>
      <c r="J242" s="20"/>
    </row>
    <row r="243" spans="3:10" outlineLevel="1" x14ac:dyDescent="0.25">
      <c r="F243" s="30">
        <f>(1+2.28/LN(F231/$F$7))^2</f>
        <v>1.8131807308313552</v>
      </c>
      <c r="G243" s="47"/>
      <c r="H243" s="20" t="str">
        <f>[3]!EQS(F243,"Units= ; EqnPrefix=Valem  ; EqnNo= 0; Multiplication= 1; ShowWorking= 0; EqnStyle= 2; Eqp$G$24_0")</f>
        <v/>
      </c>
      <c r="I243" s="19" t="s">
        <v>68</v>
      </c>
      <c r="J243" s="20"/>
    </row>
    <row r="244" spans="3:10" outlineLevel="1" x14ac:dyDescent="0.25">
      <c r="E244" s="25"/>
      <c r="F244" s="30"/>
      <c r="G244" s="47"/>
      <c r="H244" s="20" t="str">
        <f>[3]!EQS(F243,"Units= ; EqnPrefix=Valem  ; EqnNo= 0; Multiplication= 1; ShowWorking= 1; EqnStyle= 2; Eqp$G$24_$G$28_1")</f>
        <v/>
      </c>
      <c r="I244" s="19" t="s">
        <v>6</v>
      </c>
      <c r="J244" s="20"/>
    </row>
    <row r="245" spans="3:10" outlineLevel="1" x14ac:dyDescent="0.25">
      <c r="D245" s="13"/>
      <c r="E245" s="25"/>
      <c r="F245" s="30"/>
      <c r="G245" s="47"/>
      <c r="J245" s="20"/>
    </row>
    <row r="246" spans="3:10" outlineLevel="1" x14ac:dyDescent="0.25">
      <c r="F246" s="13">
        <v>1.1499999999999999</v>
      </c>
      <c r="J246" s="20"/>
    </row>
    <row r="247" spans="3:10" outlineLevel="1" x14ac:dyDescent="0.25">
      <c r="D247" s="27"/>
      <c r="E247" s="14"/>
      <c r="F247" s="31"/>
      <c r="H247" s="20"/>
      <c r="I247" s="20"/>
      <c r="J247" s="20"/>
    </row>
    <row r="248" spans="3:10" outlineLevel="1" x14ac:dyDescent="0.25">
      <c r="F248" s="20">
        <f>15*10^-6</f>
        <v>1.4999999999999999E-5</v>
      </c>
      <c r="H248" s="20"/>
      <c r="J248" s="20"/>
    </row>
    <row r="249" spans="3:10" outlineLevel="1" x14ac:dyDescent="0.25">
      <c r="F249" s="20">
        <f>F232</f>
        <v>2.01E-2</v>
      </c>
      <c r="H249" s="20"/>
      <c r="J249" s="20"/>
    </row>
    <row r="250" spans="3:10" outlineLevel="1" x14ac:dyDescent="0.25">
      <c r="C250" s="13"/>
      <c r="E250" s="25"/>
      <c r="F250" s="20"/>
      <c r="G250" s="47"/>
      <c r="H250" s="20"/>
      <c r="I250" s="29"/>
      <c r="J250" s="20"/>
    </row>
    <row r="251" spans="3:10" outlineLevel="1" x14ac:dyDescent="0.25">
      <c r="C251" s="13"/>
      <c r="F251" s="32">
        <f>F249*F237/F248</f>
        <v>35176.624530133209</v>
      </c>
      <c r="H251" s="20" t="str">
        <f>[3]!EQS(F251,"Units= ; EqnPrefix=Valem  ; EqnNo= 0; Multiplication= 1; ShowWorking= 1; EqnStyle= 2; Eqp$G$27_0")</f>
        <v/>
      </c>
      <c r="I251" s="19" t="s">
        <v>69</v>
      </c>
      <c r="J251" s="20"/>
    </row>
    <row r="252" spans="3:10" outlineLevel="1" x14ac:dyDescent="0.25">
      <c r="C252" s="13"/>
      <c r="E252" s="25"/>
      <c r="F252" s="32"/>
      <c r="H252" s="20"/>
      <c r="I252" s="29"/>
      <c r="J252" s="20"/>
    </row>
    <row r="253" spans="3:10" outlineLevel="1" x14ac:dyDescent="0.25">
      <c r="C253" s="13"/>
      <c r="D253" s="29"/>
      <c r="F253" s="30">
        <v>1.2</v>
      </c>
      <c r="H253" s="20"/>
      <c r="I253" s="29"/>
      <c r="J253" s="20"/>
    </row>
    <row r="254" spans="3:10" outlineLevel="1" x14ac:dyDescent="0.25">
      <c r="E254" s="20"/>
      <c r="F254" s="20"/>
      <c r="H254" s="20"/>
      <c r="I254" s="28"/>
      <c r="J254" s="20"/>
    </row>
    <row r="255" spans="3:10" outlineLevel="1" x14ac:dyDescent="0.25">
      <c r="F255" s="91">
        <f>COS(RADIANS(0))^2</f>
        <v>1</v>
      </c>
      <c r="H255" s="20" t="str">
        <f>[3]!EQS(F255,"Units= ; EqnPrefix=Valem  ; EqnNo= 0; Multiplication= 1; ShowWorking= 0; EqnStyle= 2; Eqp$H$75_2")</f>
        <v/>
      </c>
      <c r="I255" s="19" t="s">
        <v>46</v>
      </c>
      <c r="J255" s="20"/>
    </row>
    <row r="256" spans="3:10" outlineLevel="1" x14ac:dyDescent="0.25">
      <c r="E256" s="42"/>
      <c r="F256" s="40"/>
      <c r="H256" s="20"/>
      <c r="I256" s="28"/>
      <c r="J256" s="20"/>
    </row>
    <row r="257" spans="2:10" outlineLevel="1" x14ac:dyDescent="0.25">
      <c r="F257" s="91">
        <f>COS(RADIANS(90))^2</f>
        <v>3.7524718414124473E-33</v>
      </c>
      <c r="H257" s="20" t="str">
        <f>[3]!EQS(F257,"Units= ; EqnPrefix=Valem  ; EqnNo= 0; Multiplication= 1; ShowWorking= 0; EqnStyle= 2; Eqp$H$75_2")</f>
        <v/>
      </c>
      <c r="I257" s="19" t="s">
        <v>23</v>
      </c>
      <c r="J257" s="20"/>
    </row>
    <row r="259" spans="2:10" x14ac:dyDescent="0.25">
      <c r="F259" s="34">
        <f>F240*F243*F246*F253*F232*F255</f>
        <v>21.228585709476462</v>
      </c>
      <c r="H259" s="20" t="str">
        <f>[3]!EQS(F259,"Units= ; EqnPrefix=Valem  ; EqnNo= 0; Multiplication= 1; ShowWorking= 0; EqnStyle= 2; Eqp$G$39_0")</f>
        <v/>
      </c>
      <c r="I259" s="19" t="s">
        <v>71</v>
      </c>
    </row>
    <row r="260" spans="2:10" x14ac:dyDescent="0.25">
      <c r="H260" s="13" t="str">
        <f>[3]!EQS(F259,"Units= ; EqnPrefix=Valem  ; EqnNo= 0; Multiplication= 1; ShowWorking= 1; EqnStyle= 2; Eqp$G$39_$G$40_1")</f>
        <v/>
      </c>
      <c r="I260" s="19" t="s">
        <v>131</v>
      </c>
    </row>
    <row r="261" spans="2:10" x14ac:dyDescent="0.25">
      <c r="F261" s="53">
        <f>COS(RADIANS(45))*F259</f>
        <v>15.010876910170644</v>
      </c>
      <c r="H261" s="20" t="str">
        <f>[3]!EQS(F261,"Units= ; EqnPrefix=Valem  ; EqnNo= 0; Multiplication= 1; ShowWorking= 0; EqnStyle= 2; Eqp$H$259_2")</f>
        <v/>
      </c>
      <c r="I261" s="19" t="s">
        <v>73</v>
      </c>
    </row>
    <row r="262" spans="2:10" x14ac:dyDescent="0.25">
      <c r="I262" s="19"/>
    </row>
    <row r="264" spans="2:10" x14ac:dyDescent="0.25">
      <c r="F264" s="34">
        <f>F240*F243*F246*F253*F232*F257</f>
        <v>7.9659670107821104E-32</v>
      </c>
      <c r="H264" s="20" t="str">
        <f>[3]!EQS(F264,"Units= ; EqnPrefix=Valem  ; EqnNo= 0; Multiplication= 1; ShowWorking= 0; EqnStyle= 2; Eqp$G$39_0")</f>
        <v/>
      </c>
      <c r="I264" s="19" t="s">
        <v>74</v>
      </c>
    </row>
    <row r="265" spans="2:10" x14ac:dyDescent="0.25">
      <c r="H265" s="13" t="str">
        <f>[3]!EQS(F264,"Units= ; EqnPrefix=Valem  ; EqnNo= 0; Multiplication= 1; ShowWorking= 1; EqnStyle= 2; Eqp$G$39_$G$40_1")</f>
        <v/>
      </c>
      <c r="I265" s="19" t="s">
        <v>132</v>
      </c>
    </row>
    <row r="266" spans="2:10" x14ac:dyDescent="0.25">
      <c r="F266" s="53">
        <f>COS(RADIANS(45))*F264</f>
        <v>5.6327892920323625E-32</v>
      </c>
      <c r="H266" s="20" t="str">
        <f>[3]!EQS(F266,"Units= ; EqnPrefix=Valem  ; EqnNo= 0; Multiplication= 1; ShowWorking= 0; EqnStyle= 2; Eqp$H$264_2")</f>
        <v/>
      </c>
      <c r="I266" s="19" t="s">
        <v>75</v>
      </c>
    </row>
    <row r="267" spans="2:10" x14ac:dyDescent="0.25">
      <c r="I267" s="19"/>
    </row>
    <row r="271" spans="2:10" x14ac:dyDescent="0.25">
      <c r="C271" s="49"/>
    </row>
    <row r="272" spans="2:10" x14ac:dyDescent="0.25">
      <c r="B272" s="23"/>
      <c r="F272" s="22">
        <v>30</v>
      </c>
    </row>
    <row r="273" spans="2:9" x14ac:dyDescent="0.25">
      <c r="B273" s="23"/>
      <c r="F273" s="22">
        <v>21.8</v>
      </c>
    </row>
    <row r="274" spans="2:9" x14ac:dyDescent="0.25">
      <c r="B274" s="23"/>
      <c r="F274" s="22">
        <v>2</v>
      </c>
      <c r="G274" s="45"/>
    </row>
    <row r="275" spans="2:9" x14ac:dyDescent="0.25">
      <c r="B275" s="23"/>
      <c r="F275" s="16"/>
      <c r="G275" s="45"/>
      <c r="I275" s="21"/>
    </row>
    <row r="276" spans="2:9" x14ac:dyDescent="0.25">
      <c r="B276" s="23"/>
      <c r="F276" s="30">
        <f>$F$6*LN(F272/$F$7)*$F$3</f>
        <v>25.523749324312423</v>
      </c>
      <c r="H276" s="20" t="str">
        <f>[3]!EQS(F276,"Units= ; EqnPrefix=Valem  ; EqnNo= 0; Multiplication= 1; ShowWorking= 0; EqnStyle= 2; Eqp$H$21_2")</f>
        <v/>
      </c>
      <c r="I276" s="19" t="s">
        <v>76</v>
      </c>
    </row>
    <row r="277" spans="2:9" x14ac:dyDescent="0.25">
      <c r="B277" s="23"/>
      <c r="E277" s="17"/>
      <c r="F277" s="30"/>
      <c r="G277" s="45"/>
      <c r="H277" s="20" t="str">
        <f>[3]!EQS(F276,"Units= ; EqnPrefix=Valem  ; EqnNo= 0; Multiplication= 1; ShowWorking= 1; EqnStyle= 2; Eqp$H$21_$H$22_3")</f>
        <v/>
      </c>
      <c r="I277" s="19" t="s">
        <v>77</v>
      </c>
    </row>
    <row r="278" spans="2:9" x14ac:dyDescent="0.25">
      <c r="B278" s="23"/>
      <c r="D278" s="29"/>
      <c r="F278" s="30"/>
      <c r="G278" s="45"/>
      <c r="H278" s="20"/>
      <c r="I278" s="28"/>
    </row>
    <row r="279" spans="2:9" x14ac:dyDescent="0.25">
      <c r="B279" s="23"/>
      <c r="F279" s="30">
        <f>1/2*$F$5*F276^2</f>
        <v>399.0203399868326</v>
      </c>
      <c r="H279" s="20" t="str">
        <f>[3]!EQS(F279,"Units= ; EqnPrefix=Valem  ; EqnNo= 0; Multiplication= 1; ShowWorking= 0; EqnStyle= 2; Eqp$G$21_0")</f>
        <v/>
      </c>
      <c r="I279" s="19" t="s">
        <v>78</v>
      </c>
    </row>
    <row r="280" spans="2:9" x14ac:dyDescent="0.25">
      <c r="B280" s="23"/>
      <c r="E280" s="25"/>
      <c r="F280" s="30"/>
      <c r="G280" s="47"/>
      <c r="H280" s="20" t="str">
        <f>[3]!EQS(F279,"Units= ; EqnPrefix=Valem  ; EqnNo= 0; Multiplication= 1; ShowWorking= 1; EqnStyle= 2; Eqp$G$21_$G$25_1")</f>
        <v/>
      </c>
      <c r="I280" s="19" t="s">
        <v>79</v>
      </c>
    </row>
    <row r="281" spans="2:9" x14ac:dyDescent="0.25">
      <c r="B281" s="23"/>
      <c r="E281" s="25"/>
      <c r="F281" s="30"/>
      <c r="G281" s="47"/>
      <c r="I281" s="28"/>
    </row>
    <row r="282" spans="2:9" x14ac:dyDescent="0.25">
      <c r="B282" s="23"/>
      <c r="F282" s="30">
        <f>(1+2.28/LN(F272/$F$7))^2</f>
        <v>1.8398779018273839</v>
      </c>
      <c r="G282" s="47"/>
      <c r="H282" s="20" t="str">
        <f>[3]!EQS(F282,"Units= ; EqnPrefix=Valem  ; EqnNo= 0; Multiplication= 1; ShowWorking= 0; EqnStyle= 2; Eqp$G$24_0")</f>
        <v/>
      </c>
      <c r="I282" s="19" t="s">
        <v>80</v>
      </c>
    </row>
    <row r="283" spans="2:9" x14ac:dyDescent="0.25">
      <c r="B283" s="23"/>
      <c r="E283" s="25"/>
      <c r="F283" s="30"/>
      <c r="G283" s="47"/>
      <c r="H283" s="20" t="str">
        <f>[3]!EQS(F282,"Units= ; EqnPrefix=Valem  ; EqnNo= 0; Multiplication= 1; ShowWorking= 1; EqnStyle= 2; Eqp$G$24_$G$28_1")</f>
        <v/>
      </c>
      <c r="I283" s="19" t="s">
        <v>81</v>
      </c>
    </row>
    <row r="284" spans="2:9" x14ac:dyDescent="0.25">
      <c r="B284" s="23"/>
      <c r="E284" s="25"/>
      <c r="F284" s="30"/>
      <c r="G284" s="47"/>
      <c r="H284" s="20"/>
      <c r="I284" s="28"/>
    </row>
    <row r="285" spans="2:9" x14ac:dyDescent="0.25">
      <c r="B285" s="23"/>
      <c r="F285" s="22">
        <v>360</v>
      </c>
      <c r="H285" s="20"/>
      <c r="I285" s="28"/>
    </row>
    <row r="286" spans="2:9" x14ac:dyDescent="0.25">
      <c r="B286" s="23"/>
      <c r="E286" s="25"/>
      <c r="F286" s="30"/>
      <c r="G286" s="47"/>
      <c r="H286" s="20"/>
      <c r="I286" s="28"/>
    </row>
    <row r="287" spans="2:9" x14ac:dyDescent="0.25">
      <c r="B287" s="23"/>
      <c r="F287" s="30">
        <f>1.3-0.082*LN(F285)</f>
        <v>0.81733946942108726</v>
      </c>
      <c r="G287" s="47"/>
      <c r="H287" s="20" t="str">
        <f>[3]!EQS(F287,"Units= ; EqnPrefix=Valem  ; EqnNo= 0; Multiplication= 1; ShowWorking= 0; EqnStyle= 2; Eqp$G$24_0")</f>
        <v/>
      </c>
      <c r="I287" s="19" t="s">
        <v>82</v>
      </c>
    </row>
    <row r="288" spans="2:9" x14ac:dyDescent="0.25">
      <c r="B288" s="23"/>
      <c r="E288" s="79"/>
      <c r="F288" s="30"/>
      <c r="G288" s="47"/>
      <c r="H288" s="20"/>
      <c r="I288" s="28"/>
    </row>
    <row r="289" spans="2:28" x14ac:dyDescent="0.25">
      <c r="B289" s="23"/>
      <c r="F289" s="30">
        <v>1.1000000000000001</v>
      </c>
      <c r="G289" s="47"/>
      <c r="H289" s="20"/>
      <c r="I289" s="28"/>
    </row>
    <row r="290" spans="2:28" x14ac:dyDescent="0.25">
      <c r="B290" s="23"/>
      <c r="E290" s="25"/>
      <c r="F290" s="30"/>
      <c r="G290" s="47"/>
      <c r="H290" s="20"/>
      <c r="I290" s="28"/>
    </row>
    <row r="291" spans="2:28" x14ac:dyDescent="0.25">
      <c r="B291" s="23"/>
      <c r="C291" s="78"/>
      <c r="F291" s="30">
        <f>F279*F282*F287*F289*F273/1000</f>
        <v>14.389168156300371</v>
      </c>
      <c r="H291" s="20" t="str">
        <f>[3]!EQS(F291,"Units= ; EqnPrefix=Valem  ; EqnNo= 0; Multiplication= 1; ShowWorking= 0; EqnStyle= 2; Eqp$G$24_0")</f>
        <v/>
      </c>
      <c r="I291" s="19" t="s">
        <v>83</v>
      </c>
    </row>
    <row r="292" spans="2:28" x14ac:dyDescent="0.25">
      <c r="B292" s="23"/>
      <c r="C292" s="78"/>
      <c r="E292" s="79"/>
      <c r="F292" s="30"/>
      <c r="G292" s="80"/>
      <c r="H292" s="20" t="str">
        <f>[3]!EQS(F291,"Units= ; EqnPrefix=Valem  ; EqnNo= 0; Multiplication= 1; ShowWorking= 1; EqnStyle= 2; Eqp$G$24_$H$294_1")</f>
        <v/>
      </c>
      <c r="I292" s="19" t="s">
        <v>84</v>
      </c>
    </row>
    <row r="293" spans="2:28" x14ac:dyDescent="0.25">
      <c r="B293" s="23"/>
      <c r="E293" s="25"/>
      <c r="F293" s="30"/>
      <c r="G293" s="47"/>
      <c r="H293" s="20"/>
      <c r="I293" s="28"/>
    </row>
    <row r="294" spans="2:28" x14ac:dyDescent="0.25">
      <c r="F294" s="34">
        <f>F291*F274</f>
        <v>28.778336312600743</v>
      </c>
      <c r="H294" s="20" t="str">
        <f>[3]!EQS(F294,"Units= ; EqnPrefix=Valem  ; EqnNo= 0; Multiplication= 1; ShowWorking= 0; EqnStyle= 2; Eqp$G$24_0")</f>
        <v/>
      </c>
      <c r="I294" s="19" t="s">
        <v>85</v>
      </c>
    </row>
    <row r="295" spans="2:28" x14ac:dyDescent="0.25">
      <c r="E295" s="79"/>
      <c r="F295" s="53"/>
      <c r="G295" s="80"/>
      <c r="H295" s="20"/>
      <c r="I295" s="19"/>
    </row>
    <row r="297" spans="2:28" x14ac:dyDescent="0.25">
      <c r="F297" s="84">
        <f>COS(RADIANS(41))^2</f>
        <v>0.56958655048003271</v>
      </c>
      <c r="H297" s="20" t="str">
        <f>[3]!EQS(F297,"Units= ; EqnPrefix=Valem  ; EqnNo= 0; Multiplication= 1; ShowWorking= 0; EqnStyle= 2; Eqp$H$274_2")</f>
        <v/>
      </c>
      <c r="I297" s="19" t="s">
        <v>133</v>
      </c>
    </row>
    <row r="299" spans="2:28" x14ac:dyDescent="0.25">
      <c r="F299" s="34">
        <f>F294*F297</f>
        <v>16.391753308848521</v>
      </c>
      <c r="H299" s="20" t="str">
        <f>[3]!EQS(F299,"Units= ; EqnPrefix=Valem  ; EqnNo= 0; Multiplication= 1; ShowWorking= 0; EqnStyle= 2; Eqp$H$276_2")</f>
        <v/>
      </c>
      <c r="I299" s="19" t="s">
        <v>87</v>
      </c>
    </row>
    <row r="300" spans="2:28" x14ac:dyDescent="0.25">
      <c r="F300" s="53"/>
      <c r="G300" s="52"/>
      <c r="H300" s="20"/>
      <c r="I300" s="19"/>
      <c r="AB300" s="15"/>
    </row>
    <row r="301" spans="2:28" x14ac:dyDescent="0.25">
      <c r="F301" s="53">
        <f>COS(RADIANS(4))*F299</f>
        <v>16.351823821634806</v>
      </c>
      <c r="H301" s="20" t="str">
        <f>[3]!EQS(F301,"Units= ; EqnPrefix=Valem  ; EqnNo= 0; Multiplication= 1; ShowWorking= 0; EqnStyle= 2; Eqp$H$277_2")</f>
        <v/>
      </c>
      <c r="I301" s="19" t="s">
        <v>88</v>
      </c>
    </row>
    <row r="302" spans="2:28" x14ac:dyDescent="0.25">
      <c r="F302" s="53">
        <f>SIN(RADIANS(4))*F299</f>
        <v>1.143430909308871</v>
      </c>
      <c r="H302" s="20" t="str">
        <f>[3]!EQS(F302,"Units= ; EqnPrefix=Valem  ; EqnNo= 0; Multiplication= 1; ShowWorking= 0; EqnStyle=2; Eqp$H$278_2")</f>
        <v/>
      </c>
      <c r="I302" s="19" t="s">
        <v>89</v>
      </c>
      <c r="Z302" s="20"/>
    </row>
    <row r="303" spans="2:28" x14ac:dyDescent="0.25">
      <c r="Z303" s="20"/>
    </row>
    <row r="304" spans="2:28" x14ac:dyDescent="0.25">
      <c r="F304" s="84">
        <f>COS(RADIANS(49))^2</f>
        <v>0.43041344951996724</v>
      </c>
      <c r="H304" s="20" t="str">
        <f>[3]!EQS(F304,"Units= ; EqnPrefix=Valem  ; EqnNo= 0; Multiplication= 1; ShowWorking= 0; EqnStyle= 2; Eqp$H$278_2")</f>
        <v/>
      </c>
      <c r="I304" s="19" t="s">
        <v>134</v>
      </c>
      <c r="Z304" s="20"/>
    </row>
    <row r="305" spans="4:26" x14ac:dyDescent="0.25">
      <c r="Z305" s="20"/>
    </row>
    <row r="306" spans="4:26" x14ac:dyDescent="0.25">
      <c r="F306" s="34">
        <f>F294*F304</f>
        <v>12.38658300375222</v>
      </c>
      <c r="H306" s="20" t="str">
        <f>[3]!EQS(F306,"Units= ; EqnPrefix=Valem  ; EqnNo= 0; Multiplication= 1; ShowWorking= 0; EqnStyle= 2; Eqp$H$276_2")</f>
        <v/>
      </c>
      <c r="I306" s="19" t="s">
        <v>90</v>
      </c>
      <c r="Z306" s="20"/>
    </row>
    <row r="307" spans="4:26" x14ac:dyDescent="0.25">
      <c r="E307" s="51"/>
      <c r="F307" s="53"/>
      <c r="G307" s="52"/>
      <c r="H307" s="20"/>
      <c r="I307" s="19"/>
      <c r="Z307" s="20"/>
    </row>
    <row r="308" spans="4:26" x14ac:dyDescent="0.25">
      <c r="F308" s="53">
        <f>COS(RADIANS(4))*F306</f>
        <v>12.356409910102563</v>
      </c>
      <c r="H308" s="20" t="str">
        <f>[3]!EQS(F308,"Units= ; EqnPrefix=Valem  ; EqnNo= 0; Multiplication= 1; ShowWorking= 0; EqnStyle= 2; Eqp$H$277_2")</f>
        <v/>
      </c>
      <c r="I308" s="19" t="s">
        <v>91</v>
      </c>
      <c r="Z308" s="20"/>
    </row>
    <row r="309" spans="4:26" x14ac:dyDescent="0.25">
      <c r="F309" s="53">
        <f>SIN(RADIANS(4))*F306</f>
        <v>0.86404435208067043</v>
      </c>
      <c r="H309" s="20" t="str">
        <f>[3]!EQS(F309,"Units= ; EqnPrefix=Valem  ; EqnNo= 0; Multiplication= 1; ShowWorking= 0; EqnStyle=2; Eqp$H$278_2")</f>
        <v/>
      </c>
      <c r="I309" s="19" t="s">
        <v>92</v>
      </c>
      <c r="Z309" s="20"/>
    </row>
    <row r="311" spans="4:26" x14ac:dyDescent="0.25">
      <c r="D311" s="69"/>
      <c r="E311" s="71"/>
      <c r="F311" s="53"/>
      <c r="G311" s="52"/>
      <c r="H311" s="20"/>
      <c r="I311" s="19"/>
    </row>
    <row r="313" spans="4:26" x14ac:dyDescent="0.25">
      <c r="F313" s="81">
        <f>F279</f>
        <v>399.0203399868326</v>
      </c>
      <c r="H313" s="20"/>
    </row>
    <row r="314" spans="4:26" x14ac:dyDescent="0.25">
      <c r="F314" s="81">
        <f>F282</f>
        <v>1.8398779018273839</v>
      </c>
      <c r="G314" s="80"/>
      <c r="H314" s="20">
        <v>1.8</v>
      </c>
    </row>
    <row r="315" spans="4:26" x14ac:dyDescent="0.25">
      <c r="F315" s="81">
        <f>F9</f>
        <v>1.1499999999999999</v>
      </c>
      <c r="G315" s="52"/>
      <c r="H315" s="20">
        <v>1.05</v>
      </c>
    </row>
    <row r="316" spans="4:26" x14ac:dyDescent="0.25">
      <c r="F316" s="81">
        <v>1.2</v>
      </c>
      <c r="G316" s="52"/>
      <c r="H316" s="20"/>
    </row>
    <row r="317" spans="4:26" x14ac:dyDescent="0.25">
      <c r="F317" s="82">
        <v>8.8999999999999999E-3</v>
      </c>
      <c r="H317" s="20"/>
    </row>
    <row r="318" spans="4:26" x14ac:dyDescent="0.25">
      <c r="F318" s="81">
        <v>9</v>
      </c>
      <c r="H318" s="20"/>
    </row>
    <row r="319" spans="4:26" x14ac:dyDescent="0.25">
      <c r="F319" s="76">
        <f>F313*F314*F315*F316*F317*F318</f>
        <v>81.151329655142234</v>
      </c>
      <c r="H319" s="20" t="str">
        <f>[3]!EQS(F319,"Units= ; EqnPrefix=Valem  ; EqnNo= 0; Multiplication= 1; ShowWorking= 0; EqnStyle=2; Eqp$H$278_2")</f>
        <v/>
      </c>
      <c r="I319" s="19" t="s">
        <v>93</v>
      </c>
    </row>
    <row r="320" spans="4:26" x14ac:dyDescent="0.25">
      <c r="E320" s="73"/>
      <c r="F320" s="34"/>
      <c r="G320" s="52"/>
      <c r="H320" s="20"/>
      <c r="I320" s="19"/>
    </row>
    <row r="321" spans="2:9" x14ac:dyDescent="0.25">
      <c r="E321" s="51"/>
      <c r="F321" s="53"/>
      <c r="G321" s="52"/>
      <c r="H321" s="20"/>
      <c r="I321" s="19"/>
    </row>
    <row r="322" spans="2:9" x14ac:dyDescent="0.25">
      <c r="F322" s="53">
        <f>COS(RADIANS(45))*F319</f>
        <v>57.38265550145605</v>
      </c>
      <c r="H322" s="20" t="str">
        <f>[3]!EQS(F322,"Units= ; EqnPrefix=Valem  ; EqnNo= 0; Multiplication= 1; ShowWorking= 0; EqnStyle= 2; Eqp$H$277_2")</f>
        <v/>
      </c>
      <c r="I322" s="19" t="s">
        <v>135</v>
      </c>
    </row>
    <row r="323" spans="2:9" x14ac:dyDescent="0.25">
      <c r="F323" s="53">
        <f>SIN(RADIANS(45))*F319</f>
        <v>57.382655501456043</v>
      </c>
      <c r="H323" s="20" t="str">
        <f>[3]!EQS(F323,"Units= ; EqnPrefix=Valem  ; EqnNo= 0; Multiplication= 1; ShowWorking= 0; EqnStyle=2; Eqp$H$278_2")</f>
        <v/>
      </c>
      <c r="I323" s="19" t="s">
        <v>136</v>
      </c>
    </row>
    <row r="324" spans="2:9" x14ac:dyDescent="0.25">
      <c r="E324" s="51"/>
      <c r="F324" s="53"/>
      <c r="G324" s="52"/>
      <c r="H324" s="20"/>
      <c r="I324" s="19"/>
    </row>
    <row r="325" spans="2:9" x14ac:dyDescent="0.25">
      <c r="E325" s="51"/>
      <c r="F325" s="53"/>
      <c r="G325" s="52"/>
      <c r="H325" s="20"/>
      <c r="I325" s="19"/>
    </row>
    <row r="327" spans="2:9" x14ac:dyDescent="0.25">
      <c r="B327" s="23"/>
      <c r="F327" s="22">
        <v>36</v>
      </c>
    </row>
    <row r="328" spans="2:9" x14ac:dyDescent="0.25">
      <c r="B328" s="23"/>
      <c r="F328" s="22">
        <v>27.7</v>
      </c>
    </row>
    <row r="329" spans="2:9" x14ac:dyDescent="0.25">
      <c r="B329" s="23"/>
      <c r="F329" s="22">
        <v>3</v>
      </c>
      <c r="G329" s="45"/>
    </row>
    <row r="330" spans="2:9" x14ac:dyDescent="0.25">
      <c r="B330" s="23"/>
      <c r="F330" s="16"/>
      <c r="G330" s="45"/>
      <c r="I330" s="21"/>
    </row>
    <row r="331" spans="2:9" x14ac:dyDescent="0.25">
      <c r="B331" s="23"/>
      <c r="F331" s="30">
        <f>$F$6*LN(F327/$F$7)*$F$3</f>
        <v>26.251212335920307</v>
      </c>
      <c r="H331" s="20" t="str">
        <f>[3]!EQS(F331,"Units= ; EqnPrefix=Valem  ; EqnNo= 0; Multiplication= 1; ShowWorking= 0; EqnStyle= 2; Eqp$H$21_2")</f>
        <v/>
      </c>
      <c r="I331" s="19" t="s">
        <v>96</v>
      </c>
    </row>
    <row r="332" spans="2:9" x14ac:dyDescent="0.25">
      <c r="B332" s="23"/>
      <c r="E332" s="17"/>
      <c r="F332" s="30"/>
      <c r="G332" s="45"/>
      <c r="H332" s="20" t="str">
        <f>[3]!EQS(F331,"Units= ; EqnPrefix=Valem  ; EqnNo= 0; Multiplication= 1; ShowWorking= 1; EqnStyle= 2; Eqp$H$21_$H$22_3")</f>
        <v/>
      </c>
      <c r="I332" s="19" t="s">
        <v>2</v>
      </c>
    </row>
    <row r="333" spans="2:9" x14ac:dyDescent="0.25">
      <c r="B333" s="23"/>
      <c r="D333" s="29"/>
      <c r="F333" s="30"/>
      <c r="G333" s="45"/>
      <c r="H333" s="20"/>
      <c r="I333" s="28"/>
    </row>
    <row r="334" spans="2:9" x14ac:dyDescent="0.25">
      <c r="B334" s="23"/>
      <c r="F334" s="30">
        <f>1/2*$F$5*F331^2</f>
        <v>422.08976632716445</v>
      </c>
      <c r="H334" s="20" t="str">
        <f>[3]!EQS(F334,"Units= ; EqnPrefix=Valem  ; EqnNo= 0; Multiplication= 1; ShowWorking= 0; EqnStyle= 2; Eqp$G$21_0")</f>
        <v/>
      </c>
      <c r="I334" s="19" t="s">
        <v>97</v>
      </c>
    </row>
    <row r="335" spans="2:9" x14ac:dyDescent="0.25">
      <c r="B335" s="23"/>
      <c r="E335" s="25"/>
      <c r="F335" s="30"/>
      <c r="G335" s="47"/>
      <c r="H335" s="20" t="str">
        <f>[3]!EQS(F334,"Units= ; EqnPrefix=Valem  ; EqnNo= 0; Multiplication= 1; ShowWorking= 1; EqnStyle= 2; Eqp$G$21_$G$25_1")</f>
        <v/>
      </c>
      <c r="I335" s="19" t="s">
        <v>4</v>
      </c>
    </row>
    <row r="336" spans="2:9" x14ac:dyDescent="0.25">
      <c r="B336" s="23"/>
      <c r="E336" s="25"/>
      <c r="F336" s="30"/>
      <c r="G336" s="47"/>
      <c r="I336" s="28"/>
    </row>
    <row r="337" spans="2:9" x14ac:dyDescent="0.25">
      <c r="B337" s="23"/>
      <c r="F337" s="30">
        <f>(1+2.28/LN(F327/$F$7))^2</f>
        <v>1.8131807308313552</v>
      </c>
      <c r="G337" s="47"/>
      <c r="H337" s="20" t="str">
        <f>[3]!EQS(F337,"Units= ; EqnPrefix=Valem  ; EqnNo= 0; Multiplication= 1; ShowWorking= 0; EqnStyle= 2; Eqp$G$24_0")</f>
        <v/>
      </c>
      <c r="I337" s="19" t="s">
        <v>98</v>
      </c>
    </row>
    <row r="338" spans="2:9" x14ac:dyDescent="0.25">
      <c r="B338" s="23"/>
      <c r="E338" s="25"/>
      <c r="F338" s="30"/>
      <c r="G338" s="47"/>
      <c r="H338" s="20" t="str">
        <f>[3]!EQS(F337,"Units= ; EqnPrefix=Valem  ; EqnNo= 0; Multiplication= 1; ShowWorking= 1; EqnStyle= 2; Eqp$G$24_$G$28_1")</f>
        <v/>
      </c>
      <c r="I338" s="19" t="s">
        <v>6</v>
      </c>
    </row>
    <row r="339" spans="2:9" x14ac:dyDescent="0.25">
      <c r="B339" s="23"/>
      <c r="E339" s="25"/>
      <c r="F339" s="30"/>
      <c r="G339" s="47"/>
      <c r="H339" s="20"/>
      <c r="I339" s="28"/>
    </row>
    <row r="340" spans="2:9" x14ac:dyDescent="0.25">
      <c r="B340" s="23"/>
      <c r="F340" s="22">
        <v>360</v>
      </c>
      <c r="H340" s="20"/>
      <c r="I340" s="28"/>
    </row>
    <row r="341" spans="2:9" x14ac:dyDescent="0.25">
      <c r="B341" s="23"/>
      <c r="E341" s="25"/>
      <c r="F341" s="30"/>
      <c r="G341" s="47"/>
      <c r="H341" s="20"/>
      <c r="I341" s="28"/>
    </row>
    <row r="342" spans="2:9" x14ac:dyDescent="0.25">
      <c r="B342" s="23"/>
      <c r="F342" s="30">
        <f>1.3-0.082*LN(F340)</f>
        <v>0.81733946942108726</v>
      </c>
      <c r="G342" s="47"/>
      <c r="H342" s="20" t="str">
        <f>[3]!EQS(F342,"Units= ; EqnPrefix=Valem  ; EqnNo= 0; Multiplication= 1; ShowWorking= 0; EqnStyle= 2; Eqp$G$24_0")</f>
        <v/>
      </c>
      <c r="I342" s="19" t="s">
        <v>99</v>
      </c>
    </row>
    <row r="343" spans="2:9" x14ac:dyDescent="0.25">
      <c r="B343" s="23"/>
      <c r="E343" s="79"/>
      <c r="F343" s="30"/>
      <c r="G343" s="47"/>
      <c r="H343" s="20"/>
      <c r="I343" s="28"/>
    </row>
    <row r="344" spans="2:9" x14ac:dyDescent="0.25">
      <c r="B344" s="23"/>
      <c r="F344" s="30">
        <v>1.1000000000000001</v>
      </c>
      <c r="G344" s="47"/>
      <c r="H344" s="20"/>
      <c r="I344" s="28"/>
    </row>
    <row r="345" spans="2:9" x14ac:dyDescent="0.25">
      <c r="B345" s="23"/>
      <c r="E345" s="25"/>
      <c r="F345" s="30"/>
      <c r="G345" s="47"/>
      <c r="H345" s="20"/>
      <c r="I345" s="28"/>
    </row>
    <row r="346" spans="2:9" x14ac:dyDescent="0.25">
      <c r="B346" s="23"/>
      <c r="C346" s="78"/>
      <c r="F346" s="30">
        <f>F334*F337*F342*F344*F328/1000</f>
        <v>19.059909909548939</v>
      </c>
      <c r="H346" s="20" t="str">
        <f>[3]!EQS(F346,"Units= ; EqnPrefix=Valem  ; EqnNo= 0; Multiplication= 1; ShowWorking= 0; EqnStyle= 2; Eqp$G$24_0")</f>
        <v/>
      </c>
      <c r="I346" s="19" t="s">
        <v>100</v>
      </c>
    </row>
    <row r="347" spans="2:9" x14ac:dyDescent="0.25">
      <c r="B347" s="23"/>
      <c r="C347" s="78"/>
      <c r="E347" s="79"/>
      <c r="F347" s="30"/>
      <c r="G347" s="80"/>
      <c r="H347" s="20" t="str">
        <f>[3]!EQS(F346,"Units= ; EqnPrefix=Valem  ; EqnNo= 0; Multiplication= 1; ShowWorking= 1; EqnStyle= 2; Eqp$G$24_$H$294_1")</f>
        <v/>
      </c>
      <c r="I347" s="19" t="s">
        <v>101</v>
      </c>
    </row>
    <row r="348" spans="2:9" x14ac:dyDescent="0.25">
      <c r="B348" s="23"/>
      <c r="E348" s="25"/>
      <c r="F348" s="30"/>
      <c r="G348" s="47"/>
      <c r="H348" s="20"/>
      <c r="I348" s="28"/>
    </row>
    <row r="349" spans="2:9" x14ac:dyDescent="0.25">
      <c r="F349" s="34">
        <f>F346*F329</f>
        <v>57.179729728646819</v>
      </c>
      <c r="H349" s="20" t="str">
        <f>[3]!EQS(F349,"Units= ; EqnPrefix=Valem  ; EqnNo= 0; Multiplication= 1; ShowWorking= 0; EqnStyle= 2; Eqp$G$24_0")</f>
        <v/>
      </c>
      <c r="I349" s="19" t="s">
        <v>102</v>
      </c>
    </row>
    <row r="350" spans="2:9" x14ac:dyDescent="0.25">
      <c r="E350" s="79"/>
      <c r="F350" s="53"/>
      <c r="G350" s="80"/>
      <c r="H350" s="20"/>
      <c r="I350" s="19"/>
    </row>
    <row r="352" spans="2:9" x14ac:dyDescent="0.25">
      <c r="F352" s="84">
        <f>COS(RADIANS(41))^2</f>
        <v>0.56958655048003271</v>
      </c>
      <c r="H352" s="20" t="str">
        <f>[3]!EQS(F352,"Units= ; EqnPrefix=Valem  ; EqnNo= 0; Multiplication= 1; ShowWorking= 0; EqnStyle= 2; Eqp$H$274_2")</f>
        <v/>
      </c>
      <c r="I352" s="19" t="s">
        <v>133</v>
      </c>
    </row>
    <row r="353" spans="4:9" x14ac:dyDescent="0.25">
      <c r="F353" s="44"/>
    </row>
    <row r="354" spans="4:9" x14ac:dyDescent="0.25">
      <c r="F354" s="34">
        <f>F349*F352</f>
        <v>32.568805013520517</v>
      </c>
      <c r="H354" s="20" t="str">
        <f>[3]!EQS(F354,"Units= ; EqnPrefix=Valem  ; EqnNo= 0; Multiplication= 1; ShowWorking= 0; EqnStyle= 2; Eqp$H$276_2")</f>
        <v/>
      </c>
      <c r="I354" s="19" t="s">
        <v>103</v>
      </c>
    </row>
    <row r="355" spans="4:9" x14ac:dyDescent="0.25">
      <c r="E355" s="51"/>
      <c r="F355" s="53"/>
      <c r="G355" s="52"/>
      <c r="H355" s="20"/>
      <c r="I355" s="19"/>
    </row>
    <row r="356" spans="4:9" x14ac:dyDescent="0.25">
      <c r="F356" s="53">
        <f>COS(RADIANS(4))*F354</f>
        <v>32.489469041409997</v>
      </c>
      <c r="H356" s="20" t="str">
        <f>[3]!EQS(F356,"Units= ; EqnPrefix=Valem  ; EqnNo= 0; Multiplication= 1; ShowWorking= 0; EqnStyle= 2; Eqp$H$277_2")</f>
        <v/>
      </c>
      <c r="I356" s="19" t="s">
        <v>104</v>
      </c>
    </row>
    <row r="357" spans="4:9" x14ac:dyDescent="0.25">
      <c r="F357" s="53">
        <f>SIN(RADIANS(4))*F354</f>
        <v>2.2718849918031805</v>
      </c>
      <c r="H357" s="20" t="str">
        <f>[3]!EQS(F357,"Units= ; EqnPrefix=Valem  ; EqnNo= 0; Multiplication= 1; ShowWorking= 0; EqnStyle=2; Eqp$H$278_2")</f>
        <v/>
      </c>
      <c r="I357" s="19" t="s">
        <v>105</v>
      </c>
    </row>
    <row r="359" spans="4:9" x14ac:dyDescent="0.25">
      <c r="F359" s="84">
        <f>COS(RADIANS(49))^2</f>
        <v>0.43041344951996724</v>
      </c>
      <c r="H359" s="20" t="str">
        <f>[3]!EQS(F359,"Units= ; EqnPrefix=Valem  ; EqnNo= 0; Multiplication= 1; ShowWorking= 0; EqnStyle= 2; Eqp$H$278_2")</f>
        <v/>
      </c>
      <c r="I359" s="19" t="s">
        <v>134</v>
      </c>
    </row>
    <row r="361" spans="4:9" x14ac:dyDescent="0.25">
      <c r="F361" s="34">
        <f>F349*F359</f>
        <v>24.610924715126298</v>
      </c>
      <c r="H361" s="20" t="str">
        <f>[3]!EQS(F361,"Units= ; EqnPrefix=Valem  ; EqnNo= 0; Multiplication= 1; ShowWorking= 0; EqnStyle= 2; Eqp$H$276_2")</f>
        <v/>
      </c>
      <c r="I361" s="19" t="s">
        <v>106</v>
      </c>
    </row>
    <row r="362" spans="4:9" x14ac:dyDescent="0.25">
      <c r="E362" s="51"/>
      <c r="F362" s="53"/>
      <c r="G362" s="52"/>
      <c r="H362" s="20"/>
      <c r="I362" s="19"/>
    </row>
    <row r="363" spans="4:9" x14ac:dyDescent="0.25">
      <c r="F363" s="53">
        <f>COS(RADIANS(4))*F361</f>
        <v>24.550973739461</v>
      </c>
      <c r="H363" s="20" t="str">
        <f>[3]!EQS(F363,"Units= ; EqnPrefix=Valem  ; EqnNo= 0; Multiplication= 1; ShowWorking= 0; EqnStyle= 2; Eqp$H$277_2")</f>
        <v/>
      </c>
      <c r="I363" s="19" t="s">
        <v>107</v>
      </c>
    </row>
    <row r="364" spans="4:9" x14ac:dyDescent="0.25">
      <c r="F364" s="53">
        <f>SIN(RADIANS(4))*F361</f>
        <v>1.716771323709352</v>
      </c>
      <c r="H364" s="20" t="str">
        <f>[3]!EQS(F364,"Units= ; EqnPrefix=Valem  ; EqnNo= 0; Multiplication= 1; ShowWorking= 0; EqnStyle=2; Eqp$H$278_2")</f>
        <v/>
      </c>
      <c r="I364" s="19" t="s">
        <v>108</v>
      </c>
    </row>
    <row r="365" spans="4:9" x14ac:dyDescent="0.25">
      <c r="E365" s="51"/>
      <c r="F365" s="53"/>
      <c r="G365" s="52"/>
      <c r="H365" s="20"/>
      <c r="I365" s="19"/>
    </row>
    <row r="366" spans="4:9" x14ac:dyDescent="0.25">
      <c r="E366" s="51"/>
      <c r="F366" s="53"/>
      <c r="G366" s="52"/>
      <c r="H366" s="20"/>
      <c r="I366" s="19"/>
    </row>
    <row r="367" spans="4:9" x14ac:dyDescent="0.25">
      <c r="D367" s="49"/>
      <c r="E367" s="51"/>
      <c r="F367" s="53"/>
      <c r="G367" s="52"/>
      <c r="H367" s="20"/>
      <c r="I367" s="19"/>
    </row>
    <row r="368" spans="4:9" x14ac:dyDescent="0.25">
      <c r="E368" s="73"/>
      <c r="F368" s="34"/>
      <c r="G368" s="52"/>
      <c r="H368" s="20"/>
      <c r="I368" s="19"/>
    </row>
    <row r="369" spans="2:9" x14ac:dyDescent="0.25">
      <c r="F369" s="81">
        <f>F334</f>
        <v>422.08976632716445</v>
      </c>
      <c r="H369" s="20"/>
    </row>
    <row r="370" spans="2:9" x14ac:dyDescent="0.25">
      <c r="F370" s="81">
        <f>F337</f>
        <v>1.8131807308313552</v>
      </c>
      <c r="G370" s="80"/>
      <c r="H370" s="20">
        <v>1.8</v>
      </c>
    </row>
    <row r="371" spans="2:9" x14ac:dyDescent="0.25">
      <c r="F371" s="81">
        <f>F9</f>
        <v>1.1499999999999999</v>
      </c>
      <c r="G371" s="52"/>
      <c r="H371" s="20">
        <v>1.05</v>
      </c>
    </row>
    <row r="372" spans="2:9" x14ac:dyDescent="0.25">
      <c r="F372" s="81">
        <v>1.2</v>
      </c>
      <c r="G372" s="52"/>
      <c r="H372" s="20"/>
    </row>
    <row r="373" spans="2:9" x14ac:dyDescent="0.25">
      <c r="F373" s="83">
        <v>2.1000000000000001E-2</v>
      </c>
      <c r="H373" s="20"/>
    </row>
    <row r="374" spans="2:9" x14ac:dyDescent="0.25">
      <c r="F374" s="81">
        <v>19</v>
      </c>
      <c r="H374" s="20"/>
    </row>
    <row r="375" spans="2:9" x14ac:dyDescent="0.25">
      <c r="F375" s="76">
        <f>F369*F370*F371*F372*F373*F374</f>
        <v>421.40326856124921</v>
      </c>
      <c r="H375" s="20" t="str">
        <f>[3]!EQS(F375,"Units= ; EqnPrefix=Valem  ; EqnNo= 0; Multiplication= 1; ShowWorking= 0; EqnStyle=2; Eqp$H$278_2")</f>
        <v/>
      </c>
      <c r="I375" s="19" t="s">
        <v>109</v>
      </c>
    </row>
    <row r="376" spans="2:9" x14ac:dyDescent="0.25">
      <c r="E376" s="73"/>
      <c r="F376" s="34"/>
      <c r="G376" s="52"/>
      <c r="H376" s="20"/>
      <c r="I376" s="19"/>
    </row>
    <row r="377" spans="2:9" x14ac:dyDescent="0.25">
      <c r="E377" s="73"/>
      <c r="F377" s="34"/>
      <c r="G377" s="52"/>
      <c r="H377" s="20"/>
      <c r="I377" s="19"/>
    </row>
    <row r="378" spans="2:9" x14ac:dyDescent="0.25">
      <c r="E378" s="51"/>
      <c r="F378" s="53"/>
      <c r="G378" s="52"/>
      <c r="H378" s="20"/>
      <c r="I378" s="19"/>
    </row>
    <row r="379" spans="2:9" x14ac:dyDescent="0.25">
      <c r="F379" s="53">
        <f>COS(RADIANS(45))*F375</f>
        <v>297.97710881383517</v>
      </c>
      <c r="H379" s="20" t="str">
        <f>[3]!EQS(F379,"Units= ; EqnPrefix=Valem  ; EqnNo= 0; Multiplication= 1; ShowWorking= 0; EqnStyle= 2; Eqp$H$277_2")</f>
        <v/>
      </c>
      <c r="I379" s="19" t="s">
        <v>137</v>
      </c>
    </row>
    <row r="380" spans="2:9" x14ac:dyDescent="0.25">
      <c r="F380" s="53">
        <f>SIN(RADIANS(45))*F375</f>
        <v>297.97710881383512</v>
      </c>
      <c r="H380" s="20" t="str">
        <f>[3]!EQS(F380,"Units= ; EqnPrefix=Valem  ; EqnNo= 0; Multiplication= 1; ShowWorking= 0; EqnStyle=2; Eqp$H$278_2")</f>
        <v/>
      </c>
      <c r="I380" s="19" t="s">
        <v>138</v>
      </c>
    </row>
    <row r="381" spans="2:9" x14ac:dyDescent="0.25">
      <c r="E381" s="51"/>
      <c r="F381" s="53"/>
      <c r="G381" s="52"/>
      <c r="H381" s="20"/>
      <c r="I381" s="19"/>
    </row>
    <row r="383" spans="2:9" x14ac:dyDescent="0.25">
      <c r="B383" s="23"/>
      <c r="F383" s="22">
        <v>41</v>
      </c>
    </row>
    <row r="384" spans="2:9" x14ac:dyDescent="0.25">
      <c r="B384" s="23"/>
      <c r="F384" s="22">
        <v>16</v>
      </c>
    </row>
    <row r="385" spans="2:9" x14ac:dyDescent="0.25">
      <c r="B385" s="23"/>
      <c r="F385" s="22">
        <v>1</v>
      </c>
      <c r="G385" s="45"/>
    </row>
    <row r="386" spans="2:9" x14ac:dyDescent="0.25">
      <c r="B386" s="23"/>
      <c r="F386" s="16"/>
      <c r="G386" s="45"/>
      <c r="I386" s="21"/>
    </row>
    <row r="387" spans="2:9" x14ac:dyDescent="0.25">
      <c r="B387" s="23"/>
      <c r="F387" s="30">
        <f>$F$6*LN(F383/$F$7)*$F$3</f>
        <v>26.770124317630611</v>
      </c>
      <c r="H387" s="20" t="str">
        <f>[3]!EQS(F387,"Units= ; EqnPrefix=Valem  ; EqnNo= 0; Multiplication= 1; ShowWorking= 0; EqnStyle= 2; Eqp$H$21_2")</f>
        <v/>
      </c>
      <c r="I387" s="19" t="s">
        <v>112</v>
      </c>
    </row>
    <row r="388" spans="2:9" x14ac:dyDescent="0.25">
      <c r="B388" s="23"/>
      <c r="E388" s="17"/>
      <c r="F388" s="30"/>
      <c r="G388" s="45"/>
      <c r="H388" s="20" t="str">
        <f>[3]!EQS(F387,"Units= ; EqnPrefix=Valem  ; EqnNo= 0; Multiplication= 1; ShowWorking= 1; EqnStyle= 2; Eqp$H$21_$H$22_3")</f>
        <v/>
      </c>
      <c r="I388" s="19" t="s">
        <v>54</v>
      </c>
    </row>
    <row r="389" spans="2:9" x14ac:dyDescent="0.25">
      <c r="B389" s="23"/>
      <c r="D389" s="29"/>
      <c r="F389" s="30"/>
      <c r="G389" s="45"/>
      <c r="H389" s="20"/>
      <c r="I389" s="28"/>
    </row>
    <row r="390" spans="2:9" x14ac:dyDescent="0.25">
      <c r="B390" s="23"/>
      <c r="F390" s="30">
        <f>1/2*$F$5*F387^2</f>
        <v>438.94172803860613</v>
      </c>
      <c r="H390" s="20" t="str">
        <f>[3]!EQS(F390,"Units= ; EqnPrefix=Valem  ; EqnNo= 0; Multiplication= 1; ShowWorking= 0; EqnStyle= 2; Eqp$G$21_0")</f>
        <v/>
      </c>
      <c r="I390" s="19" t="s">
        <v>113</v>
      </c>
    </row>
    <row r="391" spans="2:9" x14ac:dyDescent="0.25">
      <c r="B391" s="23"/>
      <c r="E391" s="25"/>
      <c r="F391" s="30"/>
      <c r="G391" s="47"/>
      <c r="H391" s="20" t="str">
        <f>[3]!EQS(F390,"Units= ; EqnPrefix=Valem  ; EqnNo= 0; Multiplication= 1; ShowWorking= 1; EqnStyle= 2; Eqp$G$21_$G$25_1")</f>
        <v/>
      </c>
      <c r="I391" s="19" t="s">
        <v>56</v>
      </c>
    </row>
    <row r="392" spans="2:9" x14ac:dyDescent="0.25">
      <c r="B392" s="23"/>
      <c r="E392" s="25"/>
      <c r="F392" s="30"/>
      <c r="G392" s="47"/>
      <c r="I392" s="28"/>
    </row>
    <row r="393" spans="2:9" x14ac:dyDescent="0.25">
      <c r="B393" s="23"/>
      <c r="F393" s="30">
        <f>(1+2.28/LN(F383/$F$7))^2</f>
        <v>1.7951352851913878</v>
      </c>
      <c r="G393" s="47"/>
      <c r="H393" s="20" t="str">
        <f>[3]!EQS(F393,"Units= ; EqnPrefix=Valem  ; EqnNo= 0; Multiplication= 1; ShowWorking= 0; EqnStyle= 2; Eqp$G$24_0")</f>
        <v/>
      </c>
      <c r="I393" s="19" t="s">
        <v>114</v>
      </c>
    </row>
    <row r="394" spans="2:9" x14ac:dyDescent="0.25">
      <c r="B394" s="23"/>
      <c r="E394" s="25"/>
      <c r="F394" s="30"/>
      <c r="G394" s="47"/>
      <c r="H394" s="20" t="str">
        <f>[3]!EQS(F393,"Units= ; EqnPrefix=Valem  ; EqnNo= 0; Multiplication= 1; ShowWorking= 1; EqnStyle= 2; Eqp$G$24_$G$28_1")</f>
        <v/>
      </c>
      <c r="I394" s="19" t="s">
        <v>58</v>
      </c>
    </row>
    <row r="395" spans="2:9" x14ac:dyDescent="0.25">
      <c r="B395" s="23"/>
      <c r="E395" s="25"/>
      <c r="F395" s="30"/>
      <c r="G395" s="47"/>
      <c r="H395" s="20"/>
      <c r="I395" s="28"/>
    </row>
    <row r="396" spans="2:9" x14ac:dyDescent="0.25">
      <c r="B396" s="23"/>
      <c r="F396" s="22">
        <v>360</v>
      </c>
      <c r="H396" s="20"/>
      <c r="I396" s="28"/>
    </row>
    <row r="397" spans="2:9" x14ac:dyDescent="0.25">
      <c r="B397" s="23"/>
      <c r="E397" s="25"/>
      <c r="F397" s="30"/>
      <c r="G397" s="47"/>
      <c r="H397" s="20"/>
      <c r="I397" s="28"/>
    </row>
    <row r="398" spans="2:9" x14ac:dyDescent="0.25">
      <c r="B398" s="23"/>
      <c r="F398" s="30">
        <f>1.3-0.082*LN(F396)</f>
        <v>0.81733946942108726</v>
      </c>
      <c r="G398" s="47"/>
      <c r="H398" s="20" t="str">
        <f>[3]!EQS(F398,"Units= ; EqnPrefix=Valem  ; EqnNo= 0; Multiplication= 1; ShowWorking= 0; EqnStyle= 2; Eqp$G$24_0")</f>
        <v/>
      </c>
      <c r="I398" s="19" t="s">
        <v>115</v>
      </c>
    </row>
    <row r="399" spans="2:9" x14ac:dyDescent="0.25">
      <c r="B399" s="23"/>
      <c r="E399" s="79"/>
      <c r="F399" s="30"/>
      <c r="G399" s="47"/>
      <c r="H399" s="20"/>
      <c r="I399" s="28"/>
    </row>
    <row r="400" spans="2:9" x14ac:dyDescent="0.25">
      <c r="B400" s="23"/>
      <c r="F400" s="30">
        <v>1.2</v>
      </c>
      <c r="G400" s="47"/>
      <c r="H400" s="20"/>
      <c r="I400" s="28"/>
    </row>
    <row r="401" spans="2:9" x14ac:dyDescent="0.25">
      <c r="B401" s="23"/>
      <c r="E401" s="25"/>
      <c r="F401" s="30"/>
      <c r="G401" s="47"/>
      <c r="H401" s="20"/>
      <c r="I401" s="28"/>
    </row>
    <row r="402" spans="2:9" x14ac:dyDescent="0.25">
      <c r="B402" s="23"/>
      <c r="C402" s="78"/>
      <c r="F402" s="30">
        <f>F390*F393*F398*F400*F384/1000</f>
        <v>12.365388132445736</v>
      </c>
      <c r="H402" s="20" t="str">
        <f>[3]!EQS(F402,"Units= ; EqnPrefix=Valem  ; EqnNo= 0; Multiplication= 1; ShowWorking= 0; EqnStyle= 2; Eqp$G$24_0")</f>
        <v/>
      </c>
      <c r="I402" s="19" t="s">
        <v>116</v>
      </c>
    </row>
    <row r="403" spans="2:9" x14ac:dyDescent="0.25">
      <c r="B403" s="23"/>
      <c r="C403" s="78"/>
      <c r="E403" s="79"/>
      <c r="F403" s="30"/>
      <c r="G403" s="80"/>
      <c r="H403" s="20" t="str">
        <f>[3]!EQS(F402,"Units= ; EqnPrefix=Valem  ; EqnNo= 0; Multiplication= 1; ShowWorking= 1; EqnStyle= 2; Eqp$G$24_$H$294_1")</f>
        <v/>
      </c>
      <c r="I403" s="19" t="s">
        <v>117</v>
      </c>
    </row>
    <row r="404" spans="2:9" x14ac:dyDescent="0.25">
      <c r="B404" s="23"/>
      <c r="E404" s="25"/>
      <c r="F404" s="30"/>
      <c r="G404" s="47"/>
      <c r="H404" s="20"/>
      <c r="I404" s="28"/>
    </row>
    <row r="405" spans="2:9" x14ac:dyDescent="0.25">
      <c r="F405" s="34">
        <f>F402*F385</f>
        <v>12.365388132445736</v>
      </c>
      <c r="H405" s="20" t="str">
        <f>[3]!EQS(F405,"Units= ; EqnPrefix=Valem  ; EqnNo= 0; Multiplication= 1; ShowWorking= 0; EqnStyle= 2; Eqp$G$24_0")</f>
        <v/>
      </c>
      <c r="I405" s="19" t="s">
        <v>118</v>
      </c>
    </row>
    <row r="408" spans="2:9" x14ac:dyDescent="0.25">
      <c r="F408" s="84">
        <f>COS(RADIANS(41))^2</f>
        <v>0.56958655048003271</v>
      </c>
      <c r="H408" s="20" t="str">
        <f>[3]!EQS(F408,"Units= ; EqnPrefix=Valem  ; EqnNo= 0; Multiplication= 1; ShowWorking= 0; EqnStyle= 2; Eqp$H$274_2")</f>
        <v/>
      </c>
      <c r="I408" s="19" t="s">
        <v>133</v>
      </c>
    </row>
    <row r="410" spans="2:9" x14ac:dyDescent="0.25">
      <c r="F410" s="34">
        <f>F405*F408</f>
        <v>7.0431587717065005</v>
      </c>
      <c r="H410" s="20" t="str">
        <f>[3]!EQS(F410,"Units= ; EqnPrefix=Valem  ; EqnNo= 0; Multiplication= 1; ShowWorking= 0; EqnStyle= 2; Eqp$H$276_2")</f>
        <v/>
      </c>
      <c r="I410" s="19" t="s">
        <v>119</v>
      </c>
    </row>
    <row r="411" spans="2:9" x14ac:dyDescent="0.25">
      <c r="E411" s="51"/>
      <c r="F411" s="53"/>
      <c r="G411" s="52"/>
      <c r="H411" s="20"/>
      <c r="I411" s="19"/>
    </row>
    <row r="412" spans="2:9" x14ac:dyDescent="0.25">
      <c r="F412" s="53">
        <f>COS(RADIANS(4))*F410</f>
        <v>7.0260019909265452</v>
      </c>
      <c r="H412" s="20" t="str">
        <f>[3]!EQS(F412,"Units= ; EqnPrefix=Valem  ; EqnNo= 0; Multiplication= 1; ShowWorking= 0; EqnStyle= 2; Eqp$H$277_2")</f>
        <v/>
      </c>
      <c r="I412" s="19" t="s">
        <v>120</v>
      </c>
    </row>
    <row r="413" spans="2:9" x14ac:dyDescent="0.25">
      <c r="F413" s="53">
        <f>SIN(RADIANS(4))*F410</f>
        <v>0.49130591993425032</v>
      </c>
      <c r="H413" s="20" t="str">
        <f>[3]!EQS(F413,"Units= ; EqnPrefix=Valem  ; EqnNo= 0; Multiplication= 1; ShowWorking= 0; EqnStyle=2; Eqp$H$278_2")</f>
        <v/>
      </c>
      <c r="I413" s="19" t="s">
        <v>121</v>
      </c>
    </row>
    <row r="415" spans="2:9" x14ac:dyDescent="0.25">
      <c r="F415" s="84">
        <f>COS(RADIANS(49))^2</f>
        <v>0.43041344951996724</v>
      </c>
      <c r="H415" s="20" t="str">
        <f>[3]!EQS(F415,"Units= ; EqnPrefix=Valem  ; EqnNo= 0; Multiplication= 1; ShowWorking= 0; EqnStyle= 2; Eqp$H$278_2")</f>
        <v/>
      </c>
      <c r="I415" s="19" t="s">
        <v>134</v>
      </c>
    </row>
    <row r="417" spans="5:9" x14ac:dyDescent="0.25">
      <c r="F417" s="34">
        <f>F405*F415</f>
        <v>5.3222293607392341</v>
      </c>
      <c r="H417" s="20" t="str">
        <f>[3]!EQS(F417,"Units= ; EqnPrefix=Valem  ; EqnNo= 0; Multiplication= 1; ShowWorking= 0; EqnStyle= 2; Eqp$H$276_2")</f>
        <v/>
      </c>
      <c r="I417" s="19" t="s">
        <v>122</v>
      </c>
    </row>
    <row r="418" spans="5:9" x14ac:dyDescent="0.25">
      <c r="E418" s="51"/>
      <c r="F418" s="53"/>
      <c r="G418" s="52"/>
      <c r="H418" s="20"/>
      <c r="I418" s="19"/>
    </row>
    <row r="419" spans="5:9" x14ac:dyDescent="0.25">
      <c r="F419" s="53">
        <f>COS(RADIANS(4))*F417</f>
        <v>5.309264677510785</v>
      </c>
      <c r="H419" s="20" t="str">
        <f>[3]!EQS(F419,"Units= ; EqnPrefix=Valem  ; EqnNo= 0; Multiplication= 1; ShowWorking= 0; EqnStyle= 2; Eqp$H$277_2")</f>
        <v/>
      </c>
      <c r="I419" s="19" t="s">
        <v>123</v>
      </c>
    </row>
    <row r="420" spans="5:9" x14ac:dyDescent="0.25">
      <c r="F420" s="53">
        <f>SIN(RADIANS(4))*F417</f>
        <v>0.37125995266261919</v>
      </c>
      <c r="H420" s="20" t="str">
        <f>[3]!EQS(F420,"Units= ; EqnPrefix=Valem  ; EqnNo= 0; Multiplication= 1; ShowWorking= 0; EqnStyle=2; Eqp$H$278_2")</f>
        <v/>
      </c>
      <c r="I420" s="19" t="s">
        <v>124</v>
      </c>
    </row>
    <row r="421" spans="5:9" x14ac:dyDescent="0.25">
      <c r="E421" s="51"/>
      <c r="F421" s="53"/>
      <c r="G421" s="52"/>
      <c r="H421" s="20"/>
      <c r="I421" s="19"/>
    </row>
  </sheetData>
  <mergeCells count="1">
    <mergeCell ref="A2:R2"/>
  </mergeCells>
  <pageMargins left="0.7" right="0.48958333333333331" top="0.75" bottom="0.75" header="0.3" footer="0.3"/>
  <pageSetup paperSize="9" orientation="portrait" horizontalDpi="300" verticalDpi="300" r:id="rId1"/>
  <customProperties>
    <customPr name="SSCSheetTrackingNo" r:id="rId2"/>
  </customPropertie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R340"/>
  <sheetViews>
    <sheetView workbookViewId="0"/>
  </sheetViews>
  <sheetFormatPr defaultRowHeight="18" outlineLevelRow="1" x14ac:dyDescent="0.25"/>
  <cols>
    <col min="1" max="1" width="1.375" style="54" customWidth="1"/>
    <col min="2" max="2" width="1.5" style="54" customWidth="1"/>
    <col min="3" max="4" width="1.5" style="23" customWidth="1"/>
    <col min="5" max="5" width="6.125" style="13" customWidth="1"/>
    <col min="6" max="6" width="8.5" style="13" customWidth="1"/>
    <col min="7" max="7" width="6.125" style="44" customWidth="1"/>
    <col min="8" max="8" width="0.875" style="13" customWidth="1"/>
    <col min="9" max="11" width="6.125" style="13" customWidth="1"/>
    <col min="12" max="20" width="6.25" style="13" customWidth="1"/>
    <col min="21" max="21" width="1.375" style="13" customWidth="1"/>
    <col min="22" max="22" width="6.25" style="13" customWidth="1"/>
    <col min="23" max="16384" width="9" style="13"/>
  </cols>
  <sheetData>
    <row r="2" spans="1:18" ht="31.5" customHeight="1" collapsed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hidden="1" outlineLevel="1" x14ac:dyDescent="0.25">
      <c r="F3" s="13">
        <v>21</v>
      </c>
    </row>
    <row r="4" spans="1:18" hidden="1" outlineLevel="1" x14ac:dyDescent="0.25">
      <c r="F4" s="13">
        <f>F3</f>
        <v>21</v>
      </c>
    </row>
    <row r="5" spans="1:18" hidden="1" outlineLevel="1" x14ac:dyDescent="0.25">
      <c r="F5" s="13">
        <v>1.2250000000000001</v>
      </c>
    </row>
    <row r="6" spans="1:18" hidden="1" outlineLevel="1" x14ac:dyDescent="0.25">
      <c r="F6" s="13">
        <v>0.19</v>
      </c>
    </row>
    <row r="7" spans="1:18" hidden="1" outlineLevel="1" x14ac:dyDescent="0.25">
      <c r="F7" s="13">
        <v>0.05</v>
      </c>
    </row>
    <row r="8" spans="1:18" hidden="1" outlineLevel="1" x14ac:dyDescent="0.25">
      <c r="F8" s="13">
        <v>10</v>
      </c>
    </row>
    <row r="9" spans="1:18" hidden="1" outlineLevel="1" x14ac:dyDescent="0.25"/>
    <row r="10" spans="1:18" hidden="1" outlineLevel="1" x14ac:dyDescent="0.25">
      <c r="E10" s="14"/>
    </row>
    <row r="11" spans="1:18" x14ac:dyDescent="0.25">
      <c r="E11" s="14"/>
    </row>
    <row r="12" spans="1:18" collapsed="1" x14ac:dyDescent="0.25">
      <c r="C12" s="24"/>
      <c r="D12" s="24"/>
      <c r="E12" s="18"/>
      <c r="F12" s="18"/>
      <c r="G12" s="46"/>
      <c r="H12" s="18"/>
      <c r="I12" s="18"/>
      <c r="J12" s="18"/>
      <c r="K12" s="18"/>
      <c r="L12" s="18"/>
    </row>
    <row r="13" spans="1:18" hidden="1" outlineLevel="1" x14ac:dyDescent="0.25">
      <c r="B13" s="55"/>
      <c r="D13" s="24"/>
      <c r="E13" s="18"/>
      <c r="F13" s="18"/>
      <c r="G13" s="46"/>
      <c r="H13" s="18"/>
      <c r="I13" s="18"/>
      <c r="J13" s="18"/>
      <c r="K13" s="18"/>
      <c r="L13" s="18"/>
    </row>
    <row r="14" spans="1:18" hidden="1" outlineLevel="1" x14ac:dyDescent="0.25">
      <c r="E14" s="14"/>
      <c r="K14" s="26"/>
    </row>
    <row r="15" spans="1:18" hidden="1" outlineLevel="1" x14ac:dyDescent="0.25">
      <c r="F15" s="22">
        <v>36</v>
      </c>
    </row>
    <row r="16" spans="1:18" hidden="1" outlineLevel="1" x14ac:dyDescent="0.25">
      <c r="F16" s="22">
        <v>0.32400000000000001</v>
      </c>
    </row>
    <row r="17" spans="3:12" hidden="1" outlineLevel="1" x14ac:dyDescent="0.25">
      <c r="D17" s="26"/>
      <c r="E17" s="17"/>
      <c r="F17" s="16"/>
      <c r="G17" s="45"/>
      <c r="I17" s="21"/>
    </row>
    <row r="18" spans="3:12" hidden="1" outlineLevel="1" x14ac:dyDescent="0.25">
      <c r="F18" s="33">
        <f>F16*F15</f>
        <v>11.664</v>
      </c>
      <c r="H18" s="20" t="str">
        <f>[3]!EQS(F18,"Units= ; EqnPrefix=Valem  ; EqnNo= 0; Multiplication= 1; ShowWorking= 1; EqnStyle=2; Eqp$G$17_0")</f>
        <v/>
      </c>
      <c r="L18" s="15"/>
    </row>
    <row r="19" spans="3:12" hidden="1" outlineLevel="1" x14ac:dyDescent="0.25">
      <c r="F19" s="16"/>
      <c r="G19" s="45"/>
      <c r="I19" s="21"/>
    </row>
    <row r="20" spans="3:12" ht="16.5" hidden="1" customHeight="1" outlineLevel="1" x14ac:dyDescent="0.25">
      <c r="F20" s="30">
        <f>$F$6*LN(F15/$F$7)*$F$3</f>
        <v>26.251212335920307</v>
      </c>
      <c r="H20" s="20" t="str">
        <f>[3]!EQS(F20,"Units= ; EqnPrefix=Valem  ; EqnNo= 0; Multiplication= 1; ShowWorking= 0; EqnStyle= 2; Eqp$H$21_2")</f>
        <v/>
      </c>
      <c r="J20" s="20"/>
    </row>
    <row r="21" spans="3:12" ht="12" hidden="1" customHeight="1" outlineLevel="1" x14ac:dyDescent="0.25">
      <c r="E21" s="17"/>
      <c r="F21" s="30"/>
      <c r="G21" s="45"/>
      <c r="H21" s="20" t="str">
        <f>[3]!EQS(F20,"Units= ; EqnPrefix=Valem  ; EqnNo= 0; Multiplication= 1; ShowWorking= 1; EqnStyle= 2; Eqp$H$21_$H$22_3")</f>
        <v/>
      </c>
      <c r="J21" s="20"/>
    </row>
    <row r="22" spans="3:12" hidden="1" outlineLevel="1" x14ac:dyDescent="0.25">
      <c r="D22" s="29"/>
      <c r="F22" s="30"/>
      <c r="G22" s="45"/>
      <c r="H22" s="20"/>
      <c r="I22" s="28"/>
      <c r="J22" s="20"/>
    </row>
    <row r="23" spans="3:12" hidden="1" outlineLevel="1" x14ac:dyDescent="0.25">
      <c r="F23" s="30">
        <f>1/2*$F$5*F20^2</f>
        <v>422.08976632716445</v>
      </c>
      <c r="H23" s="20" t="str">
        <f>[3]!EQS(F23,"Units= ; EqnPrefix=Valem  ; EqnNo= 0; Multiplication= 1; ShowWorking= 0; EqnStyle= 2; Eqp$G$21_0")</f>
        <v/>
      </c>
      <c r="J23" s="20"/>
    </row>
    <row r="24" spans="3:12" hidden="1" outlineLevel="1" x14ac:dyDescent="0.25">
      <c r="E24" s="25"/>
      <c r="F24" s="30"/>
      <c r="G24" s="47"/>
      <c r="H24" s="20" t="str">
        <f>[3]!EQS(F23,"Units= ; EqnPrefix=Valem  ; EqnNo= 0; Multiplication= 1; ShowWorking= 1; EqnStyle= 2; Eqp$G$21_$G$25_1")</f>
        <v/>
      </c>
      <c r="J24" s="20"/>
    </row>
    <row r="25" spans="3:12" hidden="1" outlineLevel="1" x14ac:dyDescent="0.25">
      <c r="E25" s="25"/>
      <c r="F25" s="30"/>
      <c r="G25" s="47"/>
      <c r="I25" s="28"/>
      <c r="J25" s="20"/>
    </row>
    <row r="26" spans="3:12" hidden="1" outlineLevel="1" x14ac:dyDescent="0.25">
      <c r="F26" s="30">
        <f>(1+2.28/LN(F15/$F$7))^2</f>
        <v>1.8131807308313552</v>
      </c>
      <c r="G26" s="47"/>
      <c r="H26" s="20" t="str">
        <f>[3]!EQS(F26,"Units= ; EqnPrefix=Valem  ; EqnNo= 0; Multiplication= 1; ShowWorking= 0; EqnStyle= 2; Eqp$G$24_0")</f>
        <v/>
      </c>
      <c r="J26" s="20"/>
    </row>
    <row r="27" spans="3:12" hidden="1" outlineLevel="1" x14ac:dyDescent="0.25">
      <c r="E27" s="25"/>
      <c r="F27" s="30"/>
      <c r="G27" s="47"/>
      <c r="H27" s="20" t="str">
        <f>[3]!EQS(F26,"Units= ; EqnPrefix=Valem  ; EqnNo= 0; Multiplication= 1; ShowWorking= 1; EqnStyle= 2; Eqp$G$24_$G$28_1")</f>
        <v/>
      </c>
      <c r="J27" s="20"/>
    </row>
    <row r="28" spans="3:12" hidden="1" outlineLevel="1" x14ac:dyDescent="0.25">
      <c r="D28" s="13"/>
      <c r="E28" s="25"/>
      <c r="F28" s="30"/>
      <c r="G28" s="47"/>
      <c r="J28" s="20"/>
    </row>
    <row r="29" spans="3:12" hidden="1" outlineLevel="1" x14ac:dyDescent="0.25">
      <c r="F29" s="13">
        <v>1.1499999999999999</v>
      </c>
      <c r="J29" s="20"/>
    </row>
    <row r="30" spans="3:12" hidden="1" outlineLevel="1" x14ac:dyDescent="0.25">
      <c r="D30" s="27"/>
      <c r="E30" s="14"/>
      <c r="F30" s="31"/>
      <c r="H30" s="20"/>
      <c r="I30" s="20"/>
      <c r="J30" s="20"/>
    </row>
    <row r="31" spans="3:12" hidden="1" outlineLevel="1" x14ac:dyDescent="0.25">
      <c r="F31" s="20">
        <f>15*10^-6</f>
        <v>1.4999999999999999E-5</v>
      </c>
      <c r="H31" s="20"/>
      <c r="J31" s="20"/>
    </row>
    <row r="32" spans="3:12" hidden="1" outlineLevel="1" x14ac:dyDescent="0.25">
      <c r="F32" s="20">
        <f>F16</f>
        <v>0.32400000000000001</v>
      </c>
      <c r="H32" s="20"/>
      <c r="J32" s="20"/>
    </row>
    <row r="33" spans="3:12" hidden="1" outlineLevel="1" x14ac:dyDescent="0.25">
      <c r="C33" s="13"/>
      <c r="E33" s="25"/>
      <c r="F33" s="20"/>
      <c r="G33" s="47"/>
      <c r="H33" s="20"/>
      <c r="I33" s="29"/>
      <c r="J33" s="20"/>
    </row>
    <row r="34" spans="3:12" hidden="1" outlineLevel="1" x14ac:dyDescent="0.25">
      <c r="C34" s="13"/>
      <c r="F34" s="32">
        <f>F32*F20/F31</f>
        <v>567026.18645587866</v>
      </c>
      <c r="H34" s="20" t="str">
        <f>[3]!EQS(F34,"Units= ; EqnPrefix=Valem  ; EqnNo= 0; Multiplication= 1; ShowWorking= 1; EqnStyle= 2; Eqp$G$27_0")</f>
        <v/>
      </c>
      <c r="J34" s="20"/>
    </row>
    <row r="35" spans="3:12" hidden="1" outlineLevel="1" x14ac:dyDescent="0.25">
      <c r="C35" s="13"/>
      <c r="F35" s="32">
        <f>6.175*10^-4</f>
        <v>6.1749999999999999E-4</v>
      </c>
      <c r="H35" s="20"/>
      <c r="J35" s="20"/>
    </row>
    <row r="36" spans="3:12" hidden="1" outlineLevel="1" x14ac:dyDescent="0.25">
      <c r="C36" s="13"/>
      <c r="E36" s="25"/>
      <c r="F36" s="32"/>
      <c r="H36" s="20"/>
      <c r="I36" s="29"/>
      <c r="J36" s="20"/>
    </row>
    <row r="37" spans="3:12" hidden="1" outlineLevel="1" x14ac:dyDescent="0.25">
      <c r="C37" s="13"/>
      <c r="F37" s="32">
        <f>1.2+(0.18*LOG(10*F35))/(1+0.4*LOG(F34/10^6))</f>
        <v>0.75883386915863227</v>
      </c>
      <c r="H37" s="20" t="str">
        <f>[3]!EQS(F37,"Units= ; EqnPrefix=Valem  ; EqnNo= 0; Multiplication= 1; ShowWorking= 0; EqnStyle=2; Eqp$G$36_2")</f>
        <v/>
      </c>
      <c r="J37" s="20"/>
    </row>
    <row r="38" spans="3:12" hidden="1" outlineLevel="1" x14ac:dyDescent="0.25">
      <c r="C38" s="13"/>
      <c r="E38" s="20"/>
      <c r="F38" s="20"/>
      <c r="H38" s="20" t="str">
        <f>[3]!EQS(F37,"Units= ; EqnPrefix=Valem  ; EqnNo= 0; Multiplication= 1; ShowWorking= 1; EqnStyle=2; Eqp$G$36_$G$37_3")</f>
        <v/>
      </c>
      <c r="J38" s="20"/>
    </row>
    <row r="40" spans="3:12" x14ac:dyDescent="0.25">
      <c r="F40" s="34">
        <f>F23*F26*F29*F37*F16</f>
        <v>216.38914697938665</v>
      </c>
      <c r="H40" s="20" t="str">
        <f>[3]!EQS(F40,"Units= ; EqnPrefix=Valem  ; EqnNo= 0; Multiplication= 1; ShowWorking= 0; EqnStyle= 2; Eqp$G$39_0")</f>
        <v/>
      </c>
    </row>
    <row r="41" spans="3:12" x14ac:dyDescent="0.25">
      <c r="H41" s="13" t="str">
        <f>[3]!EQS(F40,"Units= ; EqnPrefix=Valem  ; EqnNo= 0; Multiplication= 1; ShowWorking= 1; EqnStyle= 2; Eqp$G$39_$G$40_1")</f>
        <v/>
      </c>
    </row>
    <row r="44" spans="3:12" collapsed="1" x14ac:dyDescent="0.25">
      <c r="C44" s="24"/>
      <c r="D44" s="24"/>
      <c r="E44" s="18"/>
      <c r="F44" s="18"/>
      <c r="G44" s="46"/>
      <c r="H44" s="18"/>
      <c r="I44" s="18"/>
      <c r="J44" s="18"/>
      <c r="K44" s="18"/>
      <c r="L44" s="18"/>
    </row>
    <row r="45" spans="3:12" hidden="1" outlineLevel="1" x14ac:dyDescent="0.25">
      <c r="E45" s="14"/>
    </row>
    <row r="46" spans="3:12" hidden="1" outlineLevel="1" x14ac:dyDescent="0.25">
      <c r="F46" s="22">
        <v>14</v>
      </c>
    </row>
    <row r="47" spans="3:12" hidden="1" outlineLevel="1" x14ac:dyDescent="0.25">
      <c r="F47" s="22">
        <v>0.27300000000000002</v>
      </c>
    </row>
    <row r="48" spans="3:12" hidden="1" outlineLevel="1" x14ac:dyDescent="0.25">
      <c r="F48" s="22">
        <v>15.5</v>
      </c>
    </row>
    <row r="49" spans="4:10" hidden="1" outlineLevel="1" x14ac:dyDescent="0.25">
      <c r="D49" s="26"/>
      <c r="E49" s="17"/>
      <c r="F49" s="16"/>
      <c r="G49" s="45"/>
      <c r="I49" s="21"/>
    </row>
    <row r="50" spans="4:10" hidden="1" outlineLevel="1" x14ac:dyDescent="0.25">
      <c r="F50" s="33">
        <f>F47*F48</f>
        <v>4.2315000000000005</v>
      </c>
      <c r="H50" s="20" t="str">
        <f>[3]!EQS(F50,"Units= ; EqnPrefix=Valem  ; EqnNo= 0; Multiplication= 1; ShowWorking= 1; EqnStyle=2; Eqp$G$17_0")</f>
        <v/>
      </c>
    </row>
    <row r="51" spans="4:10" hidden="1" outlineLevel="1" x14ac:dyDescent="0.25">
      <c r="F51" s="16"/>
      <c r="G51" s="45"/>
      <c r="I51" s="21"/>
    </row>
    <row r="52" spans="4:10" hidden="1" outlineLevel="1" x14ac:dyDescent="0.25">
      <c r="E52" s="17"/>
      <c r="F52" s="16"/>
      <c r="G52" s="45"/>
      <c r="I52" s="21"/>
    </row>
    <row r="53" spans="4:10" hidden="1" outlineLevel="1" x14ac:dyDescent="0.25"/>
    <row r="54" spans="4:10" ht="16.5" hidden="1" customHeight="1" outlineLevel="1" x14ac:dyDescent="0.25">
      <c r="F54" s="30">
        <f>$F$6*LN(F46/$F$7)*$F$3</f>
        <v>22.482810516645301</v>
      </c>
      <c r="H54" s="20" t="str">
        <f>[3]!EQS(F54,"Units= ; EqnPrefix=Valem  ; EqnNo= 0; Multiplication= 1; ShowWorking= 0; EqnStyle= 2; Eqp$H$54_2")</f>
        <v/>
      </c>
      <c r="J54" s="20"/>
    </row>
    <row r="55" spans="4:10" ht="12" hidden="1" customHeight="1" outlineLevel="1" x14ac:dyDescent="0.25">
      <c r="E55" s="17"/>
      <c r="F55" s="30"/>
      <c r="G55" s="45"/>
      <c r="H55" s="20" t="str">
        <f>[3]!EQS(F54,"Units= ; EqnPrefix=Valem  ; EqnNo= 0; Multiplication= 1; ShowWorking= 1; EqnStyle= 2; Eqp$H$54_$H$55_3")</f>
        <v/>
      </c>
      <c r="J55" s="20"/>
    </row>
    <row r="56" spans="4:10" hidden="1" outlineLevel="1" x14ac:dyDescent="0.25">
      <c r="D56" s="29"/>
      <c r="F56" s="30"/>
      <c r="G56" s="45"/>
      <c r="H56" s="20"/>
      <c r="I56" s="28"/>
      <c r="J56" s="20"/>
    </row>
    <row r="57" spans="4:10" hidden="1" outlineLevel="1" x14ac:dyDescent="0.25">
      <c r="F57" s="30">
        <f>1/2*$F$5*F54^2</f>
        <v>309.60452084551815</v>
      </c>
      <c r="H57" s="20" t="str">
        <f>[3]!EQS(F57,"Units= ; EqnPrefix=Valem  ; EqnNo= 0; Multiplication= 1; ShowWorking= 0; EqnStyle= 2; Eqp$G$21_0")</f>
        <v/>
      </c>
      <c r="J57" s="20"/>
    </row>
    <row r="58" spans="4:10" hidden="1" outlineLevel="1" x14ac:dyDescent="0.25">
      <c r="E58" s="25"/>
      <c r="F58" s="30"/>
      <c r="G58" s="47"/>
      <c r="H58" s="20" t="str">
        <f>[3]!EQS(F57,"Units= ; EqnPrefix=Valem  ; EqnNo= 0; Multiplication= 1; ShowWorking= 1; EqnStyle= 2; Eqp$G$21_$G$25_1")</f>
        <v/>
      </c>
      <c r="J58" s="20"/>
    </row>
    <row r="59" spans="4:10" hidden="1" outlineLevel="1" x14ac:dyDescent="0.25">
      <c r="E59" s="25"/>
      <c r="F59" s="30"/>
      <c r="G59" s="47"/>
      <c r="I59" s="28"/>
      <c r="J59" s="20"/>
    </row>
    <row r="60" spans="4:10" hidden="1" outlineLevel="1" x14ac:dyDescent="0.25">
      <c r="F60" s="30">
        <f>(1+2.28/LN(F46/$F$7))^2</f>
        <v>1.9729829854343099</v>
      </c>
      <c r="G60" s="47"/>
      <c r="H60" s="20" t="str">
        <f>[3]!EQS(F60,"Units= ; EqnPrefix=Valem  ; EqnNo= 0; Multiplication= 1; ShowWorking= 0; EqnStyle= 2; Eqp$G$24_0")</f>
        <v/>
      </c>
      <c r="J60" s="20"/>
    </row>
    <row r="61" spans="4:10" hidden="1" outlineLevel="1" x14ac:dyDescent="0.25">
      <c r="E61" s="25"/>
      <c r="F61" s="30"/>
      <c r="G61" s="47"/>
      <c r="H61" s="20" t="str">
        <f>[3]!EQS(F60,"Units= ; EqnPrefix=Valem  ; EqnNo= 0; Multiplication= 1; ShowWorking= 1; EqnStyle= 2; Eqp$G$24_$G$28_1")</f>
        <v/>
      </c>
      <c r="J61" s="20"/>
    </row>
    <row r="62" spans="4:10" hidden="1" outlineLevel="1" x14ac:dyDescent="0.25">
      <c r="D62" s="13"/>
      <c r="E62" s="25"/>
      <c r="F62" s="30"/>
      <c r="G62" s="47"/>
      <c r="J62" s="20"/>
    </row>
    <row r="63" spans="4:10" hidden="1" outlineLevel="1" x14ac:dyDescent="0.25">
      <c r="F63" s="13">
        <v>1.1499999999999999</v>
      </c>
      <c r="J63" s="20"/>
    </row>
    <row r="64" spans="4:10" hidden="1" outlineLevel="1" x14ac:dyDescent="0.25">
      <c r="D64" s="27"/>
      <c r="E64" s="14"/>
      <c r="F64" s="31"/>
      <c r="H64" s="20"/>
      <c r="I64" s="20"/>
      <c r="J64" s="20"/>
    </row>
    <row r="65" spans="3:10" hidden="1" outlineLevel="1" x14ac:dyDescent="0.25">
      <c r="F65" s="20">
        <f>15*10^-6</f>
        <v>1.4999999999999999E-5</v>
      </c>
      <c r="H65" s="20"/>
      <c r="J65" s="20"/>
    </row>
    <row r="66" spans="3:10" hidden="1" outlineLevel="1" x14ac:dyDescent="0.25">
      <c r="F66" s="20">
        <f>F47</f>
        <v>0.27300000000000002</v>
      </c>
      <c r="H66" s="20"/>
      <c r="J66" s="20"/>
    </row>
    <row r="67" spans="3:10" hidden="1" outlineLevel="1" x14ac:dyDescent="0.25">
      <c r="C67" s="13"/>
      <c r="E67" s="25"/>
      <c r="F67" s="20"/>
      <c r="G67" s="47"/>
      <c r="H67" s="20"/>
      <c r="I67" s="29"/>
      <c r="J67" s="20"/>
    </row>
    <row r="68" spans="3:10" hidden="1" outlineLevel="1" x14ac:dyDescent="0.25">
      <c r="C68" s="13"/>
      <c r="F68" s="32">
        <f>F66*F54/F65</f>
        <v>409187.15140294458</v>
      </c>
      <c r="H68" s="20" t="str">
        <f>[3]!EQS(F68,"Units= ; EqnPrefix=Valem  ; EqnNo= 0; Multiplication= 1; ShowWorking= 0; EqnStyle= 2; Eqp$G$27_0")</f>
        <v/>
      </c>
      <c r="J68" s="20"/>
    </row>
    <row r="69" spans="3:10" hidden="1" outlineLevel="1" x14ac:dyDescent="0.25">
      <c r="C69" s="13"/>
      <c r="E69" s="25"/>
      <c r="F69" s="32"/>
      <c r="H69" s="20" t="str">
        <f>[3]!EQS(F68,"Units= ; EqnPrefix=Valem  ; EqnNo= 0; Multiplication= 1; ShowWorking= 1; EqnStyle= 2; Eqp$G$27_$H$69_1")</f>
        <v/>
      </c>
      <c r="J69" s="20"/>
    </row>
    <row r="70" spans="3:10" hidden="1" outlineLevel="1" x14ac:dyDescent="0.25">
      <c r="C70" s="13"/>
      <c r="F70" s="35">
        <f>0.2/F47*1000</f>
        <v>732.6007326007325</v>
      </c>
      <c r="H70" s="20"/>
      <c r="J70" s="20"/>
    </row>
    <row r="71" spans="3:10" hidden="1" outlineLevel="1" x14ac:dyDescent="0.25">
      <c r="C71" s="13"/>
      <c r="E71" s="25"/>
      <c r="F71" s="32"/>
      <c r="H71" s="20"/>
      <c r="I71" s="29"/>
      <c r="J71" s="20"/>
    </row>
    <row r="72" spans="3:10" hidden="1" outlineLevel="1" x14ac:dyDescent="0.25">
      <c r="F72" s="30">
        <f>1.2+(0.18*LOG(10*F70))/(1+0.4*LOG(F68/10^6))</f>
        <v>2.0235106772562297</v>
      </c>
      <c r="H72" s="20" t="str">
        <f>[3]!EQS(F72,"Units= ; EqnPrefix=Valem  ; EqnNo= 0; Multiplication= 1; ShowWorking= 0; EqnStyle=2; Eqp$G$36_2")</f>
        <v/>
      </c>
      <c r="J72" s="20"/>
    </row>
    <row r="73" spans="3:10" hidden="1" outlineLevel="1" x14ac:dyDescent="0.25">
      <c r="E73" s="20"/>
      <c r="F73" s="20"/>
      <c r="H73" s="20" t="str">
        <f>[3]!EQS(F72,"Units= ; EqnPrefix=Valem  ; EqnNo= 0; Multiplication= 1; ShowWorking= 1; EqnStyle=2; Eqp$G$36_$G$37_3")</f>
        <v/>
      </c>
      <c r="J73" s="20"/>
    </row>
    <row r="74" spans="3:10" hidden="1" outlineLevel="1" x14ac:dyDescent="0.25">
      <c r="E74" s="20"/>
      <c r="F74" s="20"/>
      <c r="H74" s="20"/>
      <c r="I74" s="28"/>
      <c r="J74" s="20"/>
    </row>
    <row r="75" spans="3:10" hidden="1" outlineLevel="1" x14ac:dyDescent="0.25">
      <c r="F75" s="20">
        <f>COS(RADIANS(45))^2</f>
        <v>0.50000000000000011</v>
      </c>
      <c r="H75" s="20" t="str">
        <f>[3]!EQS(F75,"Units= ; EqnPrefix=Valem  ; EqnNo= 0; Multiplication= 1; ShowWorking= 0; EqnStyle= 2; Eqp$H$75_2")</f>
        <v/>
      </c>
      <c r="J75" s="20"/>
    </row>
    <row r="77" spans="3:10" x14ac:dyDescent="0.25">
      <c r="F77" s="34">
        <f>F57*F60*F63*F72*F47*F75</f>
        <v>194.02899120302681</v>
      </c>
      <c r="H77" s="20" t="str">
        <f>[3]!EQS(F77,"Units= ; EqnPrefix=Valem  ; EqnNo= 0; Multiplication= 1; ShowWorking= 0; EqnStyle= 2; Eqp$G$39_0")</f>
        <v/>
      </c>
    </row>
    <row r="78" spans="3:10" x14ac:dyDescent="0.25">
      <c r="H78" s="13" t="str">
        <f>[3]!EQS(F77,"Units= ; EqnPrefix=Valem  ; EqnNo= 0; Multiplication= 1; ShowWorking= 1; EqnStyle= 2; Eqp$G$39_$G$40_1")</f>
        <v/>
      </c>
    </row>
    <row r="81" spans="3:12" collapsed="1" x14ac:dyDescent="0.25">
      <c r="C81" s="24"/>
      <c r="D81" s="24"/>
      <c r="E81" s="18"/>
      <c r="F81" s="18"/>
      <c r="G81" s="46"/>
      <c r="H81" s="18"/>
      <c r="I81" s="18"/>
      <c r="J81" s="18"/>
      <c r="K81" s="18"/>
      <c r="L81" s="18"/>
    </row>
    <row r="82" spans="3:12" hidden="1" outlineLevel="1" x14ac:dyDescent="0.25">
      <c r="E82" s="14"/>
    </row>
    <row r="83" spans="3:12" hidden="1" outlineLevel="1" x14ac:dyDescent="0.25">
      <c r="F83" s="22">
        <v>28</v>
      </c>
    </row>
    <row r="84" spans="3:12" hidden="1" outlineLevel="1" x14ac:dyDescent="0.25">
      <c r="F84" s="22">
        <v>0.22</v>
      </c>
    </row>
    <row r="85" spans="3:12" hidden="1" outlineLevel="1" x14ac:dyDescent="0.25">
      <c r="F85" s="22">
        <v>23</v>
      </c>
    </row>
    <row r="86" spans="3:12" hidden="1" outlineLevel="1" x14ac:dyDescent="0.25">
      <c r="D86" s="26"/>
      <c r="E86" s="17"/>
      <c r="F86" s="16"/>
      <c r="G86" s="45"/>
      <c r="I86" s="21"/>
    </row>
    <row r="87" spans="3:12" hidden="1" outlineLevel="1" x14ac:dyDescent="0.25">
      <c r="F87" s="33">
        <f>F84*F85</f>
        <v>5.0599999999999996</v>
      </c>
      <c r="H87" s="20" t="str">
        <f>[3]!EQS(F87,"Units= ; EqnPrefix=Valem  ; EqnNo= 0; Multiplication= 1; ShowWorking= 1; EqnStyle=2; Eqp$G$17_0")</f>
        <v/>
      </c>
    </row>
    <row r="88" spans="3:12" hidden="1" outlineLevel="1" x14ac:dyDescent="0.25">
      <c r="E88" s="25"/>
      <c r="F88" s="33"/>
      <c r="G88" s="47"/>
      <c r="H88" s="20"/>
      <c r="I88" s="19"/>
    </row>
    <row r="89" spans="3:12" hidden="1" outlineLevel="1" x14ac:dyDescent="0.25">
      <c r="F89" s="16"/>
      <c r="G89" s="45"/>
      <c r="I89" s="21"/>
    </row>
    <row r="90" spans="3:12" hidden="1" outlineLevel="1" x14ac:dyDescent="0.25">
      <c r="E90" s="17"/>
      <c r="F90" s="16"/>
      <c r="G90" s="45"/>
      <c r="I90" s="21"/>
    </row>
    <row r="91" spans="3:12" hidden="1" outlineLevel="1" x14ac:dyDescent="0.25"/>
    <row r="92" spans="3:12" ht="16.5" hidden="1" customHeight="1" outlineLevel="1" x14ac:dyDescent="0.25">
      <c r="F92" s="30">
        <f>$F$6*LN(F83/$F$7)*$F$3</f>
        <v>25.248467767079489</v>
      </c>
      <c r="H92" s="20" t="str">
        <f>[3]!EQS(F92,"Units= ; EqnPrefix=Valem  ; EqnNo= 0; Multiplication= 1; ShowWorking= 0; EqnStyle= 2; Eqp$H$54_2")</f>
        <v/>
      </c>
      <c r="J92" s="20"/>
    </row>
    <row r="93" spans="3:12" ht="12" hidden="1" customHeight="1" outlineLevel="1" x14ac:dyDescent="0.25">
      <c r="E93" s="17"/>
      <c r="F93" s="30"/>
      <c r="G93" s="45"/>
      <c r="H93" s="20" t="str">
        <f>[3]!EQS(F92,"Units= ; EqnPrefix=Valem  ; EqnNo= 0; Multiplication= 1; ShowWorking= 1; EqnStyle= 2; Eqp$H$54_$H$55_3")</f>
        <v/>
      </c>
      <c r="J93" s="20"/>
    </row>
    <row r="94" spans="3:12" hidden="1" outlineLevel="1" x14ac:dyDescent="0.25">
      <c r="D94" s="29"/>
      <c r="F94" s="30"/>
      <c r="G94" s="45"/>
      <c r="H94" s="20"/>
      <c r="I94" s="28"/>
      <c r="J94" s="20"/>
    </row>
    <row r="95" spans="3:12" hidden="1" outlineLevel="1" x14ac:dyDescent="0.25">
      <c r="F95" s="30">
        <f>1/2*$F$5*F92^2</f>
        <v>390.45963880846682</v>
      </c>
      <c r="H95" s="20" t="str">
        <f>[3]!EQS(F95,"Units= ; EqnPrefix=Valem  ; EqnNo= 0; Multiplication= 1; ShowWorking= 0; EqnStyle= 2; Eqp$G$21_0")</f>
        <v/>
      </c>
      <c r="J95" s="20"/>
    </row>
    <row r="96" spans="3:12" hidden="1" outlineLevel="1" x14ac:dyDescent="0.25">
      <c r="E96" s="25"/>
      <c r="F96" s="30"/>
      <c r="G96" s="47"/>
      <c r="H96" s="20" t="str">
        <f>[3]!EQS(F95,"Units= ; EqnPrefix=Valem  ; EqnNo= 0; Multiplication= 1; ShowWorking= 1; EqnStyle= 2; Eqp$G$21_$G$25_1")</f>
        <v/>
      </c>
      <c r="J96" s="20"/>
    </row>
    <row r="97" spans="3:10" hidden="1" outlineLevel="1" x14ac:dyDescent="0.25">
      <c r="E97" s="25"/>
      <c r="F97" s="30"/>
      <c r="G97" s="47"/>
      <c r="I97" s="28"/>
      <c r="J97" s="20"/>
    </row>
    <row r="98" spans="3:10" hidden="1" outlineLevel="1" x14ac:dyDescent="0.25">
      <c r="F98" s="30">
        <f>(1+2.28/LN(F83/$F$7))^2</f>
        <v>1.8504351691877789</v>
      </c>
      <c r="G98" s="47"/>
      <c r="H98" s="20" t="str">
        <f>[3]!EQS(F98,"Units= ; EqnPrefix=Valem  ; EqnNo= 0; Multiplication= 1; ShowWorking= 0; EqnStyle= 2; Eqp$G$24_0")</f>
        <v/>
      </c>
      <c r="J98" s="20"/>
    </row>
    <row r="99" spans="3:10" hidden="1" outlineLevel="1" x14ac:dyDescent="0.25">
      <c r="E99" s="25"/>
      <c r="F99" s="30"/>
      <c r="G99" s="47"/>
      <c r="H99" s="20" t="str">
        <f>[3]!EQS(F98,"Units= ; EqnPrefix=Valem  ; EqnNo= 0; Multiplication= 1; ShowWorking= 1; EqnStyle= 2; Eqp$G$24_$G$28_1")</f>
        <v/>
      </c>
      <c r="J99" s="20"/>
    </row>
    <row r="100" spans="3:10" hidden="1" outlineLevel="1" x14ac:dyDescent="0.25">
      <c r="D100" s="13"/>
      <c r="E100" s="25"/>
      <c r="F100" s="30"/>
      <c r="G100" s="47"/>
      <c r="J100" s="20"/>
    </row>
    <row r="101" spans="3:10" hidden="1" outlineLevel="1" x14ac:dyDescent="0.25">
      <c r="F101" s="13">
        <v>1.1499999999999999</v>
      </c>
      <c r="J101" s="20"/>
    </row>
    <row r="102" spans="3:10" hidden="1" outlineLevel="1" x14ac:dyDescent="0.25">
      <c r="D102" s="27"/>
      <c r="E102" s="14"/>
      <c r="F102" s="31"/>
      <c r="H102" s="20"/>
      <c r="I102" s="20"/>
      <c r="J102" s="20"/>
    </row>
    <row r="103" spans="3:10" hidden="1" outlineLevel="1" x14ac:dyDescent="0.25">
      <c r="C103" s="13"/>
      <c r="E103" s="25"/>
      <c r="F103" s="32"/>
      <c r="H103" s="20"/>
      <c r="I103" s="29"/>
      <c r="J103" s="20"/>
    </row>
    <row r="104" spans="3:10" hidden="1" outlineLevel="1" x14ac:dyDescent="0.25">
      <c r="F104" s="30">
        <v>2</v>
      </c>
      <c r="H104" s="20"/>
      <c r="I104" s="19"/>
      <c r="J104" s="20"/>
    </row>
    <row r="105" spans="3:10" hidden="1" outlineLevel="1" x14ac:dyDescent="0.25">
      <c r="E105" s="20"/>
      <c r="F105" s="20"/>
      <c r="H105" s="20"/>
      <c r="I105" s="28"/>
      <c r="J105" s="20"/>
    </row>
    <row r="106" spans="3:10" hidden="1" outlineLevel="1" x14ac:dyDescent="0.25">
      <c r="D106" s="36"/>
      <c r="F106" s="38">
        <f>MIN(70,2*F85/F84)</f>
        <v>70</v>
      </c>
      <c r="H106" s="20"/>
      <c r="I106" s="28"/>
      <c r="J106" s="20"/>
    </row>
    <row r="107" spans="3:10" hidden="1" outlineLevel="1" x14ac:dyDescent="0.25">
      <c r="E107" s="20"/>
      <c r="F107" s="20"/>
      <c r="H107" s="20"/>
      <c r="I107" s="28"/>
      <c r="J107" s="20"/>
    </row>
    <row r="108" spans="3:10" hidden="1" outlineLevel="1" x14ac:dyDescent="0.25">
      <c r="D108" s="36"/>
      <c r="F108" s="20">
        <v>1</v>
      </c>
      <c r="H108" s="20"/>
      <c r="I108" s="28"/>
      <c r="J108" s="20"/>
    </row>
    <row r="109" spans="3:10" hidden="1" outlineLevel="1" x14ac:dyDescent="0.25">
      <c r="F109" s="20"/>
      <c r="H109" s="20"/>
      <c r="I109" s="28"/>
      <c r="J109" s="20"/>
    </row>
    <row r="110" spans="3:10" hidden="1" outlineLevel="1" x14ac:dyDescent="0.25">
      <c r="F110" s="13">
        <v>0.92</v>
      </c>
      <c r="H110" s="20"/>
      <c r="I110" s="28"/>
      <c r="J110" s="20"/>
    </row>
    <row r="111" spans="3:10" hidden="1" outlineLevel="1" x14ac:dyDescent="0.25">
      <c r="E111" s="20"/>
      <c r="F111" s="37"/>
      <c r="H111" s="20"/>
      <c r="I111" s="28"/>
      <c r="J111" s="20"/>
    </row>
    <row r="112" spans="3:10" hidden="1" outlineLevel="1" x14ac:dyDescent="0.25">
      <c r="F112" s="39">
        <f>F104*F110</f>
        <v>1.84</v>
      </c>
      <c r="H112" s="20" t="str">
        <f>[3]!EQS(F112,"Units= ; EqnPrefix=Valem  ; EqnNo= 0; Multiplication= 1; ShowWorking= 0; EqnStyle= 2; Eqp$H$119_2")</f>
        <v/>
      </c>
      <c r="J112" s="20"/>
    </row>
    <row r="113" spans="3:12" hidden="1" outlineLevel="1" x14ac:dyDescent="0.25">
      <c r="E113" s="20"/>
      <c r="F113" s="37"/>
      <c r="H113" s="20" t="str">
        <f>[3]!EQS(F112,"Units= ; EqnPrefix=Valem  ; EqnNo= 0; Multiplication= 1; ShowWorking= 1; EqnStyle= 2; Eqp$H$119_$H$120_3")</f>
        <v/>
      </c>
      <c r="J113" s="20"/>
    </row>
    <row r="114" spans="3:12" hidden="1" outlineLevel="1" x14ac:dyDescent="0.25">
      <c r="E114" s="20"/>
      <c r="F114" s="20"/>
      <c r="H114" s="20"/>
      <c r="I114" s="28"/>
      <c r="J114" s="20"/>
    </row>
    <row r="115" spans="3:12" hidden="1" outlineLevel="1" x14ac:dyDescent="0.25">
      <c r="F115" s="58">
        <f>COS(RADIANS(45))^2</f>
        <v>0.50000000000000011</v>
      </c>
      <c r="H115" s="20" t="str">
        <f>[3]!EQS(F115,"Units= ; EqnPrefix=Valem  ; EqnNo= 0; Multiplication= 1; ShowWorking= 0; EqnStyle= 2; Eqp$H$75_2")</f>
        <v/>
      </c>
      <c r="J115" s="20"/>
    </row>
    <row r="116" spans="3:12" hidden="1" outlineLevel="1" x14ac:dyDescent="0.25"/>
    <row r="117" spans="3:12" x14ac:dyDescent="0.25">
      <c r="F117" s="34">
        <f>F95*F98*F101*F112*F84*F115</f>
        <v>168.17381287782194</v>
      </c>
      <c r="H117" s="20" t="str">
        <f>[3]!EQS(F117,"Units= ; EqnPrefix=Valem  ; EqnNo= 0; Multiplication= 1; ShowWorking= 0; EqnStyle= 2; Eqp$G$39_0")</f>
        <v/>
      </c>
    </row>
    <row r="118" spans="3:12" x14ac:dyDescent="0.25">
      <c r="H118" s="13" t="str">
        <f>[3]!EQS(F117,"Units= ; EqnPrefix=Valem  ; EqnNo= 0; Multiplication= 1; ShowWorking= 1; EqnStyle= 2; Eqp$G$39_$G$40_1")</f>
        <v/>
      </c>
    </row>
    <row r="121" spans="3:12" collapsed="1" x14ac:dyDescent="0.25">
      <c r="C121" s="24"/>
      <c r="D121" s="24"/>
      <c r="E121" s="18"/>
      <c r="F121" s="18"/>
      <c r="G121" s="46"/>
      <c r="H121" s="18"/>
      <c r="I121" s="18"/>
      <c r="J121" s="18"/>
      <c r="K121" s="18"/>
      <c r="L121" s="18"/>
    </row>
    <row r="122" spans="3:12" hidden="1" outlineLevel="1" x14ac:dyDescent="0.25">
      <c r="E122" s="14"/>
    </row>
    <row r="123" spans="3:12" hidden="1" outlineLevel="1" x14ac:dyDescent="0.25">
      <c r="F123" s="22">
        <v>36</v>
      </c>
    </row>
    <row r="124" spans="3:12" hidden="1" outlineLevel="1" x14ac:dyDescent="0.25">
      <c r="F124" s="22">
        <v>0.25</v>
      </c>
    </row>
    <row r="125" spans="3:12" hidden="1" outlineLevel="1" x14ac:dyDescent="0.25">
      <c r="F125" s="22">
        <v>0.25</v>
      </c>
    </row>
    <row r="126" spans="3:12" hidden="1" outlineLevel="1" x14ac:dyDescent="0.25">
      <c r="F126" s="22">
        <v>23</v>
      </c>
    </row>
    <row r="127" spans="3:12" hidden="1" outlineLevel="1" x14ac:dyDescent="0.25">
      <c r="D127" s="26"/>
      <c r="E127" s="17"/>
      <c r="F127" s="16"/>
      <c r="G127" s="45"/>
      <c r="I127" s="21"/>
    </row>
    <row r="128" spans="3:12" hidden="1" outlineLevel="1" x14ac:dyDescent="0.25">
      <c r="F128" s="33">
        <f>F124*F126</f>
        <v>5.75</v>
      </c>
      <c r="H128" s="20" t="str">
        <f>[3]!EQS(F128,"Units= ; EqnPrefix=Valem  ; EqnNo= 0; Multiplication= 1; ShowWorking= 1; EqnStyle=2; Eqp$G$17_0")</f>
        <v/>
      </c>
    </row>
    <row r="129" spans="3:10" hidden="1" outlineLevel="1" x14ac:dyDescent="0.25">
      <c r="E129" s="25"/>
      <c r="F129" s="33"/>
      <c r="G129" s="47"/>
      <c r="H129" s="20"/>
      <c r="I129" s="19"/>
    </row>
    <row r="130" spans="3:10" hidden="1" outlineLevel="1" x14ac:dyDescent="0.25">
      <c r="C130" s="36"/>
      <c r="F130" s="33">
        <f>F125*F124</f>
        <v>6.25E-2</v>
      </c>
      <c r="H130" s="20" t="str">
        <f>[3]!EQS(F130,"Units= ; EqnPrefix=Valem  ; EqnNo= 0; Multiplication= 1; ShowWorking= 1; EqnStyle= 2; Eqp$H$137_2")</f>
        <v/>
      </c>
    </row>
    <row r="131" spans="3:10" hidden="1" outlineLevel="1" x14ac:dyDescent="0.25">
      <c r="F131" s="16"/>
      <c r="G131" s="45"/>
      <c r="I131" s="21"/>
    </row>
    <row r="132" spans="3:10" hidden="1" outlineLevel="1" x14ac:dyDescent="0.25">
      <c r="E132" s="17"/>
      <c r="F132" s="16"/>
      <c r="G132" s="45"/>
      <c r="I132" s="21"/>
    </row>
    <row r="133" spans="3:10" hidden="1" outlineLevel="1" x14ac:dyDescent="0.25"/>
    <row r="134" spans="3:10" hidden="1" outlineLevel="1" x14ac:dyDescent="0.25">
      <c r="F134" s="30">
        <f>$F$6*LN(F123/$F$7)*$F$3</f>
        <v>26.251212335920307</v>
      </c>
      <c r="H134" s="20" t="str">
        <f>[3]!EQS(F134,"Units= ; EqnPrefix=Valem  ; EqnNo= 0; Multiplication= 1; ShowWorking= 0; EqnStyle= 2; Eqp$H$54_2")</f>
        <v/>
      </c>
      <c r="J134" s="20"/>
    </row>
    <row r="135" spans="3:10" hidden="1" outlineLevel="1" x14ac:dyDescent="0.25">
      <c r="E135" s="17"/>
      <c r="F135" s="30"/>
      <c r="G135" s="45"/>
      <c r="H135" s="20" t="str">
        <f>[3]!EQS(F134,"Units= ; EqnPrefix=Valem  ; EqnNo= 0; Multiplication= 1; ShowWorking= 1; EqnStyle= 2; Eqp$H$54_$H$55_3")</f>
        <v/>
      </c>
      <c r="J135" s="20"/>
    </row>
    <row r="136" spans="3:10" hidden="1" outlineLevel="1" x14ac:dyDescent="0.25">
      <c r="D136" s="29"/>
      <c r="F136" s="30"/>
      <c r="G136" s="45"/>
      <c r="H136" s="20"/>
      <c r="I136" s="28"/>
      <c r="J136" s="20"/>
    </row>
    <row r="137" spans="3:10" hidden="1" outlineLevel="1" x14ac:dyDescent="0.25">
      <c r="F137" s="30">
        <f>1/2*$F$5*F134^2</f>
        <v>422.08976632716445</v>
      </c>
      <c r="H137" s="20" t="str">
        <f>[3]!EQS(F137,"Units= ; EqnPrefix=Valem  ; EqnNo= 0; Multiplication= 1; ShowWorking= 0; EqnStyle= 2; Eqp$G$21_0")</f>
        <v/>
      </c>
      <c r="J137" s="20"/>
    </row>
    <row r="138" spans="3:10" hidden="1" outlineLevel="1" x14ac:dyDescent="0.25">
      <c r="E138" s="25"/>
      <c r="F138" s="30"/>
      <c r="G138" s="47"/>
      <c r="H138" s="20" t="str">
        <f>[3]!EQS(F137,"Units= ; EqnPrefix=Valem  ; EqnNo= 0; Multiplication= 1; ShowWorking= 1; EqnStyle= 2; Eqp$G$21_$G$25_1")</f>
        <v/>
      </c>
      <c r="J138" s="20"/>
    </row>
    <row r="139" spans="3:10" hidden="1" outlineLevel="1" x14ac:dyDescent="0.25">
      <c r="E139" s="25"/>
      <c r="F139" s="30"/>
      <c r="G139" s="47"/>
      <c r="I139" s="28"/>
      <c r="J139" s="20"/>
    </row>
    <row r="140" spans="3:10" hidden="1" outlineLevel="1" x14ac:dyDescent="0.25">
      <c r="F140" s="30">
        <f>(1+2.28/LN(F123/$F$7))^2</f>
        <v>1.8131807308313552</v>
      </c>
      <c r="G140" s="47"/>
      <c r="H140" s="20" t="str">
        <f>[3]!EQS(F140,"Units= ; EqnPrefix=Valem  ; EqnNo= 0; Multiplication= 1; ShowWorking= 0; EqnStyle= 2; Eqp$G$24_0")</f>
        <v/>
      </c>
      <c r="J140" s="20"/>
    </row>
    <row r="141" spans="3:10" hidden="1" outlineLevel="1" x14ac:dyDescent="0.25">
      <c r="E141" s="25"/>
      <c r="F141" s="30"/>
      <c r="G141" s="47"/>
      <c r="H141" s="20" t="str">
        <f>[3]!EQS(F140,"Units= ; EqnPrefix=Valem  ; EqnNo= 0; Multiplication= 1; ShowWorking= 1; EqnStyle= 2; Eqp$G$24_$G$28_1")</f>
        <v/>
      </c>
      <c r="J141" s="20"/>
    </row>
    <row r="142" spans="3:10" hidden="1" outlineLevel="1" x14ac:dyDescent="0.25">
      <c r="D142" s="13"/>
      <c r="E142" s="25"/>
      <c r="F142" s="30"/>
      <c r="G142" s="47"/>
      <c r="J142" s="20"/>
    </row>
    <row r="143" spans="3:10" hidden="1" outlineLevel="1" x14ac:dyDescent="0.25">
      <c r="F143" s="13">
        <v>1.1499999999999999</v>
      </c>
      <c r="J143" s="20"/>
    </row>
    <row r="144" spans="3:10" hidden="1" outlineLevel="1" x14ac:dyDescent="0.25">
      <c r="D144" s="27"/>
      <c r="E144" s="14"/>
      <c r="F144" s="31"/>
      <c r="H144" s="20"/>
      <c r="I144" s="20"/>
      <c r="J144" s="20"/>
    </row>
    <row r="145" spans="3:10" hidden="1" outlineLevel="1" x14ac:dyDescent="0.25">
      <c r="C145" s="13"/>
      <c r="E145" s="25"/>
      <c r="F145" s="32"/>
      <c r="H145" s="20"/>
      <c r="I145" s="29"/>
      <c r="J145" s="20"/>
    </row>
    <row r="146" spans="3:10" hidden="1" outlineLevel="1" x14ac:dyDescent="0.25">
      <c r="F146" s="30">
        <v>2</v>
      </c>
      <c r="H146" s="20"/>
      <c r="I146" s="19"/>
      <c r="J146" s="20"/>
    </row>
    <row r="147" spans="3:10" hidden="1" outlineLevel="1" x14ac:dyDescent="0.25">
      <c r="E147" s="20"/>
      <c r="F147" s="20"/>
      <c r="H147" s="20"/>
      <c r="I147" s="28"/>
      <c r="J147" s="20"/>
    </row>
    <row r="148" spans="3:10" hidden="1" outlineLevel="1" x14ac:dyDescent="0.25">
      <c r="D148" s="36"/>
      <c r="F148" s="38">
        <f>MIN(70,2*F126/F124)</f>
        <v>70</v>
      </c>
      <c r="H148" s="20" t="str">
        <f>[3]!EQS(F148,"Units= ; EqnPrefix=Valem  ; EqnNo= 0; Multiplication= 1; ShowWorking= 1; EqnStyle=2; Eqp$H$148_0")</f>
        <v/>
      </c>
      <c r="J148" s="20"/>
    </row>
    <row r="149" spans="3:10" hidden="1" outlineLevel="1" x14ac:dyDescent="0.25">
      <c r="E149" s="20"/>
      <c r="F149" s="20"/>
      <c r="H149" s="20"/>
      <c r="I149" s="28"/>
      <c r="J149" s="20"/>
    </row>
    <row r="150" spans="3:10" hidden="1" outlineLevel="1" x14ac:dyDescent="0.25">
      <c r="D150" s="36"/>
      <c r="F150" s="20">
        <v>1</v>
      </c>
      <c r="H150" s="20"/>
      <c r="I150" s="28"/>
      <c r="J150" s="20"/>
    </row>
    <row r="151" spans="3:10" hidden="1" outlineLevel="1" x14ac:dyDescent="0.25">
      <c r="F151" s="20"/>
      <c r="H151" s="20"/>
      <c r="I151" s="28"/>
      <c r="J151" s="20"/>
    </row>
    <row r="152" spans="3:10" hidden="1" outlineLevel="1" x14ac:dyDescent="0.25">
      <c r="F152" s="13">
        <v>0.92</v>
      </c>
      <c r="H152" s="20"/>
      <c r="I152" s="28"/>
      <c r="J152" s="20"/>
    </row>
    <row r="153" spans="3:10" hidden="1" outlineLevel="1" x14ac:dyDescent="0.25">
      <c r="E153" s="42"/>
      <c r="H153" s="20"/>
      <c r="I153" s="28"/>
      <c r="J153" s="20"/>
    </row>
    <row r="154" spans="3:10" hidden="1" outlineLevel="1" x14ac:dyDescent="0.25">
      <c r="F154" s="13">
        <v>0.88</v>
      </c>
      <c r="H154" s="20"/>
      <c r="J154" s="20"/>
    </row>
    <row r="155" spans="3:10" hidden="1" outlineLevel="1" x14ac:dyDescent="0.25">
      <c r="E155" s="20"/>
      <c r="F155" s="37"/>
      <c r="H155" s="20"/>
      <c r="I155" s="28"/>
      <c r="J155" s="20"/>
    </row>
    <row r="156" spans="3:10" hidden="1" outlineLevel="1" x14ac:dyDescent="0.25">
      <c r="F156" s="39">
        <f>F146*F152*F154</f>
        <v>1.6192</v>
      </c>
      <c r="H156" s="20" t="str">
        <f>[3]!EQS(F156,"Units= ; EqnPrefix=Valem  ; EqnNo= 0; Multiplication= 1; ShowWorking= 0; EqnStyle= 2; Eqp$H$119_2")</f>
        <v/>
      </c>
      <c r="J156" s="20"/>
    </row>
    <row r="157" spans="3:10" hidden="1" outlineLevel="1" x14ac:dyDescent="0.25">
      <c r="E157" s="20"/>
      <c r="F157" s="37"/>
      <c r="H157" s="20" t="str">
        <f>[3]!EQS(F156,"Units= ; EqnPrefix=Valem  ; EqnNo= 0; Multiplication= 1; ShowWorking= 1; EqnStyle= 2; Eqp$H$119_$H$120_3")</f>
        <v/>
      </c>
      <c r="J157" s="20"/>
    </row>
    <row r="158" spans="3:10" hidden="1" outlineLevel="1" x14ac:dyDescent="0.25">
      <c r="E158" s="20"/>
      <c r="F158" s="37"/>
      <c r="H158" s="20"/>
      <c r="I158" s="28"/>
      <c r="J158" s="20"/>
    </row>
    <row r="159" spans="3:10" hidden="1" outlineLevel="1" x14ac:dyDescent="0.25">
      <c r="C159" s="43"/>
      <c r="F159" s="39">
        <f>F146*F152</f>
        <v>1.84</v>
      </c>
      <c r="H159" s="20" t="str">
        <f>[3]!EQS(F159,"Units= ; EqnPrefix=Valem  ; EqnNo= 0; Multiplication= 1; ShowWorking= 0; EqnStyle= 2; Eqp$H$119_2")</f>
        <v/>
      </c>
      <c r="J159" s="20"/>
    </row>
    <row r="160" spans="3:10" hidden="1" outlineLevel="1" x14ac:dyDescent="0.25">
      <c r="E160" s="20"/>
      <c r="F160" s="37"/>
      <c r="H160" s="20" t="str">
        <f>[3]!EQS(F159,"Units= ; EqnPrefix=Valem  ; EqnNo= 0; Multiplication= 1; ShowWorking= 1; EqnStyle= 2; Eqp$H$119_$H$120_3")</f>
        <v/>
      </c>
      <c r="J160" s="20"/>
    </row>
    <row r="161" spans="3:12" hidden="1" outlineLevel="1" x14ac:dyDescent="0.25">
      <c r="E161" s="20"/>
      <c r="F161" s="20"/>
      <c r="H161" s="20"/>
      <c r="I161" s="28"/>
      <c r="J161" s="20"/>
    </row>
    <row r="162" spans="3:12" hidden="1" outlineLevel="1" x14ac:dyDescent="0.25">
      <c r="F162" s="59">
        <f>COS(RADIANS(45))^2</f>
        <v>0.50000000000000011</v>
      </c>
      <c r="H162" s="20" t="str">
        <f>[3]!EQS(F162,"Units= ; EqnPrefix=Valem  ; EqnNo= 0; Multiplication= 1; ShowWorking= 0; EqnStyle= 2; Eqp$H$75_2")</f>
        <v/>
      </c>
      <c r="J162" s="20"/>
    </row>
    <row r="163" spans="3:12" hidden="1" outlineLevel="1" x14ac:dyDescent="0.25">
      <c r="E163" s="42"/>
      <c r="F163" s="40"/>
      <c r="H163" s="20"/>
      <c r="I163" s="28"/>
      <c r="J163" s="20"/>
    </row>
    <row r="164" spans="3:12" hidden="1" outlineLevel="1" x14ac:dyDescent="0.25">
      <c r="F164" s="59">
        <f>COS(RADIANS(45))^2</f>
        <v>0.50000000000000011</v>
      </c>
      <c r="H164" s="20" t="str">
        <f>[3]!EQS(F164,"Units= ; EqnPrefix=Valem  ; EqnNo= 0; Multiplication= 1; ShowWorking= 0; EqnStyle= 2; Eqp$H$75_2")</f>
        <v/>
      </c>
      <c r="J164" s="20"/>
    </row>
    <row r="166" spans="3:12" x14ac:dyDescent="0.25">
      <c r="F166" s="34">
        <f>F137*F140*F143*F156*F124*F162</f>
        <v>178.13705421219058</v>
      </c>
      <c r="H166" s="20" t="str">
        <f>[3]!EQS(F166,"Units= ; EqnPrefix=Valem  ; EqnNo= 0; Multiplication= 1; ShowWorking= 0; EqnStyle= 2; Eqp$G$39_0")</f>
        <v/>
      </c>
    </row>
    <row r="167" spans="3:12" x14ac:dyDescent="0.25">
      <c r="H167" s="13" t="str">
        <f>[3]!EQS(F166,"Units= ; EqnPrefix=Valem  ; EqnNo= 0; Multiplication= 1; ShowWorking= 1; EqnStyle= 2; Eqp$G$39_$G$40_1")</f>
        <v/>
      </c>
    </row>
    <row r="169" spans="3:12" x14ac:dyDescent="0.25">
      <c r="F169" s="34">
        <f>F137*F140*F143*F159*F125*F124*F164</f>
        <v>50.607117673917791</v>
      </c>
      <c r="H169" s="20" t="str">
        <f>[3]!EQS(F169,"Units= ; EqnPrefix=Valem  ; EqnNo= 0; Multiplication= 1; ShowWorking= 0; EqnStyle= 2; Eqp$G$39_0")</f>
        <v/>
      </c>
    </row>
    <row r="170" spans="3:12" x14ac:dyDescent="0.25">
      <c r="H170" s="13" t="str">
        <f>[3]!EQS(F169,"Units= ; EqnPrefix=Valem  ; EqnNo= 0; Multiplication= 1; ShowWorking= 1; EqnStyle= 2; Eqp$G$39_$G$40_1")</f>
        <v/>
      </c>
    </row>
    <row r="171" spans="3:12" collapsed="1" x14ac:dyDescent="0.25">
      <c r="C171" s="24"/>
      <c r="D171" s="24"/>
      <c r="E171" s="18"/>
      <c r="F171" s="18"/>
      <c r="G171" s="46"/>
      <c r="H171" s="18"/>
      <c r="I171" s="18"/>
      <c r="J171" s="18"/>
      <c r="K171" s="18"/>
      <c r="L171" s="18"/>
    </row>
    <row r="172" spans="3:12" hidden="1" outlineLevel="1" x14ac:dyDescent="0.25">
      <c r="E172" s="14"/>
    </row>
    <row r="173" spans="3:12" hidden="1" outlineLevel="1" x14ac:dyDescent="0.25">
      <c r="F173" s="22">
        <v>41</v>
      </c>
    </row>
    <row r="174" spans="3:12" hidden="1" outlineLevel="1" x14ac:dyDescent="0.25">
      <c r="F174" s="22">
        <v>0.25</v>
      </c>
    </row>
    <row r="175" spans="3:12" hidden="1" outlineLevel="1" x14ac:dyDescent="0.25">
      <c r="F175" s="22">
        <v>0.15</v>
      </c>
    </row>
    <row r="176" spans="3:12" hidden="1" outlineLevel="1" x14ac:dyDescent="0.25">
      <c r="F176" s="22">
        <v>5</v>
      </c>
    </row>
    <row r="177" spans="3:10" hidden="1" outlineLevel="1" x14ac:dyDescent="0.25">
      <c r="D177" s="26"/>
      <c r="E177" s="17"/>
      <c r="F177" s="16"/>
      <c r="G177" s="45"/>
      <c r="I177" s="21"/>
    </row>
    <row r="178" spans="3:10" hidden="1" outlineLevel="1" x14ac:dyDescent="0.25">
      <c r="F178" s="33">
        <f>F175*F176</f>
        <v>0.75</v>
      </c>
      <c r="H178" s="20" t="str">
        <f>[3]!EQS(F178,"Units= ; EqnPrefix=Valem  ; EqnNo= 0; Multiplication= 1; ShowWorking= 1; EqnStyle=2; Eqp$G$17_0")</f>
        <v/>
      </c>
    </row>
    <row r="179" spans="3:10" hidden="1" outlineLevel="1" x14ac:dyDescent="0.25">
      <c r="E179" s="25"/>
      <c r="F179" s="33"/>
      <c r="G179" s="47"/>
      <c r="H179" s="20"/>
      <c r="I179" s="19"/>
    </row>
    <row r="180" spans="3:10" hidden="1" outlineLevel="1" x14ac:dyDescent="0.25">
      <c r="C180" s="36"/>
      <c r="F180" s="33">
        <f>F176*F174</f>
        <v>1.25</v>
      </c>
      <c r="H180" s="20" t="str">
        <f>[3]!EQS(F180,"Units= ; EqnPrefix=Valem  ; EqnNo= 0; Multiplication= 1; ShowWorking= 1; EqnStyle= 2; Eqp$H$137_2")</f>
        <v/>
      </c>
    </row>
    <row r="181" spans="3:10" hidden="1" outlineLevel="1" x14ac:dyDescent="0.25">
      <c r="F181" s="16"/>
      <c r="G181" s="45"/>
      <c r="I181" s="21"/>
    </row>
    <row r="182" spans="3:10" hidden="1" outlineLevel="1" x14ac:dyDescent="0.25">
      <c r="E182" s="17"/>
      <c r="F182" s="16"/>
      <c r="G182" s="45"/>
      <c r="I182" s="21"/>
    </row>
    <row r="183" spans="3:10" hidden="1" outlineLevel="1" x14ac:dyDescent="0.25"/>
    <row r="184" spans="3:10" hidden="1" outlineLevel="1" x14ac:dyDescent="0.25">
      <c r="F184" s="30">
        <f>$F$6*LN(F173/$F$7)*$F$3</f>
        <v>26.770124317630611</v>
      </c>
      <c r="H184" s="20" t="str">
        <f>[3]!EQS(F184,"Units= ; EqnPrefix=Valem  ; EqnNo= 0; Multiplication= 1; ShowWorking= 0; EqnStyle= 2; Eqp$H$54_2")</f>
        <v/>
      </c>
      <c r="J184" s="20"/>
    </row>
    <row r="185" spans="3:10" hidden="1" outlineLevel="1" x14ac:dyDescent="0.25">
      <c r="E185" s="17"/>
      <c r="F185" s="30"/>
      <c r="G185" s="45"/>
      <c r="H185" s="20" t="str">
        <f>[3]!EQS(F184,"Units= ; EqnPrefix=Valem  ; EqnNo= 0; Multiplication= 1; ShowWorking= 1; EqnStyle= 2; Eqp$H$54_$H$55_3")</f>
        <v/>
      </c>
      <c r="J185" s="20"/>
    </row>
    <row r="186" spans="3:10" hidden="1" outlineLevel="1" x14ac:dyDescent="0.25">
      <c r="D186" s="29"/>
      <c r="F186" s="30"/>
      <c r="G186" s="45"/>
      <c r="H186" s="20"/>
      <c r="I186" s="28"/>
      <c r="J186" s="20"/>
    </row>
    <row r="187" spans="3:10" hidden="1" outlineLevel="1" x14ac:dyDescent="0.25">
      <c r="F187" s="30">
        <f>1/2*$F$5*F184^2</f>
        <v>438.94172803860613</v>
      </c>
      <c r="H187" s="20" t="str">
        <f>[3]!EQS(F187,"Units= ; EqnPrefix=Valem  ; EqnNo= 0; Multiplication= 1; ShowWorking= 0; EqnStyle= 2; Eqp$G$21_0")</f>
        <v/>
      </c>
      <c r="J187" s="20"/>
    </row>
    <row r="188" spans="3:10" hidden="1" outlineLevel="1" x14ac:dyDescent="0.25">
      <c r="E188" s="25"/>
      <c r="F188" s="30"/>
      <c r="G188" s="47"/>
      <c r="H188" s="20" t="str">
        <f>[3]!EQS(F187,"Units= ; EqnPrefix=Valem  ; EqnNo= 0; Multiplication= 1; ShowWorking= 1; EqnStyle= 2; Eqp$G$21_$G$25_1")</f>
        <v/>
      </c>
      <c r="J188" s="20"/>
    </row>
    <row r="189" spans="3:10" hidden="1" outlineLevel="1" x14ac:dyDescent="0.25">
      <c r="E189" s="25"/>
      <c r="F189" s="30"/>
      <c r="G189" s="47"/>
      <c r="I189" s="28"/>
      <c r="J189" s="20"/>
    </row>
    <row r="190" spans="3:10" hidden="1" outlineLevel="1" x14ac:dyDescent="0.25">
      <c r="F190" s="30">
        <f>(1+2.28/LN(F173/$F$7))^2</f>
        <v>1.7951352851913878</v>
      </c>
      <c r="G190" s="47"/>
      <c r="H190" s="20" t="str">
        <f>[3]!EQS(F190,"Units= ; EqnPrefix=Valem  ; EqnNo= 0; Multiplication= 1; ShowWorking= 0; EqnStyle= 2; Eqp$G$24_0")</f>
        <v/>
      </c>
      <c r="J190" s="20"/>
    </row>
    <row r="191" spans="3:10" hidden="1" outlineLevel="1" x14ac:dyDescent="0.25">
      <c r="E191" s="25"/>
      <c r="F191" s="30"/>
      <c r="G191" s="47"/>
      <c r="H191" s="20" t="str">
        <f>[3]!EQS(F190,"Units= ; EqnPrefix=Valem  ; EqnNo= 0; Multiplication= 1; ShowWorking= 1; EqnStyle= 2; Eqp$G$24_$G$28_1")</f>
        <v/>
      </c>
      <c r="J191" s="20"/>
    </row>
    <row r="192" spans="3:10" hidden="1" outlineLevel="1" x14ac:dyDescent="0.25">
      <c r="D192" s="13"/>
      <c r="E192" s="25"/>
      <c r="F192" s="30"/>
      <c r="G192" s="47"/>
      <c r="J192" s="20"/>
    </row>
    <row r="193" spans="3:10" hidden="1" outlineLevel="1" x14ac:dyDescent="0.25">
      <c r="F193" s="13">
        <v>1.1499999999999999</v>
      </c>
      <c r="J193" s="20"/>
    </row>
    <row r="194" spans="3:10" hidden="1" outlineLevel="1" x14ac:dyDescent="0.25">
      <c r="D194" s="27"/>
      <c r="E194" s="14"/>
      <c r="F194" s="31"/>
      <c r="H194" s="20"/>
      <c r="I194" s="20"/>
      <c r="J194" s="20"/>
    </row>
    <row r="195" spans="3:10" hidden="1" outlineLevel="1" x14ac:dyDescent="0.25">
      <c r="C195" s="13"/>
      <c r="E195" s="25"/>
      <c r="F195" s="32"/>
      <c r="H195" s="20"/>
      <c r="I195" s="29"/>
      <c r="J195" s="20"/>
    </row>
    <row r="196" spans="3:10" hidden="1" outlineLevel="1" x14ac:dyDescent="0.25">
      <c r="F196" s="30">
        <v>2</v>
      </c>
      <c r="H196" s="20"/>
      <c r="I196" s="19"/>
      <c r="J196" s="20"/>
    </row>
    <row r="197" spans="3:10" hidden="1" outlineLevel="1" x14ac:dyDescent="0.25">
      <c r="E197" s="20"/>
      <c r="F197" s="20"/>
      <c r="H197" s="20"/>
      <c r="I197" s="28"/>
      <c r="J197" s="20"/>
    </row>
    <row r="198" spans="3:10" hidden="1" outlineLevel="1" x14ac:dyDescent="0.25">
      <c r="D198" s="36"/>
      <c r="F198" s="38">
        <f>MIN(70,2*F176/F174)</f>
        <v>40</v>
      </c>
      <c r="H198" s="20" t="str">
        <f>[3]!EQS(F198,"Units= ; EqnPrefix=Valem  ; EqnNo= 0; Multiplication= 1; ShowWorking= 1; EqnStyle=2; Eqp$H$148_0")</f>
        <v/>
      </c>
      <c r="J198" s="20"/>
    </row>
    <row r="199" spans="3:10" hidden="1" outlineLevel="1" x14ac:dyDescent="0.25">
      <c r="E199" s="20"/>
      <c r="F199" s="20"/>
      <c r="H199" s="20"/>
      <c r="I199" s="28"/>
      <c r="J199" s="20"/>
    </row>
    <row r="200" spans="3:10" hidden="1" outlineLevel="1" x14ac:dyDescent="0.25">
      <c r="D200" s="36"/>
      <c r="F200" s="20">
        <v>1</v>
      </c>
      <c r="H200" s="20"/>
      <c r="I200" s="28"/>
      <c r="J200" s="20"/>
    </row>
    <row r="201" spans="3:10" hidden="1" outlineLevel="1" x14ac:dyDescent="0.25">
      <c r="F201" s="20"/>
      <c r="H201" s="20"/>
      <c r="I201" s="28"/>
      <c r="J201" s="20"/>
    </row>
    <row r="202" spans="3:10" hidden="1" outlineLevel="1" x14ac:dyDescent="0.25">
      <c r="F202" s="13">
        <v>0.85</v>
      </c>
      <c r="H202" s="20"/>
      <c r="I202" s="28"/>
      <c r="J202" s="20"/>
    </row>
    <row r="203" spans="3:10" hidden="1" outlineLevel="1" x14ac:dyDescent="0.25">
      <c r="E203" s="42"/>
      <c r="H203" s="20"/>
      <c r="I203" s="28"/>
      <c r="J203" s="20"/>
    </row>
    <row r="204" spans="3:10" hidden="1" outlineLevel="1" x14ac:dyDescent="0.25">
      <c r="F204" s="13">
        <v>0.9</v>
      </c>
      <c r="H204" s="20"/>
      <c r="J204" s="20"/>
    </row>
    <row r="205" spans="3:10" hidden="1" outlineLevel="1" x14ac:dyDescent="0.25">
      <c r="E205" s="20"/>
      <c r="F205" s="37"/>
      <c r="H205" s="20"/>
      <c r="I205" s="28"/>
      <c r="J205" s="20"/>
    </row>
    <row r="206" spans="3:10" hidden="1" outlineLevel="1" x14ac:dyDescent="0.25">
      <c r="F206" s="39">
        <f>F196*F202*F204</f>
        <v>1.53</v>
      </c>
      <c r="H206" s="20" t="str">
        <f>[3]!EQS(F206,"Units= ; EqnPrefix=Valem  ; EqnNo= 0; Multiplication= 1; ShowWorking= 0; EqnStyle= 2; Eqp$H$119_2")</f>
        <v/>
      </c>
      <c r="J206" s="20"/>
    </row>
    <row r="207" spans="3:10" hidden="1" outlineLevel="1" x14ac:dyDescent="0.25">
      <c r="E207" s="20"/>
      <c r="F207" s="37"/>
      <c r="H207" s="20" t="str">
        <f>[3]!EQS(F206,"Units= ; EqnPrefix=Valem  ; EqnNo= 0; Multiplication= 1; ShowWorking= 1; EqnStyle= 2; Eqp$H$119_$H$120_3")</f>
        <v/>
      </c>
      <c r="J207" s="20"/>
    </row>
    <row r="208" spans="3:10" hidden="1" outlineLevel="1" x14ac:dyDescent="0.25">
      <c r="E208" s="20"/>
      <c r="F208" s="37"/>
      <c r="H208" s="20"/>
      <c r="I208" s="28"/>
      <c r="J208" s="20"/>
    </row>
    <row r="209" spans="3:10" hidden="1" outlineLevel="1" x14ac:dyDescent="0.25">
      <c r="C209" s="43"/>
      <c r="F209" s="39">
        <f>F196*F202*F204</f>
        <v>1.53</v>
      </c>
      <c r="H209" s="20" t="str">
        <f>[3]!EQS(F209,"Units= ; EqnPrefix=Valem  ; EqnNo= 0; Multiplication= 1; ShowWorking= 0; EqnStyle= 2; Eqp$H$119_2")</f>
        <v/>
      </c>
      <c r="J209" s="20"/>
    </row>
    <row r="210" spans="3:10" hidden="1" outlineLevel="1" x14ac:dyDescent="0.25">
      <c r="E210" s="20"/>
      <c r="F210" s="37"/>
      <c r="H210" s="20" t="str">
        <f>[3]!EQS(F209,"Units= ; EqnPrefix=Valem  ; EqnNo= 0; Multiplication= 1; ShowWorking= 1; EqnStyle= 2; Eqp$H$119_$H$120_3")</f>
        <v/>
      </c>
      <c r="J210" s="20"/>
    </row>
    <row r="211" spans="3:10" hidden="1" outlineLevel="1" x14ac:dyDescent="0.25">
      <c r="E211" s="20"/>
      <c r="F211" s="20"/>
      <c r="H211" s="20"/>
      <c r="I211" s="28"/>
      <c r="J211" s="20"/>
    </row>
    <row r="212" spans="3:10" hidden="1" outlineLevel="1" x14ac:dyDescent="0.25">
      <c r="F212" s="59">
        <f>COS(RADIANS(45))^2</f>
        <v>0.50000000000000011</v>
      </c>
      <c r="H212" s="20" t="str">
        <f>[3]!EQS(F212,"Units= ; EqnPrefix=Valem  ; EqnNo= 0; Multiplication= 1; ShowWorking= 0; EqnStyle= 2; Eqp$H$75_2")</f>
        <v/>
      </c>
      <c r="J212" s="20"/>
    </row>
    <row r="213" spans="3:10" hidden="1" outlineLevel="1" x14ac:dyDescent="0.25">
      <c r="E213" s="42"/>
      <c r="F213" s="40"/>
      <c r="H213" s="20"/>
      <c r="I213" s="28"/>
      <c r="J213" s="20"/>
    </row>
    <row r="214" spans="3:10" hidden="1" outlineLevel="1" x14ac:dyDescent="0.25">
      <c r="F214" s="59">
        <f>COS(RADIANS(45))^2</f>
        <v>0.50000000000000011</v>
      </c>
      <c r="H214" s="20" t="str">
        <f>[3]!EQS(F214,"Units= ; EqnPrefix=Valem  ; EqnNo= 0; Multiplication= 1; ShowWorking= 0; EqnStyle= 2; Eqp$H$75_2")</f>
        <v/>
      </c>
      <c r="J214" s="20"/>
    </row>
    <row r="216" spans="3:10" x14ac:dyDescent="0.25">
      <c r="F216" s="34">
        <f>F187*F190*F193*F206*F175*F212</f>
        <v>103.98114301523243</v>
      </c>
      <c r="H216" s="20" t="str">
        <f>[3]!EQS(F216,"Units= ; EqnPrefix=Valem  ; EqnNo= 0; Multiplication= 1; ShowWorking= 0; EqnStyle= 2; Eqp$G$39_0")</f>
        <v/>
      </c>
    </row>
    <row r="217" spans="3:10" x14ac:dyDescent="0.25">
      <c r="H217" s="13" t="str">
        <f>[3]!EQS(F216,"Units= ; EqnPrefix=Valem  ; EqnNo= 0; Multiplication= 1; ShowWorking= 1; EqnStyle= 2; Eqp$G$39_$G$40_1")</f>
        <v/>
      </c>
    </row>
    <row r="219" spans="3:10" x14ac:dyDescent="0.25">
      <c r="F219" s="34">
        <f>F187*F190*F193*F209*F174*F214</f>
        <v>173.30190502538738</v>
      </c>
      <c r="H219" s="20" t="str">
        <f>[3]!EQS(F219,"Units= ; EqnPrefix=Valem  ; EqnNo= 0; Multiplication= 1; ShowWorking= 0; EqnStyle= 2; Eqp$G$39_0")</f>
        <v/>
      </c>
    </row>
    <row r="220" spans="3:10" x14ac:dyDescent="0.25">
      <c r="H220" s="13" t="str">
        <f>[3]!EQS(F219,"Units= ; EqnPrefix=Valem  ; EqnNo= 0; Multiplication= 1; ShowWorking= 1; EqnStyle= 2; Eqp$G$39_$G$40_1")</f>
        <v/>
      </c>
    </row>
    <row r="222" spans="3:10" collapsed="1" x14ac:dyDescent="0.25">
      <c r="C222" s="24"/>
      <c r="D222" s="24"/>
      <c r="E222" s="18"/>
    </row>
    <row r="223" spans="3:10" hidden="1" outlineLevel="1" x14ac:dyDescent="0.25">
      <c r="E223" s="14"/>
    </row>
    <row r="224" spans="3:10" hidden="1" outlineLevel="1" x14ac:dyDescent="0.25"/>
    <row r="225" spans="4:10" hidden="1" outlineLevel="1" x14ac:dyDescent="0.25"/>
    <row r="226" spans="4:10" hidden="1" outlineLevel="1" x14ac:dyDescent="0.25"/>
    <row r="227" spans="4:10" hidden="1" outlineLevel="1" x14ac:dyDescent="0.25"/>
    <row r="228" spans="4:10" hidden="1" outlineLevel="1" x14ac:dyDescent="0.25">
      <c r="E228" s="14"/>
    </row>
    <row r="229" spans="4:10" hidden="1" outlineLevel="1" x14ac:dyDescent="0.25">
      <c r="F229" s="22">
        <v>36</v>
      </c>
    </row>
    <row r="230" spans="4:10" hidden="1" outlineLevel="1" x14ac:dyDescent="0.25">
      <c r="F230" s="22">
        <v>2.01E-2</v>
      </c>
    </row>
    <row r="231" spans="4:10" hidden="1" outlineLevel="1" x14ac:dyDescent="0.25">
      <c r="F231" s="22">
        <v>40.590000000000003</v>
      </c>
    </row>
    <row r="232" spans="4:10" hidden="1" outlineLevel="1" x14ac:dyDescent="0.25">
      <c r="D232" s="26"/>
      <c r="E232" s="17"/>
      <c r="F232" s="16"/>
      <c r="G232" s="45"/>
      <c r="I232" s="21"/>
    </row>
    <row r="233" spans="4:10" hidden="1" outlineLevel="1" x14ac:dyDescent="0.25">
      <c r="F233" s="33">
        <f>F230*F231</f>
        <v>0.81585900000000011</v>
      </c>
      <c r="H233" s="20" t="str">
        <f>[3]!EQS(F233,"Units= ; EqnPrefix=Valem  ; EqnNo= 0; Multiplication= 1; ShowWorking= 1; EqnStyle=2; Eqp$G$17_0")</f>
        <v/>
      </c>
    </row>
    <row r="234" spans="4:10" hidden="1" outlineLevel="1" x14ac:dyDescent="0.25">
      <c r="F234" s="16"/>
      <c r="G234" s="45"/>
      <c r="I234" s="21"/>
    </row>
    <row r="235" spans="4:10" hidden="1" outlineLevel="1" x14ac:dyDescent="0.25">
      <c r="F235" s="30">
        <f>$F$6*LN(F229/$F$7)*$F$3</f>
        <v>26.251212335920307</v>
      </c>
      <c r="H235" s="20" t="str">
        <f>[3]!EQS(F235,"Units= ; EqnPrefix=Valem  ; EqnNo= 0; Multiplication= 1; ShowWorking= 0; EqnStyle= 2; Eqp$H$21_2")</f>
        <v/>
      </c>
      <c r="J235" s="20"/>
    </row>
    <row r="236" spans="4:10" hidden="1" outlineLevel="1" x14ac:dyDescent="0.25">
      <c r="E236" s="17"/>
      <c r="F236" s="30"/>
      <c r="G236" s="45"/>
      <c r="H236" s="20" t="str">
        <f>[3]!EQS(F235,"Units= ; EqnPrefix=Valem  ; EqnNo= 0; Multiplication= 1; ShowWorking= 1; EqnStyle= 2; Eqp$H$21_$H$22_3")</f>
        <v/>
      </c>
      <c r="J236" s="20"/>
    </row>
    <row r="237" spans="4:10" hidden="1" outlineLevel="1" x14ac:dyDescent="0.25">
      <c r="D237" s="29"/>
      <c r="F237" s="30"/>
      <c r="G237" s="45"/>
      <c r="H237" s="20"/>
      <c r="I237" s="28"/>
      <c r="J237" s="20"/>
    </row>
    <row r="238" spans="4:10" hidden="1" outlineLevel="1" x14ac:dyDescent="0.25">
      <c r="F238" s="30">
        <f>1/2*$F$5*F235^2</f>
        <v>422.08976632716445</v>
      </c>
      <c r="H238" s="20" t="str">
        <f>[3]!EQS(F238,"Units= ; EqnPrefix=Valem  ; EqnNo= 0; Multiplication= 1; ShowWorking= 0; EqnStyle= 2; Eqp$G$21_0")</f>
        <v/>
      </c>
      <c r="J238" s="20"/>
    </row>
    <row r="239" spans="4:10" hidden="1" outlineLevel="1" x14ac:dyDescent="0.25">
      <c r="E239" s="25"/>
      <c r="F239" s="30"/>
      <c r="G239" s="47"/>
      <c r="H239" s="20" t="str">
        <f>[3]!EQS(F238,"Units= ; EqnPrefix=Valem  ; EqnNo= 0; Multiplication= 1; ShowWorking= 1; EqnStyle= 2; Eqp$G$21_$G$25_1")</f>
        <v/>
      </c>
      <c r="J239" s="20"/>
    </row>
    <row r="240" spans="4:10" hidden="1" outlineLevel="1" x14ac:dyDescent="0.25">
      <c r="E240" s="25"/>
      <c r="F240" s="30"/>
      <c r="G240" s="47"/>
      <c r="I240" s="28"/>
      <c r="J240" s="20"/>
    </row>
    <row r="241" spans="3:10" hidden="1" outlineLevel="1" x14ac:dyDescent="0.25">
      <c r="F241" s="30">
        <f>(1+2.28/LN(F229/$F$7))^2</f>
        <v>1.8131807308313552</v>
      </c>
      <c r="G241" s="47"/>
      <c r="H241" s="20" t="str">
        <f>[3]!EQS(F241,"Units= ; EqnPrefix=Valem  ; EqnNo= 0; Multiplication= 1; ShowWorking= 0; EqnStyle= 2; Eqp$G$24_0")</f>
        <v/>
      </c>
      <c r="J241" s="20"/>
    </row>
    <row r="242" spans="3:10" hidden="1" outlineLevel="1" x14ac:dyDescent="0.25">
      <c r="E242" s="25"/>
      <c r="F242" s="30"/>
      <c r="G242" s="47"/>
      <c r="H242" s="20" t="str">
        <f>[3]!EQS(F241,"Units= ; EqnPrefix=Valem  ; EqnNo= 0; Multiplication= 1; ShowWorking= 1; EqnStyle= 2; Eqp$G$24_$G$28_1")</f>
        <v/>
      </c>
      <c r="J242" s="20"/>
    </row>
    <row r="243" spans="3:10" hidden="1" outlineLevel="1" x14ac:dyDescent="0.25">
      <c r="D243" s="13"/>
      <c r="E243" s="25"/>
      <c r="F243" s="30"/>
      <c r="G243" s="47"/>
      <c r="J243" s="20"/>
    </row>
    <row r="244" spans="3:10" hidden="1" outlineLevel="1" x14ac:dyDescent="0.25">
      <c r="F244" s="13">
        <v>1.1499999999999999</v>
      </c>
      <c r="J244" s="20"/>
    </row>
    <row r="245" spans="3:10" hidden="1" outlineLevel="1" x14ac:dyDescent="0.25">
      <c r="D245" s="27"/>
      <c r="E245" s="14"/>
      <c r="F245" s="31"/>
      <c r="H245" s="20"/>
      <c r="I245" s="20"/>
      <c r="J245" s="20"/>
    </row>
    <row r="246" spans="3:10" hidden="1" outlineLevel="1" x14ac:dyDescent="0.25">
      <c r="F246" s="20">
        <f>15*10^-6</f>
        <v>1.4999999999999999E-5</v>
      </c>
      <c r="H246" s="20"/>
      <c r="J246" s="20"/>
    </row>
    <row r="247" spans="3:10" hidden="1" outlineLevel="1" x14ac:dyDescent="0.25">
      <c r="F247" s="20">
        <f>F230</f>
        <v>2.01E-2</v>
      </c>
      <c r="H247" s="20"/>
      <c r="J247" s="20"/>
    </row>
    <row r="248" spans="3:10" hidden="1" outlineLevel="1" x14ac:dyDescent="0.25">
      <c r="C248" s="13"/>
      <c r="E248" s="25"/>
      <c r="F248" s="20"/>
      <c r="G248" s="47"/>
      <c r="H248" s="20"/>
      <c r="I248" s="29"/>
      <c r="J248" s="20"/>
    </row>
    <row r="249" spans="3:10" hidden="1" outlineLevel="1" x14ac:dyDescent="0.25">
      <c r="C249" s="13"/>
      <c r="F249" s="32">
        <f>F247*F235/F246</f>
        <v>35176.624530133209</v>
      </c>
      <c r="H249" s="20" t="str">
        <f>[3]!EQS(F249,"Units= ; EqnPrefix=Valem  ; EqnNo= 0; Multiplication= 1; ShowWorking= 1; EqnStyle= 2; Eqp$G$27_0")</f>
        <v/>
      </c>
      <c r="J249" s="20"/>
    </row>
    <row r="250" spans="3:10" hidden="1" outlineLevel="1" x14ac:dyDescent="0.25">
      <c r="C250" s="13"/>
      <c r="E250" s="25"/>
      <c r="F250" s="32"/>
      <c r="H250" s="20"/>
      <c r="I250" s="29"/>
      <c r="J250" s="20"/>
    </row>
    <row r="251" spans="3:10" hidden="1" outlineLevel="1" x14ac:dyDescent="0.25">
      <c r="C251" s="13"/>
      <c r="D251" s="29"/>
      <c r="F251" s="30">
        <v>1.2</v>
      </c>
      <c r="H251" s="20"/>
      <c r="I251" s="29"/>
      <c r="J251" s="20"/>
    </row>
    <row r="252" spans="3:10" hidden="1" outlineLevel="1" x14ac:dyDescent="0.25">
      <c r="E252" s="20"/>
      <c r="F252" s="20"/>
      <c r="H252" s="20"/>
      <c r="I252" s="28"/>
      <c r="J252" s="20"/>
    </row>
    <row r="253" spans="3:10" hidden="1" outlineLevel="1" x14ac:dyDescent="0.25">
      <c r="F253" s="40">
        <f>COS(RADIANS(0))^2</f>
        <v>1</v>
      </c>
      <c r="H253" s="20" t="str">
        <f>[3]!EQS(F253,"Units= ; EqnPrefix=Valem  ; EqnNo= 0; Multiplication= 1; ShowWorking= 0; EqnStyle= 2; Eqp$H$75_2")</f>
        <v/>
      </c>
      <c r="J253" s="20"/>
    </row>
    <row r="254" spans="3:10" hidden="1" outlineLevel="1" x14ac:dyDescent="0.25">
      <c r="E254" s="42"/>
      <c r="F254" s="40"/>
      <c r="H254" s="20"/>
      <c r="I254" s="28"/>
      <c r="J254" s="20"/>
    </row>
    <row r="255" spans="3:10" hidden="1" outlineLevel="1" x14ac:dyDescent="0.25">
      <c r="F255" s="40">
        <f>COS(RADIANS(90))^2</f>
        <v>3.7524718414124473E-33</v>
      </c>
      <c r="H255" s="20" t="str">
        <f>[3]!EQS(F255,"Units= ; EqnPrefix=Valem  ; EqnNo= 0; Multiplication= 1; ShowWorking= 0; EqnStyle= 2; Eqp$H$75_2")</f>
        <v/>
      </c>
      <c r="J255" s="20"/>
    </row>
    <row r="257" spans="3:9" x14ac:dyDescent="0.25">
      <c r="F257" s="34">
        <f>F238*F241*F244*F251*F230*F253</f>
        <v>21.228585709476462</v>
      </c>
      <c r="H257" s="20" t="str">
        <f>[3]!EQS(F257,"Units= ; EqnPrefix=Valem  ; EqnNo= 0; Multiplication= 1; ShowWorking= 0; EqnStyle= 2; Eqp$G$39_0")</f>
        <v/>
      </c>
    </row>
    <row r="258" spans="3:9" x14ac:dyDescent="0.25">
      <c r="H258" s="13" t="str">
        <f>[3]!EQS(F257,"Units= ; EqnPrefix=Valem  ; EqnNo= 0; Multiplication= 1; ShowWorking= 1; EqnStyle= 2; Eqp$G$39_$G$40_1")</f>
        <v/>
      </c>
    </row>
    <row r="259" spans="3:9" x14ac:dyDescent="0.25">
      <c r="F259" s="53">
        <f>COS(RADIANS(45))*F257</f>
        <v>15.010876910170644</v>
      </c>
      <c r="H259" s="20" t="str">
        <f>[3]!EQS(F259,"Units= ; EqnPrefix=Valem  ; EqnNo= 0; Multiplication= 1; ShowWorking= 0; EqnStyle= 2; Eqp$H$259_2")</f>
        <v/>
      </c>
    </row>
    <row r="260" spans="3:9" x14ac:dyDescent="0.25">
      <c r="I260" s="19"/>
    </row>
    <row r="262" spans="3:9" x14ac:dyDescent="0.25">
      <c r="F262" s="34">
        <f>F238*F241*F244*F251*F230*F255</f>
        <v>7.9659670107821104E-32</v>
      </c>
      <c r="H262" s="20" t="str">
        <f>[3]!EQS(F262,"Units= ; EqnPrefix=Valem  ; EqnNo= 0; Multiplication= 1; ShowWorking= 0; EqnStyle= 2; Eqp$G$39_0")</f>
        <v/>
      </c>
    </row>
    <row r="263" spans="3:9" x14ac:dyDescent="0.25">
      <c r="H263" s="13" t="str">
        <f>[3]!EQS(F262,"Units= ; EqnPrefix=Valem  ; EqnNo= 0; Multiplication= 1; ShowWorking= 1; EqnStyle= 2; Eqp$G$39_$G$40_1")</f>
        <v/>
      </c>
    </row>
    <row r="264" spans="3:9" x14ac:dyDescent="0.25">
      <c r="F264" s="53">
        <f>COS(RADIANS(45))*F262</f>
        <v>5.6327892920323625E-32</v>
      </c>
      <c r="H264" s="20" t="str">
        <f>[3]!EQS(F264,"Units= ; EqnPrefix=Valem  ; EqnNo= 0; Multiplication= 1; ShowWorking= 0; EqnStyle= 2; Eqp$H$264_2")</f>
        <v/>
      </c>
    </row>
    <row r="265" spans="3:9" x14ac:dyDescent="0.25">
      <c r="I265" s="19"/>
    </row>
    <row r="269" spans="3:9" x14ac:dyDescent="0.25">
      <c r="C269" s="49"/>
    </row>
    <row r="271" spans="3:9" x14ac:dyDescent="0.25">
      <c r="F271" s="53">
        <f>2047.07103484027/360</f>
        <v>5.6863084301118612</v>
      </c>
    </row>
    <row r="274" spans="5:9" x14ac:dyDescent="0.25">
      <c r="F274" s="53">
        <f>COS(RADIANS(41))</f>
        <v>0.75470958022277201</v>
      </c>
      <c r="H274" s="20" t="str">
        <f>[3]!EQS(F274,"Units= ; EqnPrefix=Valem  ; EqnNo= 0; Multiplication= 1; ShowWorking= 0; EqnStyle= 2; Eqp$H$274_2")</f>
        <v/>
      </c>
    </row>
    <row r="276" spans="5:9" x14ac:dyDescent="0.25">
      <c r="F276" s="34">
        <f>F271*F274</f>
        <v>4.2915114483069328</v>
      </c>
      <c r="H276" s="20" t="str">
        <f>[3]!EQS(F276,"Units= ; EqnPrefix=Valem  ; EqnNo= 0; Multiplication= 1; ShowWorking= 0; EqnStyle= 2; Eqp$H$276_2")</f>
        <v/>
      </c>
    </row>
    <row r="277" spans="5:9" x14ac:dyDescent="0.25">
      <c r="F277" s="53"/>
      <c r="G277" s="52"/>
      <c r="H277" s="20"/>
      <c r="I277" s="19"/>
    </row>
    <row r="278" spans="5:9" x14ac:dyDescent="0.25">
      <c r="F278" s="53">
        <f>COS(RADIANS(4))*F276</f>
        <v>4.2810575421094681</v>
      </c>
      <c r="H278" s="20" t="str">
        <f>[3]!EQS(F278,"Units= ; EqnPrefix=Valem  ; EqnNo= 0; Multiplication= 1; ShowWorking= 0; EqnStyle= 2; Eqp$H$277_2")</f>
        <v/>
      </c>
    </row>
    <row r="279" spans="5:9" x14ac:dyDescent="0.25">
      <c r="F279" s="53">
        <f>SIN(RADIANS(4))*F276</f>
        <v>0.29936070566643569</v>
      </c>
      <c r="H279" s="20" t="str">
        <f>[3]!EQS(F279,"Units= ; EqnPrefix=Valem  ; EqnNo= 0; Multiplication= 1; ShowWorking= 0; EqnStyle=2; Eqp$H$278_2")</f>
        <v/>
      </c>
    </row>
    <row r="281" spans="5:9" x14ac:dyDescent="0.25">
      <c r="F281" s="53">
        <f>COS(RADIANS(49))</f>
        <v>0.65605902899050728</v>
      </c>
      <c r="H281" s="20" t="str">
        <f>[3]!EQS(F281,"Units= ; EqnPrefix=Valem  ; EqnNo= 0; Multiplication= 1; ShowWorking= 0; EqnStyle= 2; Eqp$H$278_2")</f>
        <v/>
      </c>
    </row>
    <row r="283" spans="5:9" x14ac:dyDescent="0.25">
      <c r="F283" s="34">
        <f>F271*F281</f>
        <v>3.7305539871997233</v>
      </c>
      <c r="H283" s="20" t="str">
        <f>[3]!EQS(F283,"Units= ; EqnPrefix=Valem  ; EqnNo= 0; Multiplication= 1; ShowWorking= 0; EqnStyle= 2; Eqp$H$276_2")</f>
        <v/>
      </c>
    </row>
    <row r="284" spans="5:9" x14ac:dyDescent="0.25">
      <c r="E284" s="51"/>
      <c r="F284" s="53"/>
      <c r="G284" s="52"/>
      <c r="H284" s="20"/>
      <c r="I284" s="19"/>
    </row>
    <row r="285" spans="5:9" x14ac:dyDescent="0.25">
      <c r="F285" s="53">
        <f>COS(RADIANS(4))*F283</f>
        <v>3.7214665451838922</v>
      </c>
      <c r="H285" s="20" t="str">
        <f>[3]!EQS(F285,"Units= ; EqnPrefix=Valem  ; EqnNo= 0; Multiplication= 1; ShowWorking= 0; EqnStyle= 2; Eqp$H$277_2")</f>
        <v/>
      </c>
    </row>
    <row r="286" spans="5:9" x14ac:dyDescent="0.25">
      <c r="F286" s="53">
        <f>SIN(RADIANS(4))*F283</f>
        <v>0.26023029125913943</v>
      </c>
      <c r="H286" s="20" t="str">
        <f>[3]!EQS(F286,"Units= ; EqnPrefix=Valem  ; EqnNo= 0; Multiplication= 1; ShowWorking= 0; EqnStyle=2; Eqp$H$278_2")</f>
        <v/>
      </c>
    </row>
    <row r="287" spans="5:9" x14ac:dyDescent="0.25">
      <c r="E287" s="51"/>
      <c r="F287" s="53"/>
      <c r="G287" s="52"/>
      <c r="H287" s="20"/>
      <c r="I287" s="19"/>
    </row>
    <row r="288" spans="5:9" x14ac:dyDescent="0.25">
      <c r="E288" s="51"/>
      <c r="F288" s="53"/>
      <c r="G288" s="52"/>
      <c r="H288" s="20"/>
      <c r="I288" s="19"/>
    </row>
    <row r="289" spans="5:9" x14ac:dyDescent="0.25">
      <c r="E289" s="51"/>
      <c r="F289" s="53"/>
      <c r="G289" s="52"/>
      <c r="H289" s="20"/>
      <c r="I289" s="19"/>
    </row>
    <row r="290" spans="5:9" x14ac:dyDescent="0.25">
      <c r="F290" s="34">
        <v>71</v>
      </c>
      <c r="H290" s="20"/>
      <c r="I290" s="19"/>
    </row>
    <row r="291" spans="5:9" x14ac:dyDescent="0.25">
      <c r="E291" s="51"/>
      <c r="F291" s="53"/>
      <c r="G291" s="52"/>
      <c r="H291" s="20"/>
      <c r="I291" s="19"/>
    </row>
    <row r="292" spans="5:9" x14ac:dyDescent="0.25">
      <c r="F292" s="53">
        <f>COS(RADIANS(45))*F290</f>
        <v>50.204581464244875</v>
      </c>
      <c r="H292" s="20" t="str">
        <f>[3]!EQS(F292,"Units= ; EqnPrefix=Valem  ; EqnNo= 0; Multiplication= 1; ShowWorking= 0; EqnStyle= 2; Eqp$H$277_2")</f>
        <v/>
      </c>
    </row>
    <row r="293" spans="5:9" x14ac:dyDescent="0.25">
      <c r="F293" s="53">
        <f>SIN(RADIANS(45))*F290</f>
        <v>50.204581464244868</v>
      </c>
      <c r="H293" s="20" t="str">
        <f>[3]!EQS(F293,"Units= ; EqnPrefix=Valem  ; EqnNo= 0; Multiplication= 1; ShowWorking= 0; EqnStyle=2; Eqp$H$278_2")</f>
        <v/>
      </c>
    </row>
    <row r="294" spans="5:9" x14ac:dyDescent="0.25">
      <c r="E294" s="51"/>
      <c r="F294" s="53"/>
      <c r="G294" s="52"/>
      <c r="H294" s="20"/>
      <c r="I294" s="19"/>
    </row>
    <row r="295" spans="5:9" x14ac:dyDescent="0.25">
      <c r="E295" s="51"/>
      <c r="F295" s="53"/>
      <c r="G295" s="52"/>
      <c r="H295" s="20"/>
      <c r="I295" s="19"/>
    </row>
    <row r="298" spans="5:9" x14ac:dyDescent="0.25">
      <c r="F298" s="53">
        <f>4231/360</f>
        <v>11.752777777777778</v>
      </c>
    </row>
    <row r="301" spans="5:9" x14ac:dyDescent="0.25">
      <c r="F301" s="13">
        <f>COS(RADIANS(41))</f>
        <v>0.75470958022277201</v>
      </c>
      <c r="H301" s="20" t="str">
        <f>[3]!EQS(F301,"Units= ; EqnPrefix=Valem  ; EqnNo= 0; Multiplication= 1; ShowWorking= 0; EqnStyle= 2; Eqp$H$274_2")</f>
        <v/>
      </c>
    </row>
    <row r="303" spans="5:9" x14ac:dyDescent="0.25">
      <c r="F303" s="34">
        <f>F298*F301</f>
        <v>8.8699339831181909</v>
      </c>
      <c r="H303" s="20" t="str">
        <f>[3]!EQS(F303,"Units= ; EqnPrefix=Valem  ; EqnNo= 0; Multiplication= 1; ShowWorking= 0; EqnStyle= 2; Eqp$H$276_2")</f>
        <v/>
      </c>
    </row>
    <row r="304" spans="5:9" x14ac:dyDescent="0.25">
      <c r="E304" s="51"/>
      <c r="F304" s="53"/>
      <c r="G304" s="52"/>
      <c r="H304" s="20"/>
      <c r="I304" s="19"/>
    </row>
    <row r="305" spans="5:9" x14ac:dyDescent="0.25">
      <c r="F305" s="53">
        <f>COS(RADIANS(4))*F303</f>
        <v>8.8483272697366377</v>
      </c>
      <c r="H305" s="20" t="str">
        <f>[3]!EQS(F305,"Units= ; EqnPrefix=Valem  ; EqnNo= 0; Multiplication= 1; ShowWorking= 0; EqnStyle= 2; Eqp$H$277_2")</f>
        <v/>
      </c>
    </row>
    <row r="306" spans="5:9" x14ac:dyDescent="0.25">
      <c r="F306" s="53">
        <f>SIN(RADIANS(4))*F303</f>
        <v>0.61873531700550888</v>
      </c>
      <c r="H306" s="20" t="str">
        <f>[3]!EQS(F306,"Units= ; EqnPrefix=Valem  ; EqnNo= 0; Multiplication= 1; ShowWorking= 0; EqnStyle=2; Eqp$H$278_2")</f>
        <v/>
      </c>
    </row>
    <row r="308" spans="5:9" x14ac:dyDescent="0.25">
      <c r="F308" s="53">
        <f>COS(RADIANS(49))</f>
        <v>0.65605902899050728</v>
      </c>
      <c r="H308" s="20" t="str">
        <f>[3]!EQS(F308,"Units= ; EqnPrefix=Valem  ; EqnNo= 0; Multiplication= 1; ShowWorking= 0; EqnStyle= 2; Eqp$H$278_2")</f>
        <v/>
      </c>
    </row>
    <row r="310" spans="5:9" x14ac:dyDescent="0.25">
      <c r="F310" s="34">
        <f>F298*F308</f>
        <v>7.7105159768301013</v>
      </c>
      <c r="H310" s="20" t="str">
        <f>[3]!EQS(F310,"Units= ; EqnPrefix=Valem  ; EqnNo= 0; Multiplication= 1; ShowWorking= 0; EqnStyle= 2; Eqp$H$276_2")</f>
        <v/>
      </c>
    </row>
    <row r="311" spans="5:9" x14ac:dyDescent="0.25">
      <c r="E311" s="51"/>
      <c r="F311" s="53"/>
      <c r="G311" s="52"/>
      <c r="H311" s="20"/>
      <c r="I311" s="19"/>
    </row>
    <row r="312" spans="5:9" x14ac:dyDescent="0.25">
      <c r="F312" s="53">
        <f>COS(RADIANS(4))*F310</f>
        <v>7.6917335474397204</v>
      </c>
      <c r="H312" s="20" t="str">
        <f>[3]!EQS(F312,"Units= ; EqnPrefix=Valem  ; EqnNo= 0; Multiplication= 1; ShowWorking= 0; EqnStyle= 2; Eqp$H$277_2")</f>
        <v/>
      </c>
    </row>
    <row r="313" spans="5:9" x14ac:dyDescent="0.25">
      <c r="F313" s="53">
        <f>SIN(RADIANS(4))*F310</f>
        <v>0.5378584052914076</v>
      </c>
      <c r="H313" s="20" t="str">
        <f>[3]!EQS(F313,"Units= ; EqnPrefix=Valem  ; EqnNo= 0; Multiplication= 1; ShowWorking= 0; EqnStyle=2; Eqp$H$278_2")</f>
        <v/>
      </c>
    </row>
    <row r="314" spans="5:9" x14ac:dyDescent="0.25">
      <c r="E314" s="51"/>
      <c r="F314" s="53"/>
      <c r="G314" s="52"/>
      <c r="H314" s="20"/>
      <c r="I314" s="19"/>
    </row>
    <row r="315" spans="5:9" x14ac:dyDescent="0.25">
      <c r="E315" s="51"/>
      <c r="F315" s="53"/>
      <c r="G315" s="52"/>
      <c r="H315" s="20"/>
      <c r="I315" s="19"/>
    </row>
    <row r="316" spans="5:9" x14ac:dyDescent="0.25">
      <c r="E316" s="51"/>
      <c r="F316" s="53"/>
      <c r="G316" s="52"/>
      <c r="H316" s="20"/>
      <c r="I316" s="19"/>
    </row>
    <row r="317" spans="5:9" x14ac:dyDescent="0.25">
      <c r="F317" s="34">
        <v>457.09998725859163</v>
      </c>
      <c r="H317" s="20"/>
      <c r="I317" s="19"/>
    </row>
    <row r="318" spans="5:9" x14ac:dyDescent="0.25">
      <c r="E318" s="51"/>
      <c r="F318" s="53"/>
      <c r="G318" s="52"/>
      <c r="H318" s="20"/>
      <c r="I318" s="19"/>
    </row>
    <row r="319" spans="5:9" x14ac:dyDescent="0.25">
      <c r="F319" s="53">
        <f>COS(RADIANS(45))*F317</f>
        <v>323.21850067083466</v>
      </c>
      <c r="H319" s="20" t="str">
        <f>[3]!EQS(F319,"Units= ; EqnPrefix=Valem  ; EqnNo= 0; Multiplication= 1; ShowWorking= 0; EqnStyle= 2; Eqp$H$277_2")</f>
        <v/>
      </c>
    </row>
    <row r="320" spans="5:9" x14ac:dyDescent="0.25">
      <c r="F320" s="53">
        <f>SIN(RADIANS(45))*F317</f>
        <v>323.2185006708346</v>
      </c>
      <c r="H320" s="20" t="str">
        <f>[3]!EQS(F320,"Units= ; EqnPrefix=Valem  ; EqnNo= 0; Multiplication= 1; ShowWorking= 0; EqnStyle=2; Eqp$H$278_2")</f>
        <v/>
      </c>
    </row>
    <row r="321" spans="5:9" x14ac:dyDescent="0.25">
      <c r="E321" s="51"/>
      <c r="F321" s="53"/>
      <c r="G321" s="52"/>
      <c r="H321" s="20"/>
      <c r="I321" s="19"/>
    </row>
    <row r="324" spans="5:9" x14ac:dyDescent="0.25">
      <c r="F324" s="53">
        <f>888.8322/360</f>
        <v>2.4689783333333333</v>
      </c>
    </row>
    <row r="327" spans="5:9" x14ac:dyDescent="0.25">
      <c r="F327" s="53">
        <f>COS(RADIANS(41))^2</f>
        <v>0.56958655048003271</v>
      </c>
      <c r="H327" s="20" t="str">
        <f>[3]!EQS(F327,"Units= ; EqnPrefix=Valem  ; EqnNo= 0; Multiplication= 1; ShowWorking= 0; EqnStyle= 2; Eqp$H$274_2")</f>
        <v/>
      </c>
    </row>
    <row r="329" spans="5:9" x14ac:dyDescent="0.25">
      <c r="F329" s="34">
        <f>F324*F327</f>
        <v>1.4062968520932737</v>
      </c>
      <c r="H329" s="20" t="str">
        <f>[3]!EQS(F329,"Units= ; EqnPrefix=Valem  ; EqnNo= 0; Multiplication= 1; ShowWorking= 0; EqnStyle= 2; Eqp$H$276_2")</f>
        <v/>
      </c>
    </row>
    <row r="330" spans="5:9" x14ac:dyDescent="0.25">
      <c r="E330" s="51"/>
      <c r="F330" s="53"/>
      <c r="G330" s="52"/>
      <c r="H330" s="20"/>
      <c r="I330" s="19"/>
    </row>
    <row r="331" spans="5:9" x14ac:dyDescent="0.25">
      <c r="F331" s="53">
        <f>COS(RADIANS(4))*F329</f>
        <v>1.4028711836418071</v>
      </c>
      <c r="H331" s="20" t="str">
        <f>[3]!EQS(F331,"Units= ; EqnPrefix=Valem  ; EqnNo= 0; Multiplication= 1; ShowWorking= 0; EqnStyle= 2; Eqp$H$277_2")</f>
        <v/>
      </c>
    </row>
    <row r="332" spans="5:9" x14ac:dyDescent="0.25">
      <c r="F332" s="53">
        <f>SIN(RADIANS(4))*F329</f>
        <v>9.8098309439490508E-2</v>
      </c>
      <c r="H332" s="20" t="str">
        <f>[3]!EQS(F332,"Units= ; EqnPrefix=Valem  ; EqnNo= 0; Multiplication= 1; ShowWorking= 0; EqnStyle=2; Eqp$H$278_2")</f>
        <v/>
      </c>
    </row>
    <row r="334" spans="5:9" x14ac:dyDescent="0.25">
      <c r="F334" s="53">
        <f>COS(RADIANS(49))^2</f>
        <v>0.43041344951996724</v>
      </c>
      <c r="H334" s="20" t="str">
        <f>[3]!EQS(F334,"Units= ; EqnPrefix=Valem  ; EqnNo= 0; Multiplication= 1; ShowWorking= 0; EqnStyle= 2; Eqp$H$278_2")</f>
        <v/>
      </c>
    </row>
    <row r="336" spans="5:9" x14ac:dyDescent="0.25">
      <c r="F336" s="34">
        <f>F324*F334</f>
        <v>1.0626814812400596</v>
      </c>
      <c r="H336" s="20" t="str">
        <f>[3]!EQS(F336,"Units= ; EqnPrefix=Valem  ; EqnNo= 0; Multiplication= 1; ShowWorking= 0; EqnStyle= 2; Eqp$H$276_2")</f>
        <v/>
      </c>
    </row>
    <row r="337" spans="5:9" x14ac:dyDescent="0.25">
      <c r="E337" s="51"/>
      <c r="F337" s="53"/>
      <c r="G337" s="52"/>
      <c r="H337" s="20"/>
      <c r="I337" s="19"/>
    </row>
    <row r="338" spans="5:9" x14ac:dyDescent="0.25">
      <c r="F338" s="53">
        <f>COS(RADIANS(4))*F336</f>
        <v>1.0600928425619431</v>
      </c>
      <c r="H338" s="20" t="str">
        <f>[3]!EQS(F338,"Units= ; EqnPrefix=Valem  ; EqnNo= 0; Multiplication= 1; ShowWorking= 0; EqnStyle= 2; Eqp$H$277_2")</f>
        <v/>
      </c>
    </row>
    <row r="339" spans="5:9" x14ac:dyDescent="0.25">
      <c r="F339" s="53">
        <f>SIN(RADIANS(4))*F336</f>
        <v>7.4128912844490399E-2</v>
      </c>
      <c r="H339" s="20" t="str">
        <f>[3]!EQS(F339,"Units= ; EqnPrefix=Valem  ; EqnNo= 0; Multiplication= 1; ShowWorking= 0; EqnStyle=2; Eqp$H$278_2")</f>
        <v/>
      </c>
    </row>
    <row r="340" spans="5:9" x14ac:dyDescent="0.25">
      <c r="E340" s="51"/>
      <c r="F340" s="53"/>
      <c r="G340" s="52"/>
      <c r="H340" s="20"/>
      <c r="I340" s="19"/>
    </row>
  </sheetData>
  <mergeCells count="1">
    <mergeCell ref="A2:R2"/>
  </mergeCells>
  <pageMargins left="0.7" right="0.48958333333333331" top="0.75" bottom="0.75" header="0.3" footer="0.3"/>
  <pageSetup paperSize="9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R340"/>
  <sheetViews>
    <sheetView workbookViewId="0"/>
  </sheetViews>
  <sheetFormatPr defaultRowHeight="18" outlineLevelRow="1" x14ac:dyDescent="0.25"/>
  <cols>
    <col min="1" max="1" width="1.375" style="54" customWidth="1"/>
    <col min="2" max="2" width="1.5" style="54" customWidth="1"/>
    <col min="3" max="4" width="1.5" style="23" customWidth="1"/>
    <col min="5" max="5" width="6.125" style="13" customWidth="1"/>
    <col min="6" max="6" width="8.5" style="13" customWidth="1"/>
    <col min="7" max="7" width="6.125" style="44" customWidth="1"/>
    <col min="8" max="8" width="0.875" style="13" customWidth="1"/>
    <col min="9" max="11" width="6.125" style="13" customWidth="1"/>
    <col min="12" max="20" width="6.25" style="13" customWidth="1"/>
    <col min="21" max="21" width="1.375" style="13" customWidth="1"/>
    <col min="22" max="22" width="6.25" style="13" customWidth="1"/>
    <col min="23" max="16384" width="9" style="13"/>
  </cols>
  <sheetData>
    <row r="2" spans="1:18" ht="31.5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outlineLevel="1" x14ac:dyDescent="0.25">
      <c r="F3" s="13">
        <v>21</v>
      </c>
    </row>
    <row r="4" spans="1:18" outlineLevel="1" x14ac:dyDescent="0.25">
      <c r="F4" s="13">
        <f>F3</f>
        <v>21</v>
      </c>
    </row>
    <row r="5" spans="1:18" outlineLevel="1" x14ac:dyDescent="0.25">
      <c r="F5" s="13">
        <v>1.2250000000000001</v>
      </c>
    </row>
    <row r="6" spans="1:18" outlineLevel="1" x14ac:dyDescent="0.25">
      <c r="F6" s="13">
        <v>0.19</v>
      </c>
    </row>
    <row r="7" spans="1:18" outlineLevel="1" x14ac:dyDescent="0.25">
      <c r="F7" s="13">
        <v>0.05</v>
      </c>
    </row>
    <row r="8" spans="1:18" outlineLevel="1" x14ac:dyDescent="0.25">
      <c r="F8" s="13">
        <v>10</v>
      </c>
    </row>
    <row r="9" spans="1:18" outlineLevel="1" x14ac:dyDescent="0.25"/>
    <row r="10" spans="1:18" outlineLevel="1" x14ac:dyDescent="0.25">
      <c r="E10" s="14"/>
    </row>
    <row r="11" spans="1:18" x14ac:dyDescent="0.25">
      <c r="E11" s="14"/>
    </row>
    <row r="12" spans="1:18" x14ac:dyDescent="0.25">
      <c r="C12" s="24"/>
      <c r="D12" s="24"/>
      <c r="E12" s="18"/>
      <c r="F12" s="18"/>
      <c r="G12" s="46"/>
      <c r="H12" s="18"/>
      <c r="I12" s="18"/>
      <c r="J12" s="18"/>
      <c r="K12" s="18"/>
      <c r="L12" s="18"/>
    </row>
    <row r="13" spans="1:18" outlineLevel="1" x14ac:dyDescent="0.25">
      <c r="B13" s="55"/>
      <c r="D13" s="24"/>
      <c r="E13" s="18"/>
      <c r="F13" s="18"/>
      <c r="G13" s="46"/>
      <c r="H13" s="18"/>
      <c r="I13" s="18"/>
      <c r="J13" s="18"/>
      <c r="K13" s="18"/>
      <c r="L13" s="18"/>
    </row>
    <row r="14" spans="1:18" outlineLevel="1" x14ac:dyDescent="0.25">
      <c r="E14" s="14"/>
      <c r="K14" s="26"/>
    </row>
    <row r="15" spans="1:18" outlineLevel="1" x14ac:dyDescent="0.25">
      <c r="F15" s="22">
        <v>36</v>
      </c>
    </row>
    <row r="16" spans="1:18" outlineLevel="1" x14ac:dyDescent="0.25">
      <c r="F16" s="22">
        <v>0.32400000000000001</v>
      </c>
    </row>
    <row r="17" spans="3:12" outlineLevel="1" x14ac:dyDescent="0.25">
      <c r="D17" s="26"/>
      <c r="E17" s="17"/>
      <c r="F17" s="16"/>
      <c r="G17" s="45"/>
      <c r="I17" s="21"/>
    </row>
    <row r="18" spans="3:12" outlineLevel="1" x14ac:dyDescent="0.25">
      <c r="F18" s="33">
        <f>F16*F15</f>
        <v>11.664</v>
      </c>
      <c r="H18" s="20" t="str">
        <f>[3]!EQS(F18,"Units= ; EqnPrefix=Valem  ; EqnNo= 0; Multiplication= 1; ShowWorking= 1; EqnStyle=2; Eqp$G$17_0")</f>
        <v/>
      </c>
      <c r="L18" s="15"/>
    </row>
    <row r="19" spans="3:12" outlineLevel="1" x14ac:dyDescent="0.25">
      <c r="F19" s="16"/>
      <c r="G19" s="45"/>
      <c r="I19" s="21"/>
    </row>
    <row r="20" spans="3:12" ht="16.5" customHeight="1" outlineLevel="1" x14ac:dyDescent="0.25">
      <c r="F20" s="30">
        <f>$F$6*LN(F15/$F$7)*$F$3</f>
        <v>26.251212335920307</v>
      </c>
      <c r="H20" s="20" t="str">
        <f>[3]!EQS(F20,"Units= ; EqnPrefix=Valem  ; EqnNo= 0; Multiplication= 1; ShowWorking= 0; EqnStyle= 2; Eqp$H$21_2")</f>
        <v/>
      </c>
      <c r="J20" s="20"/>
    </row>
    <row r="21" spans="3:12" ht="12" customHeight="1" outlineLevel="1" x14ac:dyDescent="0.25">
      <c r="E21" s="17"/>
      <c r="F21" s="30"/>
      <c r="G21" s="45"/>
      <c r="H21" s="20" t="str">
        <f>[3]!EQS(F20,"Units= ; EqnPrefix=Valem  ; EqnNo= 0; Multiplication= 1; ShowWorking= 1; EqnStyle= 2; Eqp$H$21_$H$22_3")</f>
        <v/>
      </c>
      <c r="J21" s="20"/>
    </row>
    <row r="22" spans="3:12" outlineLevel="1" x14ac:dyDescent="0.25">
      <c r="D22" s="29"/>
      <c r="F22" s="30"/>
      <c r="G22" s="45"/>
      <c r="H22" s="20"/>
      <c r="I22" s="28"/>
      <c r="J22" s="20"/>
    </row>
    <row r="23" spans="3:12" outlineLevel="1" x14ac:dyDescent="0.25">
      <c r="F23" s="30">
        <f>1/2*$F$5*F20^2</f>
        <v>422.08976632716445</v>
      </c>
      <c r="H23" s="20" t="str">
        <f>[3]!EQS(F23,"Units= ; EqnPrefix=Valem  ; EqnNo= 0; Multiplication= 1; ShowWorking= 0; EqnStyle= 2; Eqp$G$21_0")</f>
        <v/>
      </c>
      <c r="J23" s="20"/>
    </row>
    <row r="24" spans="3:12" outlineLevel="1" x14ac:dyDescent="0.25">
      <c r="E24" s="25"/>
      <c r="F24" s="30"/>
      <c r="G24" s="47"/>
      <c r="H24" s="20" t="str">
        <f>[3]!EQS(F23,"Units= ; EqnPrefix=Valem  ; EqnNo= 0; Multiplication= 1; ShowWorking= 1; EqnStyle= 2; Eqp$G$21_$G$25_1")</f>
        <v/>
      </c>
      <c r="J24" s="20"/>
    </row>
    <row r="25" spans="3:12" outlineLevel="1" x14ac:dyDescent="0.25">
      <c r="E25" s="25"/>
      <c r="F25" s="30"/>
      <c r="G25" s="47"/>
      <c r="I25" s="28"/>
      <c r="J25" s="20"/>
    </row>
    <row r="26" spans="3:12" outlineLevel="1" x14ac:dyDescent="0.25">
      <c r="F26" s="30">
        <f>(1+2.28/LN(F15/$F$7))^2</f>
        <v>1.8131807308313552</v>
      </c>
      <c r="G26" s="47"/>
      <c r="H26" s="20" t="str">
        <f>[3]!EQS(F26,"Units= ; EqnPrefix=Valem  ; EqnNo= 0; Multiplication= 1; ShowWorking= 0; EqnStyle= 2; Eqp$G$24_0")</f>
        <v/>
      </c>
      <c r="J26" s="20"/>
    </row>
    <row r="27" spans="3:12" outlineLevel="1" x14ac:dyDescent="0.25">
      <c r="E27" s="25"/>
      <c r="F27" s="30"/>
      <c r="G27" s="47"/>
      <c r="H27" s="20" t="str">
        <f>[3]!EQS(F26,"Units= ; EqnPrefix=Valem  ; EqnNo= 0; Multiplication= 1; ShowWorking= 1; EqnStyle= 2; Eqp$G$24_$G$28_1")</f>
        <v/>
      </c>
      <c r="J27" s="20"/>
    </row>
    <row r="28" spans="3:12" outlineLevel="1" x14ac:dyDescent="0.25">
      <c r="D28" s="13"/>
      <c r="E28" s="25"/>
      <c r="F28" s="30"/>
      <c r="G28" s="47"/>
      <c r="J28" s="20"/>
    </row>
    <row r="29" spans="3:12" outlineLevel="1" x14ac:dyDescent="0.25">
      <c r="F29" s="13">
        <v>1.1499999999999999</v>
      </c>
      <c r="J29" s="20"/>
    </row>
    <row r="30" spans="3:12" outlineLevel="1" x14ac:dyDescent="0.25">
      <c r="D30" s="27"/>
      <c r="E30" s="14"/>
      <c r="F30" s="31"/>
      <c r="H30" s="20"/>
      <c r="I30" s="20"/>
      <c r="J30" s="20"/>
    </row>
    <row r="31" spans="3:12" outlineLevel="1" x14ac:dyDescent="0.25">
      <c r="F31" s="20">
        <f>15*10^-6</f>
        <v>1.4999999999999999E-5</v>
      </c>
      <c r="H31" s="20"/>
      <c r="J31" s="20"/>
    </row>
    <row r="32" spans="3:12" outlineLevel="1" x14ac:dyDescent="0.25">
      <c r="F32" s="20">
        <f>F16</f>
        <v>0.32400000000000001</v>
      </c>
      <c r="H32" s="20"/>
      <c r="J32" s="20"/>
    </row>
    <row r="33" spans="3:12" outlineLevel="1" x14ac:dyDescent="0.25">
      <c r="C33" s="13"/>
      <c r="E33" s="25"/>
      <c r="F33" s="20"/>
      <c r="G33" s="47"/>
      <c r="H33" s="20"/>
      <c r="I33" s="29"/>
      <c r="J33" s="20"/>
    </row>
    <row r="34" spans="3:12" outlineLevel="1" x14ac:dyDescent="0.25">
      <c r="C34" s="13"/>
      <c r="F34" s="32">
        <f>F32*F20/F31</f>
        <v>567026.18645587866</v>
      </c>
      <c r="H34" s="20" t="str">
        <f>[3]!EQS(F34,"Units= ; EqnPrefix=Valem  ; EqnNo= 0; Multiplication= 1; ShowWorking= 1; EqnStyle= 2; Eqp$G$27_0")</f>
        <v/>
      </c>
      <c r="J34" s="20"/>
    </row>
    <row r="35" spans="3:12" outlineLevel="1" x14ac:dyDescent="0.25">
      <c r="C35" s="13"/>
      <c r="F35" s="32">
        <f>6.175*10^-4</f>
        <v>6.1749999999999999E-4</v>
      </c>
      <c r="H35" s="20"/>
      <c r="J35" s="20"/>
    </row>
    <row r="36" spans="3:12" outlineLevel="1" x14ac:dyDescent="0.25">
      <c r="C36" s="13"/>
      <c r="E36" s="25"/>
      <c r="F36" s="32"/>
      <c r="H36" s="20"/>
      <c r="I36" s="29"/>
      <c r="J36" s="20"/>
    </row>
    <row r="37" spans="3:12" outlineLevel="1" x14ac:dyDescent="0.25">
      <c r="C37" s="13"/>
      <c r="F37" s="32">
        <f>1.2+(0.18*LOG(10*F35))/(1+0.4*LOG(F34/10^6))</f>
        <v>0.75883386915863227</v>
      </c>
      <c r="H37" s="20" t="str">
        <f>[3]!EQS(F37,"Units= ; EqnPrefix=Valem  ; EqnNo= 0; Multiplication= 1; ShowWorking= 0; EqnStyle=2; Eqp$G$36_2")</f>
        <v/>
      </c>
      <c r="J37" s="20"/>
    </row>
    <row r="38" spans="3:12" outlineLevel="1" x14ac:dyDescent="0.25">
      <c r="C38" s="13"/>
      <c r="E38" s="20"/>
      <c r="F38" s="20"/>
      <c r="H38" s="20" t="str">
        <f>[3]!EQS(F37,"Units= ; EqnPrefix=Valem  ; EqnNo= 0; Multiplication= 1; ShowWorking= 1; EqnStyle=2; Eqp$G$36_$G$37_3")</f>
        <v/>
      </c>
      <c r="J38" s="20"/>
    </row>
    <row r="40" spans="3:12" x14ac:dyDescent="0.25">
      <c r="F40" s="34">
        <f>F23*F26*F29*F37*F16</f>
        <v>216.38914697938665</v>
      </c>
      <c r="H40" s="20" t="str">
        <f>[3]!EQS(F40,"Units= ; EqnPrefix=Valem  ; EqnNo= 0; Multiplication= 1; ShowWorking= 0; EqnStyle= 2; Eqp$G$39_0")</f>
        <v/>
      </c>
    </row>
    <row r="41" spans="3:12" x14ac:dyDescent="0.25">
      <c r="H41" s="13" t="str">
        <f>[3]!EQS(F40,"Units= ; EqnPrefix=Valem  ; EqnNo= 0; Multiplication= 1; ShowWorking= 1; EqnStyle= 2; Eqp$G$39_$G$40_1")</f>
        <v/>
      </c>
    </row>
    <row r="44" spans="3:12" collapsed="1" x14ac:dyDescent="0.25">
      <c r="C44" s="24"/>
      <c r="D44" s="24"/>
      <c r="E44" s="18"/>
      <c r="F44" s="18"/>
      <c r="G44" s="46"/>
      <c r="H44" s="18"/>
      <c r="I44" s="18"/>
      <c r="J44" s="18"/>
      <c r="K44" s="18"/>
      <c r="L44" s="18"/>
    </row>
    <row r="45" spans="3:12" hidden="1" outlineLevel="1" x14ac:dyDescent="0.25">
      <c r="E45" s="14"/>
    </row>
    <row r="46" spans="3:12" hidden="1" outlineLevel="1" x14ac:dyDescent="0.25">
      <c r="F46" s="22">
        <v>14</v>
      </c>
    </row>
    <row r="47" spans="3:12" hidden="1" outlineLevel="1" x14ac:dyDescent="0.25">
      <c r="F47" s="22">
        <v>0.27300000000000002</v>
      </c>
    </row>
    <row r="48" spans="3:12" hidden="1" outlineLevel="1" x14ac:dyDescent="0.25">
      <c r="F48" s="22">
        <v>15.5</v>
      </c>
    </row>
    <row r="49" spans="4:10" hidden="1" outlineLevel="1" x14ac:dyDescent="0.25">
      <c r="D49" s="26"/>
      <c r="E49" s="17"/>
      <c r="F49" s="16"/>
      <c r="G49" s="45"/>
      <c r="I49" s="21"/>
    </row>
    <row r="50" spans="4:10" hidden="1" outlineLevel="1" x14ac:dyDescent="0.25">
      <c r="F50" s="33">
        <f>F47*F48</f>
        <v>4.2315000000000005</v>
      </c>
      <c r="H50" s="20" t="str">
        <f>[3]!EQS(F50,"Units= ; EqnPrefix=Valem  ; EqnNo= 0; Multiplication= 1; ShowWorking= 1; EqnStyle=2; Eqp$G$17_0")</f>
        <v/>
      </c>
    </row>
    <row r="51" spans="4:10" hidden="1" outlineLevel="1" x14ac:dyDescent="0.25">
      <c r="F51" s="16"/>
      <c r="G51" s="45"/>
      <c r="I51" s="21"/>
    </row>
    <row r="52" spans="4:10" hidden="1" outlineLevel="1" x14ac:dyDescent="0.25">
      <c r="E52" s="17"/>
      <c r="F52" s="16"/>
      <c r="G52" s="45"/>
      <c r="I52" s="21"/>
    </row>
    <row r="53" spans="4:10" hidden="1" outlineLevel="1" x14ac:dyDescent="0.25"/>
    <row r="54" spans="4:10" ht="16.5" hidden="1" customHeight="1" outlineLevel="1" x14ac:dyDescent="0.25">
      <c r="F54" s="30">
        <f>$F$6*LN(F46/$F$7)*$F$3</f>
        <v>22.482810516645301</v>
      </c>
      <c r="H54" s="20" t="str">
        <f>[3]!EQS(F54,"Units= ; EqnPrefix=Valem  ; EqnNo= 0; Multiplication= 1; ShowWorking= 0; EqnStyle= 2; Eqp$H$54_2")</f>
        <v/>
      </c>
      <c r="J54" s="20"/>
    </row>
    <row r="55" spans="4:10" ht="12" hidden="1" customHeight="1" outlineLevel="1" x14ac:dyDescent="0.25">
      <c r="E55" s="17"/>
      <c r="F55" s="30"/>
      <c r="G55" s="45"/>
      <c r="H55" s="20" t="str">
        <f>[3]!EQS(F54,"Units= ; EqnPrefix=Valem  ; EqnNo= 0; Multiplication= 1; ShowWorking= 1; EqnStyle= 2; Eqp$H$54_$H$55_3")</f>
        <v/>
      </c>
      <c r="J55" s="20"/>
    </row>
    <row r="56" spans="4:10" hidden="1" outlineLevel="1" x14ac:dyDescent="0.25">
      <c r="D56" s="29"/>
      <c r="F56" s="30"/>
      <c r="G56" s="45"/>
      <c r="H56" s="20"/>
      <c r="I56" s="28"/>
      <c r="J56" s="20"/>
    </row>
    <row r="57" spans="4:10" hidden="1" outlineLevel="1" x14ac:dyDescent="0.25">
      <c r="F57" s="30">
        <f>1/2*$F$5*F54^2</f>
        <v>309.60452084551815</v>
      </c>
      <c r="H57" s="20" t="str">
        <f>[3]!EQS(F57,"Units= ; EqnPrefix=Valem  ; EqnNo= 0; Multiplication= 1; ShowWorking= 0; EqnStyle= 2; Eqp$G$21_0")</f>
        <v/>
      </c>
      <c r="J57" s="20"/>
    </row>
    <row r="58" spans="4:10" hidden="1" outlineLevel="1" x14ac:dyDescent="0.25">
      <c r="E58" s="25"/>
      <c r="F58" s="30"/>
      <c r="G58" s="47"/>
      <c r="H58" s="20" t="str">
        <f>[3]!EQS(F57,"Units= ; EqnPrefix=Valem  ; EqnNo= 0; Multiplication= 1; ShowWorking= 1; EqnStyle= 2; Eqp$G$21_$G$25_1")</f>
        <v/>
      </c>
      <c r="J58" s="20"/>
    </row>
    <row r="59" spans="4:10" hidden="1" outlineLevel="1" x14ac:dyDescent="0.25">
      <c r="E59" s="25"/>
      <c r="F59" s="30"/>
      <c r="G59" s="47"/>
      <c r="I59" s="28"/>
      <c r="J59" s="20"/>
    </row>
    <row r="60" spans="4:10" hidden="1" outlineLevel="1" x14ac:dyDescent="0.25">
      <c r="F60" s="30">
        <f>(1+2.28/LN(F46/$F$7))^2</f>
        <v>1.9729829854343099</v>
      </c>
      <c r="G60" s="47"/>
      <c r="H60" s="20" t="str">
        <f>[3]!EQS(F60,"Units= ; EqnPrefix=Valem  ; EqnNo= 0; Multiplication= 1; ShowWorking= 0; EqnStyle= 2; Eqp$G$24_0")</f>
        <v/>
      </c>
      <c r="J60" s="20"/>
    </row>
    <row r="61" spans="4:10" hidden="1" outlineLevel="1" x14ac:dyDescent="0.25">
      <c r="E61" s="25"/>
      <c r="F61" s="30"/>
      <c r="G61" s="47"/>
      <c r="H61" s="20" t="str">
        <f>[3]!EQS(F60,"Units= ; EqnPrefix=Valem  ; EqnNo= 0; Multiplication= 1; ShowWorking= 1; EqnStyle= 2; Eqp$G$24_$G$28_1")</f>
        <v/>
      </c>
      <c r="J61" s="20"/>
    </row>
    <row r="62" spans="4:10" hidden="1" outlineLevel="1" x14ac:dyDescent="0.25">
      <c r="D62" s="13"/>
      <c r="E62" s="25"/>
      <c r="F62" s="30"/>
      <c r="G62" s="47"/>
      <c r="J62" s="20"/>
    </row>
    <row r="63" spans="4:10" hidden="1" outlineLevel="1" x14ac:dyDescent="0.25">
      <c r="F63" s="13">
        <v>1.1499999999999999</v>
      </c>
      <c r="J63" s="20"/>
    </row>
    <row r="64" spans="4:10" hidden="1" outlineLevel="1" x14ac:dyDescent="0.25">
      <c r="D64" s="27"/>
      <c r="E64" s="14"/>
      <c r="F64" s="31"/>
      <c r="H64" s="20"/>
      <c r="I64" s="20"/>
      <c r="J64" s="20"/>
    </row>
    <row r="65" spans="3:10" hidden="1" outlineLevel="1" x14ac:dyDescent="0.25">
      <c r="F65" s="20">
        <f>15*10^-6</f>
        <v>1.4999999999999999E-5</v>
      </c>
      <c r="H65" s="20"/>
      <c r="J65" s="20"/>
    </row>
    <row r="66" spans="3:10" hidden="1" outlineLevel="1" x14ac:dyDescent="0.25">
      <c r="F66" s="20">
        <f>F47</f>
        <v>0.27300000000000002</v>
      </c>
      <c r="H66" s="20"/>
      <c r="J66" s="20"/>
    </row>
    <row r="67" spans="3:10" hidden="1" outlineLevel="1" x14ac:dyDescent="0.25">
      <c r="C67" s="13"/>
      <c r="E67" s="25"/>
      <c r="F67" s="20"/>
      <c r="G67" s="47"/>
      <c r="H67" s="20"/>
      <c r="I67" s="29"/>
      <c r="J67" s="20"/>
    </row>
    <row r="68" spans="3:10" hidden="1" outlineLevel="1" x14ac:dyDescent="0.25">
      <c r="C68" s="13"/>
      <c r="F68" s="32">
        <f>F66*F54/F65</f>
        <v>409187.15140294458</v>
      </c>
      <c r="H68" s="20" t="str">
        <f>[3]!EQS(F68,"Units= ; EqnPrefix=Valem  ; EqnNo= 0; Multiplication= 1; ShowWorking= 0; EqnStyle= 2; Eqp$G$27_0")</f>
        <v/>
      </c>
      <c r="J68" s="20"/>
    </row>
    <row r="69" spans="3:10" hidden="1" outlineLevel="1" x14ac:dyDescent="0.25">
      <c r="C69" s="13"/>
      <c r="E69" s="25"/>
      <c r="F69" s="32"/>
      <c r="H69" s="20" t="str">
        <f>[3]!EQS(F68,"Units= ; EqnPrefix=Valem  ; EqnNo= 0; Multiplication= 1; ShowWorking= 1; EqnStyle= 2; Eqp$G$27_$H$69_1")</f>
        <v/>
      </c>
      <c r="J69" s="20"/>
    </row>
    <row r="70" spans="3:10" hidden="1" outlineLevel="1" x14ac:dyDescent="0.25">
      <c r="C70" s="13"/>
      <c r="F70" s="35">
        <f>0.2/F47*1000</f>
        <v>732.6007326007325</v>
      </c>
      <c r="H70" s="20"/>
      <c r="J70" s="20"/>
    </row>
    <row r="71" spans="3:10" hidden="1" outlineLevel="1" x14ac:dyDescent="0.25">
      <c r="C71" s="13"/>
      <c r="E71" s="25"/>
      <c r="F71" s="32"/>
      <c r="H71" s="20"/>
      <c r="I71" s="29"/>
      <c r="J71" s="20"/>
    </row>
    <row r="72" spans="3:10" hidden="1" outlineLevel="1" x14ac:dyDescent="0.25">
      <c r="F72" s="30">
        <f>1.2+(0.18*LOG(10*F70))/(1+0.4*LOG(F68/10^6))</f>
        <v>2.0235106772562297</v>
      </c>
      <c r="H72" s="20" t="str">
        <f>[3]!EQS(F72,"Units= ; EqnPrefix=Valem  ; EqnNo= 0; Multiplication= 1; ShowWorking= 0; EqnStyle=2; Eqp$G$36_2")</f>
        <v/>
      </c>
      <c r="J72" s="20"/>
    </row>
    <row r="73" spans="3:10" hidden="1" outlineLevel="1" x14ac:dyDescent="0.25">
      <c r="E73" s="20"/>
      <c r="F73" s="20"/>
      <c r="H73" s="20" t="str">
        <f>[3]!EQS(F72,"Units= ; EqnPrefix=Valem  ; EqnNo= 0; Multiplication= 1; ShowWorking= 1; EqnStyle=2; Eqp$G$36_$G$37_3")</f>
        <v/>
      </c>
      <c r="J73" s="20"/>
    </row>
    <row r="74" spans="3:10" hidden="1" outlineLevel="1" x14ac:dyDescent="0.25">
      <c r="E74" s="20"/>
      <c r="F74" s="20"/>
      <c r="H74" s="20"/>
      <c r="I74" s="28"/>
      <c r="J74" s="20"/>
    </row>
    <row r="75" spans="3:10" hidden="1" outlineLevel="1" x14ac:dyDescent="0.25">
      <c r="F75" s="20">
        <f>COS(RADIANS(90))^2</f>
        <v>3.7524718414124473E-33</v>
      </c>
      <c r="H75" s="20" t="str">
        <f>[3]!EQS(F75,"Units= ; EqnPrefix=Valem  ; EqnNo= 0; Multiplication= 1; ShowWorking= 0; EqnStyle= 2; Eqp$H$75_2")</f>
        <v/>
      </c>
      <c r="J75" s="20"/>
    </row>
    <row r="77" spans="3:10" x14ac:dyDescent="0.25">
      <c r="F77" s="34">
        <f>F57*F60*F63*F72*F47*F75</f>
        <v>1.4561766518140426E-30</v>
      </c>
      <c r="H77" s="20" t="str">
        <f>[3]!EQS(F77,"Units= ; EqnPrefix=Valem  ; EqnNo= 0; Multiplication= 1; ShowWorking= 0; EqnStyle= 2; Eqp$G$39_0")</f>
        <v/>
      </c>
    </row>
    <row r="78" spans="3:10" x14ac:dyDescent="0.25">
      <c r="H78" s="13" t="str">
        <f>[3]!EQS(F77,"Units= ; EqnPrefix=Valem  ; EqnNo= 0; Multiplication= 1; ShowWorking= 1; EqnStyle= 2; Eqp$G$39_$G$40_1")</f>
        <v/>
      </c>
    </row>
    <row r="81" spans="3:12" collapsed="1" x14ac:dyDescent="0.25">
      <c r="C81" s="24"/>
      <c r="D81" s="24"/>
      <c r="E81" s="18"/>
      <c r="F81" s="18"/>
      <c r="G81" s="46"/>
      <c r="H81" s="18"/>
      <c r="I81" s="18"/>
      <c r="J81" s="18"/>
      <c r="K81" s="18"/>
      <c r="L81" s="18"/>
    </row>
    <row r="82" spans="3:12" hidden="1" outlineLevel="1" x14ac:dyDescent="0.25">
      <c r="E82" s="14"/>
    </row>
    <row r="83" spans="3:12" hidden="1" outlineLevel="1" x14ac:dyDescent="0.25">
      <c r="F83" s="22">
        <v>28</v>
      </c>
    </row>
    <row r="84" spans="3:12" hidden="1" outlineLevel="1" x14ac:dyDescent="0.25">
      <c r="F84" s="22">
        <v>0.22</v>
      </c>
    </row>
    <row r="85" spans="3:12" hidden="1" outlineLevel="1" x14ac:dyDescent="0.25">
      <c r="F85" s="22">
        <v>23</v>
      </c>
    </row>
    <row r="86" spans="3:12" hidden="1" outlineLevel="1" x14ac:dyDescent="0.25">
      <c r="D86" s="26"/>
      <c r="E86" s="17"/>
      <c r="F86" s="16"/>
      <c r="G86" s="45"/>
      <c r="I86" s="21"/>
    </row>
    <row r="87" spans="3:12" hidden="1" outlineLevel="1" x14ac:dyDescent="0.25">
      <c r="F87" s="33">
        <f>F84*F85</f>
        <v>5.0599999999999996</v>
      </c>
      <c r="H87" s="20" t="str">
        <f>[3]!EQS(F87,"Units= ; EqnPrefix=Valem  ; EqnNo= 0; Multiplication= 1; ShowWorking= 1; EqnStyle=2; Eqp$G$17_0")</f>
        <v/>
      </c>
    </row>
    <row r="88" spans="3:12" hidden="1" outlineLevel="1" x14ac:dyDescent="0.25">
      <c r="E88" s="25"/>
      <c r="F88" s="33"/>
      <c r="G88" s="47"/>
      <c r="H88" s="20"/>
      <c r="I88" s="19"/>
    </row>
    <row r="89" spans="3:12" hidden="1" outlineLevel="1" x14ac:dyDescent="0.25">
      <c r="F89" s="16"/>
      <c r="G89" s="45"/>
      <c r="I89" s="21"/>
    </row>
    <row r="90" spans="3:12" hidden="1" outlineLevel="1" x14ac:dyDescent="0.25">
      <c r="E90" s="17"/>
      <c r="F90" s="16"/>
      <c r="G90" s="45"/>
      <c r="I90" s="21"/>
    </row>
    <row r="91" spans="3:12" hidden="1" outlineLevel="1" x14ac:dyDescent="0.25"/>
    <row r="92" spans="3:12" ht="16.5" hidden="1" customHeight="1" outlineLevel="1" x14ac:dyDescent="0.25">
      <c r="F92" s="30">
        <f>$F$6*LN(F83/$F$7)*$F$3</f>
        <v>25.248467767079489</v>
      </c>
      <c r="H92" s="20" t="str">
        <f>[3]!EQS(F92,"Units= ; EqnPrefix=Valem  ; EqnNo= 0; Multiplication= 1; ShowWorking= 0; EqnStyle= 2; Eqp$H$54_2")</f>
        <v/>
      </c>
      <c r="J92" s="20"/>
    </row>
    <row r="93" spans="3:12" ht="12" hidden="1" customHeight="1" outlineLevel="1" x14ac:dyDescent="0.25">
      <c r="E93" s="17"/>
      <c r="F93" s="30"/>
      <c r="G93" s="45"/>
      <c r="H93" s="20" t="str">
        <f>[3]!EQS(F92,"Units= ; EqnPrefix=Valem  ; EqnNo= 0; Multiplication= 1; ShowWorking= 1; EqnStyle= 2; Eqp$H$54_$H$55_3")</f>
        <v/>
      </c>
      <c r="J93" s="20"/>
    </row>
    <row r="94" spans="3:12" hidden="1" outlineLevel="1" x14ac:dyDescent="0.25">
      <c r="D94" s="29"/>
      <c r="F94" s="30"/>
      <c r="G94" s="45"/>
      <c r="H94" s="20"/>
      <c r="I94" s="28"/>
      <c r="J94" s="20"/>
    </row>
    <row r="95" spans="3:12" hidden="1" outlineLevel="1" x14ac:dyDescent="0.25">
      <c r="F95" s="30">
        <f>1/2*$F$5*F92^2</f>
        <v>390.45963880846682</v>
      </c>
      <c r="H95" s="20" t="str">
        <f>[3]!EQS(F95,"Units= ; EqnPrefix=Valem  ; EqnNo= 0; Multiplication= 1; ShowWorking= 0; EqnStyle= 2; Eqp$G$21_0")</f>
        <v/>
      </c>
      <c r="J95" s="20"/>
    </row>
    <row r="96" spans="3:12" hidden="1" outlineLevel="1" x14ac:dyDescent="0.25">
      <c r="E96" s="25"/>
      <c r="F96" s="30"/>
      <c r="G96" s="47"/>
      <c r="H96" s="20" t="str">
        <f>[3]!EQS(F95,"Units= ; EqnPrefix=Valem  ; EqnNo= 0; Multiplication= 1; ShowWorking= 1; EqnStyle= 2; Eqp$G$21_$G$25_1")</f>
        <v/>
      </c>
      <c r="J96" s="20"/>
    </row>
    <row r="97" spans="3:10" hidden="1" outlineLevel="1" x14ac:dyDescent="0.25">
      <c r="E97" s="25"/>
      <c r="F97" s="30"/>
      <c r="G97" s="47"/>
      <c r="I97" s="28"/>
      <c r="J97" s="20"/>
    </row>
    <row r="98" spans="3:10" hidden="1" outlineLevel="1" x14ac:dyDescent="0.25">
      <c r="F98" s="30">
        <f>(1+2.28/LN(F83/$F$7))^2</f>
        <v>1.8504351691877789</v>
      </c>
      <c r="G98" s="47"/>
      <c r="H98" s="20" t="str">
        <f>[3]!EQS(F98,"Units= ; EqnPrefix=Valem  ; EqnNo= 0; Multiplication= 1; ShowWorking= 0; EqnStyle= 2; Eqp$G$24_0")</f>
        <v/>
      </c>
      <c r="J98" s="20"/>
    </row>
    <row r="99" spans="3:10" hidden="1" outlineLevel="1" x14ac:dyDescent="0.25">
      <c r="E99" s="25"/>
      <c r="F99" s="30"/>
      <c r="G99" s="47"/>
      <c r="H99" s="20" t="str">
        <f>[3]!EQS(F98,"Units= ; EqnPrefix=Valem  ; EqnNo= 0; Multiplication= 1; ShowWorking= 1; EqnStyle= 2; Eqp$G$24_$G$28_1")</f>
        <v/>
      </c>
      <c r="J99" s="20"/>
    </row>
    <row r="100" spans="3:10" hidden="1" outlineLevel="1" x14ac:dyDescent="0.25">
      <c r="D100" s="13"/>
      <c r="E100" s="25"/>
      <c r="F100" s="30"/>
      <c r="G100" s="47"/>
      <c r="J100" s="20"/>
    </row>
    <row r="101" spans="3:10" hidden="1" outlineLevel="1" x14ac:dyDescent="0.25">
      <c r="F101" s="13">
        <v>1.1499999999999999</v>
      </c>
      <c r="J101" s="20"/>
    </row>
    <row r="102" spans="3:10" hidden="1" outlineLevel="1" x14ac:dyDescent="0.25">
      <c r="D102" s="27"/>
      <c r="E102" s="14"/>
      <c r="F102" s="31"/>
      <c r="H102" s="20"/>
      <c r="I102" s="20"/>
      <c r="J102" s="20"/>
    </row>
    <row r="103" spans="3:10" hidden="1" outlineLevel="1" x14ac:dyDescent="0.25">
      <c r="C103" s="13"/>
      <c r="E103" s="25"/>
      <c r="F103" s="32"/>
      <c r="H103" s="20"/>
      <c r="I103" s="29"/>
      <c r="J103" s="20"/>
    </row>
    <row r="104" spans="3:10" hidden="1" outlineLevel="1" x14ac:dyDescent="0.25">
      <c r="F104" s="30">
        <v>2</v>
      </c>
      <c r="H104" s="20"/>
      <c r="I104" s="19"/>
      <c r="J104" s="20"/>
    </row>
    <row r="105" spans="3:10" hidden="1" outlineLevel="1" x14ac:dyDescent="0.25">
      <c r="E105" s="20"/>
      <c r="F105" s="20"/>
      <c r="H105" s="20"/>
      <c r="I105" s="28"/>
      <c r="J105" s="20"/>
    </row>
    <row r="106" spans="3:10" hidden="1" outlineLevel="1" x14ac:dyDescent="0.25">
      <c r="D106" s="36"/>
      <c r="F106" s="38">
        <f>MIN(70,2*F85/F84)</f>
        <v>70</v>
      </c>
      <c r="H106" s="20"/>
      <c r="I106" s="28"/>
      <c r="J106" s="20"/>
    </row>
    <row r="107" spans="3:10" hidden="1" outlineLevel="1" x14ac:dyDescent="0.25">
      <c r="E107" s="20"/>
      <c r="F107" s="20"/>
      <c r="H107" s="20"/>
      <c r="I107" s="28"/>
      <c r="J107" s="20"/>
    </row>
    <row r="108" spans="3:10" hidden="1" outlineLevel="1" x14ac:dyDescent="0.25">
      <c r="D108" s="36"/>
      <c r="F108" s="20">
        <v>1</v>
      </c>
      <c r="H108" s="20"/>
      <c r="I108" s="28"/>
      <c r="J108" s="20"/>
    </row>
    <row r="109" spans="3:10" hidden="1" outlineLevel="1" x14ac:dyDescent="0.25">
      <c r="F109" s="20"/>
      <c r="H109" s="20"/>
      <c r="I109" s="28"/>
      <c r="J109" s="20"/>
    </row>
    <row r="110" spans="3:10" hidden="1" outlineLevel="1" x14ac:dyDescent="0.25">
      <c r="F110" s="13">
        <v>0.92</v>
      </c>
      <c r="H110" s="20"/>
      <c r="I110" s="28"/>
      <c r="J110" s="20"/>
    </row>
    <row r="111" spans="3:10" hidden="1" outlineLevel="1" x14ac:dyDescent="0.25">
      <c r="E111" s="20"/>
      <c r="F111" s="37"/>
      <c r="H111" s="20"/>
      <c r="I111" s="28"/>
      <c r="J111" s="20"/>
    </row>
    <row r="112" spans="3:10" hidden="1" outlineLevel="1" x14ac:dyDescent="0.25">
      <c r="F112" s="39">
        <f>F104*F110</f>
        <v>1.84</v>
      </c>
      <c r="H112" s="20" t="str">
        <f>[3]!EQS(F112,"Units= ; EqnPrefix=Valem  ; EqnNo= 0; Multiplication= 1; ShowWorking= 0; EqnStyle= 2; Eqp$H$119_2")</f>
        <v/>
      </c>
      <c r="J112" s="20"/>
    </row>
    <row r="113" spans="3:12" hidden="1" outlineLevel="1" x14ac:dyDescent="0.25">
      <c r="E113" s="20"/>
      <c r="F113" s="37"/>
      <c r="H113" s="20" t="str">
        <f>[3]!EQS(F112,"Units= ; EqnPrefix=Valem  ; EqnNo= 0; Multiplication= 1; ShowWorking= 1; EqnStyle= 2; Eqp$H$119_$H$120_3")</f>
        <v/>
      </c>
      <c r="J113" s="20"/>
    </row>
    <row r="114" spans="3:12" hidden="1" outlineLevel="1" x14ac:dyDescent="0.25">
      <c r="E114" s="20"/>
      <c r="F114" s="20"/>
      <c r="H114" s="20"/>
      <c r="I114" s="28"/>
      <c r="J114" s="20"/>
    </row>
    <row r="115" spans="3:12" hidden="1" outlineLevel="1" x14ac:dyDescent="0.25">
      <c r="F115" s="58">
        <f>COS(RADIANS(90))^2</f>
        <v>3.7524718414124473E-33</v>
      </c>
      <c r="H115" s="20" t="str">
        <f>[3]!EQS(F115,"Units= ; EqnPrefix=Valem  ; EqnNo= 0; Multiplication= 1; ShowWorking= 0; EqnStyle= 2; Eqp$H$75_2")</f>
        <v/>
      </c>
      <c r="J115" s="20"/>
    </row>
    <row r="116" spans="3:12" hidden="1" outlineLevel="1" x14ac:dyDescent="0.25"/>
    <row r="117" spans="3:12" x14ac:dyDescent="0.25">
      <c r="F117" s="34">
        <f>F95*F98*F101*F112*F84*F115</f>
        <v>1.2621349945739855E-30</v>
      </c>
      <c r="H117" s="20" t="str">
        <f>[3]!EQS(F117,"Units= ; EqnPrefix=Valem  ; EqnNo= 0; Multiplication= 1; ShowWorking= 0; EqnStyle= 2; Eqp$G$39_0")</f>
        <v/>
      </c>
    </row>
    <row r="118" spans="3:12" x14ac:dyDescent="0.25">
      <c r="H118" s="13" t="str">
        <f>[3]!EQS(F117,"Units= ; EqnPrefix=Valem  ; EqnNo= 0; Multiplication= 1; ShowWorking= 1; EqnStyle= 2; Eqp$G$39_$G$40_1")</f>
        <v/>
      </c>
    </row>
    <row r="121" spans="3:12" x14ac:dyDescent="0.25">
      <c r="C121" s="24"/>
      <c r="D121" s="24"/>
      <c r="E121" s="18"/>
      <c r="F121" s="18"/>
      <c r="G121" s="46"/>
      <c r="H121" s="18"/>
      <c r="I121" s="18"/>
      <c r="J121" s="18"/>
      <c r="K121" s="18"/>
      <c r="L121" s="18"/>
    </row>
    <row r="122" spans="3:12" outlineLevel="1" x14ac:dyDescent="0.25">
      <c r="E122" s="14"/>
    </row>
    <row r="123" spans="3:12" outlineLevel="1" x14ac:dyDescent="0.25">
      <c r="F123" s="22">
        <v>36</v>
      </c>
    </row>
    <row r="124" spans="3:12" outlineLevel="1" x14ac:dyDescent="0.25">
      <c r="F124" s="22">
        <v>0.25</v>
      </c>
    </row>
    <row r="125" spans="3:12" outlineLevel="1" x14ac:dyDescent="0.25">
      <c r="F125" s="22">
        <v>0.25</v>
      </c>
    </row>
    <row r="126" spans="3:12" outlineLevel="1" x14ac:dyDescent="0.25">
      <c r="F126" s="22">
        <v>23</v>
      </c>
    </row>
    <row r="127" spans="3:12" outlineLevel="1" x14ac:dyDescent="0.25">
      <c r="D127" s="26"/>
      <c r="E127" s="17"/>
      <c r="F127" s="16"/>
      <c r="G127" s="45"/>
      <c r="I127" s="21"/>
    </row>
    <row r="128" spans="3:12" outlineLevel="1" x14ac:dyDescent="0.25">
      <c r="F128" s="33">
        <f>F124*F126</f>
        <v>5.75</v>
      </c>
      <c r="H128" s="20" t="str">
        <f>[3]!EQS(F128,"Units= ; EqnPrefix=Valem  ; EqnNo= 0; Multiplication= 1; ShowWorking= 1; EqnStyle=2; Eqp$G$17_0")</f>
        <v/>
      </c>
    </row>
    <row r="129" spans="3:10" outlineLevel="1" x14ac:dyDescent="0.25">
      <c r="E129" s="25"/>
      <c r="F129" s="33"/>
      <c r="G129" s="47"/>
      <c r="H129" s="20"/>
      <c r="I129" s="19"/>
    </row>
    <row r="130" spans="3:10" outlineLevel="1" x14ac:dyDescent="0.25">
      <c r="C130" s="36"/>
      <c r="F130" s="33">
        <f>F125*F124</f>
        <v>6.25E-2</v>
      </c>
      <c r="H130" s="20" t="str">
        <f>[3]!EQS(F130,"Units= ; EqnPrefix=Valem  ; EqnNo= 0; Multiplication= 1; ShowWorking= 1; EqnStyle= 2; Eqp$H$137_2")</f>
        <v/>
      </c>
    </row>
    <row r="131" spans="3:10" outlineLevel="1" x14ac:dyDescent="0.25">
      <c r="F131" s="16"/>
      <c r="G131" s="45"/>
      <c r="I131" s="21"/>
    </row>
    <row r="132" spans="3:10" outlineLevel="1" x14ac:dyDescent="0.25">
      <c r="E132" s="17"/>
      <c r="F132" s="16"/>
      <c r="G132" s="45"/>
      <c r="I132" s="21"/>
    </row>
    <row r="133" spans="3:10" outlineLevel="1" x14ac:dyDescent="0.25"/>
    <row r="134" spans="3:10" outlineLevel="1" x14ac:dyDescent="0.25">
      <c r="F134" s="30">
        <f>$F$6*LN(F123/$F$7)*$F$3</f>
        <v>26.251212335920307</v>
      </c>
      <c r="H134" s="20" t="str">
        <f>[3]!EQS(F134,"Units= ; EqnPrefix=Valem  ; EqnNo= 0; Multiplication= 1; ShowWorking= 0; EqnStyle= 2; Eqp$H$54_2")</f>
        <v/>
      </c>
      <c r="J134" s="20"/>
    </row>
    <row r="135" spans="3:10" outlineLevel="1" x14ac:dyDescent="0.25">
      <c r="E135" s="17"/>
      <c r="F135" s="30"/>
      <c r="G135" s="45"/>
      <c r="H135" s="20" t="str">
        <f>[3]!EQS(F134,"Units= ; EqnPrefix=Valem  ; EqnNo= 0; Multiplication= 1; ShowWorking= 1; EqnStyle= 2; Eqp$H$54_$H$55_3")</f>
        <v/>
      </c>
      <c r="J135" s="20"/>
    </row>
    <row r="136" spans="3:10" outlineLevel="1" x14ac:dyDescent="0.25">
      <c r="D136" s="29"/>
      <c r="F136" s="30"/>
      <c r="G136" s="45"/>
      <c r="H136" s="20"/>
      <c r="I136" s="28"/>
      <c r="J136" s="20"/>
    </row>
    <row r="137" spans="3:10" outlineLevel="1" x14ac:dyDescent="0.25">
      <c r="F137" s="30">
        <f>1/2*$F$5*F134^2</f>
        <v>422.08976632716445</v>
      </c>
      <c r="H137" s="20" t="str">
        <f>[3]!EQS(F137,"Units= ; EqnPrefix=Valem  ; EqnNo= 0; Multiplication= 1; ShowWorking= 0; EqnStyle= 2; Eqp$G$21_0")</f>
        <v/>
      </c>
      <c r="J137" s="20"/>
    </row>
    <row r="138" spans="3:10" outlineLevel="1" x14ac:dyDescent="0.25">
      <c r="E138" s="25"/>
      <c r="F138" s="30"/>
      <c r="G138" s="47"/>
      <c r="H138" s="20" t="str">
        <f>[3]!EQS(F137,"Units= ; EqnPrefix=Valem  ; EqnNo= 0; Multiplication= 1; ShowWorking= 1; EqnStyle= 2; Eqp$G$21_$G$25_1")</f>
        <v/>
      </c>
      <c r="J138" s="20"/>
    </row>
    <row r="139" spans="3:10" outlineLevel="1" x14ac:dyDescent="0.25">
      <c r="E139" s="25"/>
      <c r="F139" s="30"/>
      <c r="G139" s="47"/>
      <c r="I139" s="28"/>
      <c r="J139" s="20"/>
    </row>
    <row r="140" spans="3:10" outlineLevel="1" x14ac:dyDescent="0.25">
      <c r="F140" s="30">
        <f>(1+2.28/LN(F123/$F$7))^2</f>
        <v>1.8131807308313552</v>
      </c>
      <c r="G140" s="47"/>
      <c r="H140" s="20" t="str">
        <f>[3]!EQS(F140,"Units= ; EqnPrefix=Valem  ; EqnNo= 0; Multiplication= 1; ShowWorking= 0; EqnStyle= 2; Eqp$G$24_0")</f>
        <v/>
      </c>
      <c r="J140" s="20"/>
    </row>
    <row r="141" spans="3:10" outlineLevel="1" x14ac:dyDescent="0.25">
      <c r="E141" s="25"/>
      <c r="F141" s="30"/>
      <c r="G141" s="47"/>
      <c r="H141" s="20" t="str">
        <f>[3]!EQS(F140,"Units= ; EqnPrefix=Valem  ; EqnNo= 0; Multiplication= 1; ShowWorking= 1; EqnStyle= 2; Eqp$G$24_$G$28_1")</f>
        <v/>
      </c>
      <c r="J141" s="20"/>
    </row>
    <row r="142" spans="3:10" outlineLevel="1" x14ac:dyDescent="0.25">
      <c r="D142" s="13"/>
      <c r="E142" s="25"/>
      <c r="F142" s="30"/>
      <c r="G142" s="47"/>
      <c r="J142" s="20"/>
    </row>
    <row r="143" spans="3:10" outlineLevel="1" x14ac:dyDescent="0.25">
      <c r="F143" s="13">
        <v>1.1499999999999999</v>
      </c>
      <c r="J143" s="20"/>
    </row>
    <row r="144" spans="3:10" outlineLevel="1" x14ac:dyDescent="0.25">
      <c r="D144" s="27"/>
      <c r="E144" s="14"/>
      <c r="F144" s="31"/>
      <c r="H144" s="20"/>
      <c r="I144" s="20"/>
      <c r="J144" s="20"/>
    </row>
    <row r="145" spans="3:10" outlineLevel="1" x14ac:dyDescent="0.25">
      <c r="C145" s="13"/>
      <c r="E145" s="25"/>
      <c r="F145" s="32"/>
      <c r="H145" s="20"/>
      <c r="I145" s="29"/>
      <c r="J145" s="20"/>
    </row>
    <row r="146" spans="3:10" outlineLevel="1" x14ac:dyDescent="0.25">
      <c r="F146" s="30">
        <v>2</v>
      </c>
      <c r="H146" s="20"/>
      <c r="I146" s="19"/>
      <c r="J146" s="20"/>
    </row>
    <row r="147" spans="3:10" outlineLevel="1" x14ac:dyDescent="0.25">
      <c r="E147" s="20"/>
      <c r="F147" s="20"/>
      <c r="H147" s="20"/>
      <c r="I147" s="28"/>
      <c r="J147" s="20"/>
    </row>
    <row r="148" spans="3:10" outlineLevel="1" x14ac:dyDescent="0.25">
      <c r="D148" s="36"/>
      <c r="F148" s="38">
        <f>MIN(70,2*F126/F124)</f>
        <v>70</v>
      </c>
      <c r="H148" s="20" t="str">
        <f>[3]!EQS(F148,"Units= ; EqnPrefix=Valem  ; EqnNo= 0; Multiplication= 1; ShowWorking= 1; EqnStyle=2; Eqp$H$148_0")</f>
        <v/>
      </c>
      <c r="J148" s="20"/>
    </row>
    <row r="149" spans="3:10" outlineLevel="1" x14ac:dyDescent="0.25">
      <c r="E149" s="20"/>
      <c r="F149" s="20"/>
      <c r="H149" s="20"/>
      <c r="I149" s="28"/>
      <c r="J149" s="20"/>
    </row>
    <row r="150" spans="3:10" outlineLevel="1" x14ac:dyDescent="0.25">
      <c r="D150" s="36"/>
      <c r="F150" s="20">
        <v>1</v>
      </c>
      <c r="H150" s="20"/>
      <c r="I150" s="28"/>
      <c r="J150" s="20"/>
    </row>
    <row r="151" spans="3:10" outlineLevel="1" x14ac:dyDescent="0.25">
      <c r="F151" s="20"/>
      <c r="H151" s="20"/>
      <c r="I151" s="28"/>
      <c r="J151" s="20"/>
    </row>
    <row r="152" spans="3:10" outlineLevel="1" x14ac:dyDescent="0.25">
      <c r="F152" s="13">
        <v>0.92</v>
      </c>
      <c r="H152" s="20"/>
      <c r="I152" s="28"/>
      <c r="J152" s="20"/>
    </row>
    <row r="153" spans="3:10" outlineLevel="1" x14ac:dyDescent="0.25">
      <c r="E153" s="42"/>
      <c r="H153" s="20"/>
      <c r="I153" s="28"/>
      <c r="J153" s="20"/>
    </row>
    <row r="154" spans="3:10" outlineLevel="1" x14ac:dyDescent="0.25">
      <c r="F154" s="13">
        <v>0.88</v>
      </c>
      <c r="H154" s="20"/>
      <c r="J154" s="20"/>
    </row>
    <row r="155" spans="3:10" outlineLevel="1" x14ac:dyDescent="0.25">
      <c r="E155" s="20"/>
      <c r="F155" s="37"/>
      <c r="H155" s="20"/>
      <c r="I155" s="28"/>
      <c r="J155" s="20"/>
    </row>
    <row r="156" spans="3:10" outlineLevel="1" x14ac:dyDescent="0.25">
      <c r="F156" s="39">
        <f>F146*F152*F154</f>
        <v>1.6192</v>
      </c>
      <c r="H156" s="20" t="str">
        <f>[3]!EQS(F156,"Units= ; EqnPrefix=Valem  ; EqnNo= 0; Multiplication= 1; ShowWorking= 0; EqnStyle= 2; Eqp$H$119_2")</f>
        <v/>
      </c>
      <c r="J156" s="20"/>
    </row>
    <row r="157" spans="3:10" outlineLevel="1" x14ac:dyDescent="0.25">
      <c r="E157" s="20"/>
      <c r="F157" s="37"/>
      <c r="H157" s="20" t="str">
        <f>[3]!EQS(F156,"Units= ; EqnPrefix=Valem  ; EqnNo= 0; Multiplication= 1; ShowWorking= 1; EqnStyle= 2; Eqp$H$119_$H$120_3")</f>
        <v/>
      </c>
      <c r="J157" s="20"/>
    </row>
    <row r="158" spans="3:10" outlineLevel="1" x14ac:dyDescent="0.25">
      <c r="E158" s="20"/>
      <c r="F158" s="37"/>
      <c r="H158" s="20"/>
      <c r="I158" s="28"/>
      <c r="J158" s="20"/>
    </row>
    <row r="159" spans="3:10" outlineLevel="1" x14ac:dyDescent="0.25">
      <c r="C159" s="43"/>
      <c r="F159" s="39">
        <f>F146*F152</f>
        <v>1.84</v>
      </c>
      <c r="H159" s="20" t="str">
        <f>[3]!EQS(F159,"Units= ; EqnPrefix=Valem  ; EqnNo= 0; Multiplication= 1; ShowWorking= 0; EqnStyle= 2; Eqp$H$119_2")</f>
        <v/>
      </c>
      <c r="J159" s="20"/>
    </row>
    <row r="160" spans="3:10" outlineLevel="1" x14ac:dyDescent="0.25">
      <c r="E160" s="20"/>
      <c r="F160" s="37"/>
      <c r="H160" s="20" t="str">
        <f>[3]!EQS(F159,"Units= ; EqnPrefix=Valem  ; EqnNo= 0; Multiplication= 1; ShowWorking= 1; EqnStyle= 2; Eqp$H$119_$H$120_3")</f>
        <v/>
      </c>
      <c r="J160" s="20"/>
    </row>
    <row r="161" spans="3:12" outlineLevel="1" x14ac:dyDescent="0.25">
      <c r="E161" s="20"/>
      <c r="F161" s="20"/>
      <c r="H161" s="20"/>
      <c r="I161" s="28"/>
      <c r="J161" s="20"/>
    </row>
    <row r="162" spans="3:12" outlineLevel="1" x14ac:dyDescent="0.25">
      <c r="F162" s="59">
        <f>COS(RADIANS(90))^2</f>
        <v>3.7524718414124473E-33</v>
      </c>
      <c r="H162" s="20" t="str">
        <f>[3]!EQS(F162,"Units= ; EqnPrefix=Valem  ; EqnNo= 0; Multiplication= 1; ShowWorking= 0; EqnStyle= 2; Eqp$H$75_2")</f>
        <v/>
      </c>
      <c r="J162" s="20"/>
    </row>
    <row r="163" spans="3:12" outlineLevel="1" x14ac:dyDescent="0.25">
      <c r="E163" s="42"/>
      <c r="F163" s="40"/>
      <c r="H163" s="20"/>
      <c r="I163" s="28"/>
      <c r="J163" s="20"/>
    </row>
    <row r="164" spans="3:12" outlineLevel="1" x14ac:dyDescent="0.25">
      <c r="F164" s="59">
        <f>COS(RADIANS(0))^2</f>
        <v>1</v>
      </c>
      <c r="H164" s="20" t="str">
        <f>[3]!EQS(F164,"Units= ; EqnPrefix=Valem  ; EqnNo= 0; Multiplication= 1; ShowWorking= 0; EqnStyle= 2; Eqp$H$75_2")</f>
        <v/>
      </c>
      <c r="J164" s="20"/>
    </row>
    <row r="166" spans="3:12" x14ac:dyDescent="0.25">
      <c r="F166" s="34">
        <f>F137*F140*F143*F156*F124*F162</f>
        <v>1.3369085596868152E-30</v>
      </c>
      <c r="H166" s="20" t="str">
        <f>[3]!EQS(F166,"Units= ; EqnPrefix=Valem  ; EqnNo= 0; Multiplication= 1; ShowWorking= 0; EqnStyle= 2; Eqp$G$39_0")</f>
        <v/>
      </c>
    </row>
    <row r="167" spans="3:12" x14ac:dyDescent="0.25">
      <c r="H167" s="13" t="str">
        <f>[3]!EQS(F166,"Units= ; EqnPrefix=Valem  ; EqnNo= 0; Multiplication= 1; ShowWorking= 1; EqnStyle= 2; Eqp$G$39_$G$40_1")</f>
        <v/>
      </c>
    </row>
    <row r="169" spans="3:12" x14ac:dyDescent="0.25">
      <c r="F169" s="34">
        <f>F137*F140*F143*F159*F125*F124*F164</f>
        <v>101.21423534783555</v>
      </c>
      <c r="H169" s="20" t="str">
        <f>[3]!EQS(F169,"Units= ; EqnPrefix=Valem  ; EqnNo= 0; Multiplication= 1; ShowWorking= 0; EqnStyle= 2; Eqp$G$39_0")</f>
        <v/>
      </c>
    </row>
    <row r="170" spans="3:12" x14ac:dyDescent="0.25">
      <c r="H170" s="13" t="str">
        <f>[3]!EQS(F169,"Units= ; EqnPrefix=Valem  ; EqnNo= 0; Multiplication= 1; ShowWorking= 1; EqnStyle= 2; Eqp$G$39_$G$40_1")</f>
        <v/>
      </c>
    </row>
    <row r="171" spans="3:12" x14ac:dyDescent="0.25">
      <c r="C171" s="24"/>
      <c r="D171" s="24"/>
      <c r="E171" s="18"/>
      <c r="F171" s="18"/>
      <c r="G171" s="46"/>
      <c r="H171" s="18"/>
      <c r="I171" s="18"/>
      <c r="J171" s="18"/>
      <c r="K171" s="18"/>
      <c r="L171" s="18"/>
    </row>
    <row r="172" spans="3:12" outlineLevel="1" x14ac:dyDescent="0.25">
      <c r="E172" s="14"/>
    </row>
    <row r="173" spans="3:12" outlineLevel="1" x14ac:dyDescent="0.25">
      <c r="F173" s="22">
        <v>41</v>
      </c>
    </row>
    <row r="174" spans="3:12" outlineLevel="1" x14ac:dyDescent="0.25">
      <c r="F174" s="22">
        <v>0.25</v>
      </c>
    </row>
    <row r="175" spans="3:12" outlineLevel="1" x14ac:dyDescent="0.25">
      <c r="F175" s="22">
        <v>0.15</v>
      </c>
    </row>
    <row r="176" spans="3:12" outlineLevel="1" x14ac:dyDescent="0.25">
      <c r="F176" s="22">
        <v>5</v>
      </c>
    </row>
    <row r="177" spans="3:10" outlineLevel="1" x14ac:dyDescent="0.25">
      <c r="D177" s="26"/>
      <c r="E177" s="17"/>
      <c r="F177" s="16"/>
      <c r="G177" s="45"/>
      <c r="I177" s="21"/>
    </row>
    <row r="178" spans="3:10" outlineLevel="1" x14ac:dyDescent="0.25">
      <c r="F178" s="33">
        <f>F175*F176</f>
        <v>0.75</v>
      </c>
      <c r="H178" s="20" t="str">
        <f>[3]!EQS(F178,"Units= ; EqnPrefix=Valem  ; EqnNo= 0; Multiplication= 1; ShowWorking= 1; EqnStyle=2; Eqp$G$17_0")</f>
        <v/>
      </c>
    </row>
    <row r="179" spans="3:10" outlineLevel="1" x14ac:dyDescent="0.25">
      <c r="E179" s="25"/>
      <c r="F179" s="33"/>
      <c r="G179" s="47"/>
      <c r="H179" s="20"/>
      <c r="I179" s="19"/>
    </row>
    <row r="180" spans="3:10" outlineLevel="1" x14ac:dyDescent="0.25">
      <c r="C180" s="36"/>
      <c r="F180" s="33">
        <f>F176*F174</f>
        <v>1.25</v>
      </c>
      <c r="H180" s="20" t="str">
        <f>[3]!EQS(F180,"Units= ; EqnPrefix=Valem  ; EqnNo= 0; Multiplication= 1; ShowWorking= 1; EqnStyle= 2; Eqp$H$137_2")</f>
        <v/>
      </c>
    </row>
    <row r="181" spans="3:10" outlineLevel="1" x14ac:dyDescent="0.25">
      <c r="F181" s="16"/>
      <c r="G181" s="45"/>
      <c r="I181" s="21"/>
    </row>
    <row r="182" spans="3:10" outlineLevel="1" x14ac:dyDescent="0.25">
      <c r="E182" s="17"/>
      <c r="F182" s="16"/>
      <c r="G182" s="45"/>
      <c r="I182" s="21"/>
    </row>
    <row r="183" spans="3:10" outlineLevel="1" x14ac:dyDescent="0.25"/>
    <row r="184" spans="3:10" outlineLevel="1" x14ac:dyDescent="0.25">
      <c r="F184" s="30">
        <f>$F$6*LN(F173/$F$7)*$F$3</f>
        <v>26.770124317630611</v>
      </c>
      <c r="H184" s="20" t="str">
        <f>[3]!EQS(F184,"Units= ; EqnPrefix=Valem  ; EqnNo= 0; Multiplication= 1; ShowWorking= 0; EqnStyle= 2; Eqp$H$54_2")</f>
        <v/>
      </c>
      <c r="J184" s="20"/>
    </row>
    <row r="185" spans="3:10" outlineLevel="1" x14ac:dyDescent="0.25">
      <c r="E185" s="17"/>
      <c r="F185" s="30"/>
      <c r="G185" s="45"/>
      <c r="H185" s="20" t="str">
        <f>[3]!EQS(F184,"Units= ; EqnPrefix=Valem  ; EqnNo= 0; Multiplication= 1; ShowWorking= 1; EqnStyle= 2; Eqp$H$54_$H$55_3")</f>
        <v/>
      </c>
      <c r="J185" s="20"/>
    </row>
    <row r="186" spans="3:10" outlineLevel="1" x14ac:dyDescent="0.25">
      <c r="D186" s="29"/>
      <c r="F186" s="30"/>
      <c r="G186" s="45"/>
      <c r="H186" s="20"/>
      <c r="I186" s="28"/>
      <c r="J186" s="20"/>
    </row>
    <row r="187" spans="3:10" outlineLevel="1" x14ac:dyDescent="0.25">
      <c r="F187" s="30">
        <f>1/2*$F$5*F184^2</f>
        <v>438.94172803860613</v>
      </c>
      <c r="H187" s="20" t="str">
        <f>[3]!EQS(F187,"Units= ; EqnPrefix=Valem  ; EqnNo= 0; Multiplication= 1; ShowWorking= 0; EqnStyle= 2; Eqp$G$21_0")</f>
        <v/>
      </c>
      <c r="J187" s="20"/>
    </row>
    <row r="188" spans="3:10" outlineLevel="1" x14ac:dyDescent="0.25">
      <c r="E188" s="25"/>
      <c r="F188" s="30"/>
      <c r="G188" s="47"/>
      <c r="H188" s="20" t="str">
        <f>[3]!EQS(F187,"Units= ; EqnPrefix=Valem  ; EqnNo= 0; Multiplication= 1; ShowWorking= 1; EqnStyle= 2; Eqp$G$21_$G$25_1")</f>
        <v/>
      </c>
      <c r="J188" s="20"/>
    </row>
    <row r="189" spans="3:10" outlineLevel="1" x14ac:dyDescent="0.25">
      <c r="E189" s="25"/>
      <c r="F189" s="30"/>
      <c r="G189" s="47"/>
      <c r="I189" s="28"/>
      <c r="J189" s="20"/>
    </row>
    <row r="190" spans="3:10" outlineLevel="1" x14ac:dyDescent="0.25">
      <c r="F190" s="30">
        <f>(1+2.28/LN(F173/$F$7))^2</f>
        <v>1.7951352851913878</v>
      </c>
      <c r="G190" s="47"/>
      <c r="H190" s="20" t="str">
        <f>[3]!EQS(F190,"Units= ; EqnPrefix=Valem  ; EqnNo= 0; Multiplication= 1; ShowWorking= 0; EqnStyle= 2; Eqp$G$24_0")</f>
        <v/>
      </c>
      <c r="J190" s="20"/>
    </row>
    <row r="191" spans="3:10" outlineLevel="1" x14ac:dyDescent="0.25">
      <c r="E191" s="25"/>
      <c r="F191" s="30"/>
      <c r="G191" s="47"/>
      <c r="H191" s="20" t="str">
        <f>[3]!EQS(F190,"Units= ; EqnPrefix=Valem  ; EqnNo= 0; Multiplication= 1; ShowWorking= 1; EqnStyle= 2; Eqp$G$24_$G$28_1")</f>
        <v/>
      </c>
      <c r="J191" s="20"/>
    </row>
    <row r="192" spans="3:10" outlineLevel="1" x14ac:dyDescent="0.25">
      <c r="D192" s="13"/>
      <c r="E192" s="25"/>
      <c r="F192" s="30"/>
      <c r="G192" s="47"/>
      <c r="J192" s="20"/>
    </row>
    <row r="193" spans="3:10" outlineLevel="1" x14ac:dyDescent="0.25">
      <c r="F193" s="13">
        <v>1.1499999999999999</v>
      </c>
      <c r="J193" s="20"/>
    </row>
    <row r="194" spans="3:10" outlineLevel="1" x14ac:dyDescent="0.25">
      <c r="D194" s="27"/>
      <c r="E194" s="14"/>
      <c r="F194" s="31"/>
      <c r="H194" s="20"/>
      <c r="I194" s="20"/>
      <c r="J194" s="20"/>
    </row>
    <row r="195" spans="3:10" outlineLevel="1" x14ac:dyDescent="0.25">
      <c r="C195" s="13"/>
      <c r="E195" s="25"/>
      <c r="F195" s="32"/>
      <c r="H195" s="20"/>
      <c r="I195" s="29"/>
      <c r="J195" s="20"/>
    </row>
    <row r="196" spans="3:10" outlineLevel="1" x14ac:dyDescent="0.25">
      <c r="F196" s="30">
        <v>2</v>
      </c>
      <c r="H196" s="20"/>
      <c r="I196" s="19"/>
      <c r="J196" s="20"/>
    </row>
    <row r="197" spans="3:10" outlineLevel="1" x14ac:dyDescent="0.25">
      <c r="E197" s="20"/>
      <c r="F197" s="20"/>
      <c r="H197" s="20"/>
      <c r="I197" s="28"/>
      <c r="J197" s="20"/>
    </row>
    <row r="198" spans="3:10" outlineLevel="1" x14ac:dyDescent="0.25">
      <c r="D198" s="36"/>
      <c r="F198" s="38">
        <f>MIN(70,2*F176/F174)</f>
        <v>40</v>
      </c>
      <c r="H198" s="20" t="str">
        <f>[3]!EQS(F198,"Units= ; EqnPrefix=Valem  ; EqnNo= 0; Multiplication= 1; ShowWorking= 1; EqnStyle=2; Eqp$H$148_0")</f>
        <v/>
      </c>
      <c r="J198" s="20"/>
    </row>
    <row r="199" spans="3:10" outlineLevel="1" x14ac:dyDescent="0.25">
      <c r="E199" s="20"/>
      <c r="F199" s="20"/>
      <c r="H199" s="20"/>
      <c r="I199" s="28"/>
      <c r="J199" s="20"/>
    </row>
    <row r="200" spans="3:10" outlineLevel="1" x14ac:dyDescent="0.25">
      <c r="D200" s="36"/>
      <c r="F200" s="20">
        <v>1</v>
      </c>
      <c r="H200" s="20"/>
      <c r="I200" s="28"/>
      <c r="J200" s="20"/>
    </row>
    <row r="201" spans="3:10" outlineLevel="1" x14ac:dyDescent="0.25">
      <c r="F201" s="20"/>
      <c r="H201" s="20"/>
      <c r="I201" s="28"/>
      <c r="J201" s="20"/>
    </row>
    <row r="202" spans="3:10" outlineLevel="1" x14ac:dyDescent="0.25">
      <c r="F202" s="13">
        <v>0.85</v>
      </c>
      <c r="H202" s="20"/>
      <c r="I202" s="28"/>
      <c r="J202" s="20"/>
    </row>
    <row r="203" spans="3:10" outlineLevel="1" x14ac:dyDescent="0.25">
      <c r="E203" s="42"/>
      <c r="H203" s="20"/>
      <c r="I203" s="28"/>
      <c r="J203" s="20"/>
    </row>
    <row r="204" spans="3:10" outlineLevel="1" x14ac:dyDescent="0.25">
      <c r="F204" s="13">
        <v>0.9</v>
      </c>
      <c r="H204" s="20"/>
      <c r="J204" s="20"/>
    </row>
    <row r="205" spans="3:10" outlineLevel="1" x14ac:dyDescent="0.25">
      <c r="E205" s="20"/>
      <c r="F205" s="37"/>
      <c r="H205" s="20"/>
      <c r="I205" s="28"/>
      <c r="J205" s="20"/>
    </row>
    <row r="206" spans="3:10" outlineLevel="1" x14ac:dyDescent="0.25">
      <c r="F206" s="39">
        <f>F196*F202*F204</f>
        <v>1.53</v>
      </c>
      <c r="H206" s="20" t="str">
        <f>[3]!EQS(F206,"Units= ; EqnPrefix=Valem  ; EqnNo= 0; Multiplication= 1; ShowWorking= 0; EqnStyle= 2; Eqp$H$119_2")</f>
        <v/>
      </c>
      <c r="J206" s="20"/>
    </row>
    <row r="207" spans="3:10" outlineLevel="1" x14ac:dyDescent="0.25">
      <c r="E207" s="20"/>
      <c r="F207" s="37"/>
      <c r="H207" s="20" t="str">
        <f>[3]!EQS(F206,"Units= ; EqnPrefix=Valem  ; EqnNo= 0; Multiplication= 1; ShowWorking= 1; EqnStyle= 2; Eqp$H$119_$H$120_3")</f>
        <v/>
      </c>
      <c r="J207" s="20"/>
    </row>
    <row r="208" spans="3:10" outlineLevel="1" x14ac:dyDescent="0.25">
      <c r="E208" s="20"/>
      <c r="F208" s="37"/>
      <c r="H208" s="20"/>
      <c r="I208" s="28"/>
      <c r="J208" s="20"/>
    </row>
    <row r="209" spans="3:10" outlineLevel="1" x14ac:dyDescent="0.25">
      <c r="C209" s="43"/>
      <c r="F209" s="39">
        <f>F196*F202*F204</f>
        <v>1.53</v>
      </c>
      <c r="H209" s="20" t="str">
        <f>[3]!EQS(F209,"Units= ; EqnPrefix=Valem  ; EqnNo= 0; Multiplication= 1; ShowWorking= 0; EqnStyle= 2; Eqp$H$119_2")</f>
        <v/>
      </c>
      <c r="J209" s="20"/>
    </row>
    <row r="210" spans="3:10" outlineLevel="1" x14ac:dyDescent="0.25">
      <c r="E210" s="20"/>
      <c r="F210" s="37"/>
      <c r="H210" s="20" t="str">
        <f>[3]!EQS(F209,"Units= ; EqnPrefix=Valem  ; EqnNo= 0; Multiplication= 1; ShowWorking= 1; EqnStyle= 2; Eqp$H$119_$H$120_3")</f>
        <v/>
      </c>
      <c r="J210" s="20"/>
    </row>
    <row r="211" spans="3:10" outlineLevel="1" x14ac:dyDescent="0.25">
      <c r="E211" s="20"/>
      <c r="F211" s="20"/>
      <c r="H211" s="20"/>
      <c r="I211" s="28"/>
      <c r="J211" s="20"/>
    </row>
    <row r="212" spans="3:10" outlineLevel="1" x14ac:dyDescent="0.25">
      <c r="F212" s="59">
        <f>COS(RADIANS(90))^2</f>
        <v>3.7524718414124473E-33</v>
      </c>
      <c r="H212" s="20" t="str">
        <f>[3]!EQS(F212,"Units= ; EqnPrefix=Valem  ; EqnNo= 0; Multiplication= 1; ShowWorking= 0; EqnStyle= 2; Eqp$H$75_2")</f>
        <v/>
      </c>
      <c r="J212" s="20"/>
    </row>
    <row r="213" spans="3:10" outlineLevel="1" x14ac:dyDescent="0.25">
      <c r="E213" s="42"/>
      <c r="F213" s="40"/>
      <c r="H213" s="20"/>
      <c r="I213" s="28"/>
      <c r="J213" s="20"/>
    </row>
    <row r="214" spans="3:10" outlineLevel="1" x14ac:dyDescent="0.25">
      <c r="F214" s="59">
        <f>COS(RADIANS(0))^2</f>
        <v>1</v>
      </c>
      <c r="H214" s="20" t="str">
        <f>[3]!EQS(F214,"Units= ; EqnPrefix=Valem  ; EqnNo= 0; Multiplication= 1; ShowWorking= 0; EqnStyle= 2; Eqp$H$75_2")</f>
        <v/>
      </c>
      <c r="J214" s="20"/>
    </row>
    <row r="216" spans="3:10" x14ac:dyDescent="0.25">
      <c r="F216" s="34">
        <f>F187*F190*F193*F206*F175*F212</f>
        <v>7.8037262240508031E-31</v>
      </c>
      <c r="H216" s="20" t="str">
        <f>[3]!EQS(F216,"Units= ; EqnPrefix=Valem  ; EqnNo= 0; Multiplication= 1; ShowWorking= 0; EqnStyle= 2; Eqp$G$39_0")</f>
        <v/>
      </c>
    </row>
    <row r="217" spans="3:10" x14ac:dyDescent="0.25">
      <c r="H217" s="13" t="str">
        <f>[3]!EQS(F216,"Units= ; EqnPrefix=Valem  ; EqnNo= 0; Multiplication= 1; ShowWorking= 1; EqnStyle= 2; Eqp$G$39_$G$40_1")</f>
        <v/>
      </c>
    </row>
    <row r="219" spans="3:10" x14ac:dyDescent="0.25">
      <c r="F219" s="34">
        <f>F187*F190*F193*F209*F174*F214</f>
        <v>346.60381005077471</v>
      </c>
      <c r="H219" s="20" t="str">
        <f>[3]!EQS(F219,"Units= ; EqnPrefix=Valem  ; EqnNo= 0; Multiplication= 1; ShowWorking= 0; EqnStyle= 2; Eqp$G$39_0")</f>
        <v/>
      </c>
    </row>
    <row r="220" spans="3:10" x14ac:dyDescent="0.25">
      <c r="H220" s="13" t="str">
        <f>[3]!EQS(F219,"Units= ; EqnPrefix=Valem  ; EqnNo= 0; Multiplication= 1; ShowWorking= 1; EqnStyle= 2; Eqp$G$39_$G$40_1")</f>
        <v/>
      </c>
    </row>
    <row r="222" spans="3:10" x14ac:dyDescent="0.25">
      <c r="C222" s="24"/>
      <c r="D222" s="24"/>
      <c r="E222" s="18"/>
    </row>
    <row r="223" spans="3:10" outlineLevel="1" x14ac:dyDescent="0.25">
      <c r="E223" s="14"/>
    </row>
    <row r="224" spans="3:10" outlineLevel="1" x14ac:dyDescent="0.25"/>
    <row r="225" spans="4:10" outlineLevel="1" x14ac:dyDescent="0.25"/>
    <row r="226" spans="4:10" outlineLevel="1" x14ac:dyDescent="0.25"/>
    <row r="227" spans="4:10" outlineLevel="1" x14ac:dyDescent="0.25"/>
    <row r="228" spans="4:10" outlineLevel="1" x14ac:dyDescent="0.25">
      <c r="E228" s="14"/>
    </row>
    <row r="229" spans="4:10" outlineLevel="1" x14ac:dyDescent="0.25">
      <c r="F229" s="22">
        <v>36</v>
      </c>
    </row>
    <row r="230" spans="4:10" outlineLevel="1" x14ac:dyDescent="0.25">
      <c r="F230" s="22">
        <v>2.01E-2</v>
      </c>
    </row>
    <row r="231" spans="4:10" outlineLevel="1" x14ac:dyDescent="0.25">
      <c r="F231" s="22">
        <v>40.590000000000003</v>
      </c>
    </row>
    <row r="232" spans="4:10" outlineLevel="1" x14ac:dyDescent="0.25">
      <c r="D232" s="26"/>
      <c r="E232" s="17"/>
      <c r="F232" s="16"/>
      <c r="G232" s="45"/>
      <c r="I232" s="21"/>
    </row>
    <row r="233" spans="4:10" outlineLevel="1" x14ac:dyDescent="0.25">
      <c r="F233" s="33">
        <f>F230*F231</f>
        <v>0.81585900000000011</v>
      </c>
      <c r="H233" s="20" t="str">
        <f>[3]!EQS(F233,"Units= ; EqnPrefix=Valem  ; EqnNo= 0; Multiplication= 1; ShowWorking= 1; EqnStyle=2; Eqp$G$17_0")</f>
        <v/>
      </c>
    </row>
    <row r="234" spans="4:10" outlineLevel="1" x14ac:dyDescent="0.25">
      <c r="F234" s="16"/>
      <c r="G234" s="45"/>
      <c r="I234" s="21"/>
    </row>
    <row r="235" spans="4:10" outlineLevel="1" x14ac:dyDescent="0.25">
      <c r="F235" s="30">
        <f>$F$6*LN(F229/$F$7)*$F$3</f>
        <v>26.251212335920307</v>
      </c>
      <c r="H235" s="20" t="str">
        <f>[3]!EQS(F235,"Units= ; EqnPrefix=Valem  ; EqnNo= 0; Multiplication= 1; ShowWorking= 0; EqnStyle= 2; Eqp$H$21_2")</f>
        <v/>
      </c>
      <c r="J235" s="20"/>
    </row>
    <row r="236" spans="4:10" outlineLevel="1" x14ac:dyDescent="0.25">
      <c r="E236" s="17"/>
      <c r="F236" s="30"/>
      <c r="G236" s="45"/>
      <c r="H236" s="20" t="str">
        <f>[3]!EQS(F235,"Units= ; EqnPrefix=Valem  ; EqnNo= 0; Multiplication= 1; ShowWorking= 1; EqnStyle= 2; Eqp$H$21_$H$22_3")</f>
        <v/>
      </c>
      <c r="J236" s="20"/>
    </row>
    <row r="237" spans="4:10" outlineLevel="1" x14ac:dyDescent="0.25">
      <c r="D237" s="29"/>
      <c r="F237" s="30"/>
      <c r="G237" s="45"/>
      <c r="H237" s="20"/>
      <c r="I237" s="28"/>
      <c r="J237" s="20"/>
    </row>
    <row r="238" spans="4:10" outlineLevel="1" x14ac:dyDescent="0.25">
      <c r="F238" s="30">
        <f>1/2*$F$5*F235^2</f>
        <v>422.08976632716445</v>
      </c>
      <c r="H238" s="20" t="str">
        <f>[3]!EQS(F238,"Units= ; EqnPrefix=Valem  ; EqnNo= 0; Multiplication= 1; ShowWorking= 0; EqnStyle= 2; Eqp$G$21_0")</f>
        <v/>
      </c>
      <c r="J238" s="20"/>
    </row>
    <row r="239" spans="4:10" outlineLevel="1" x14ac:dyDescent="0.25">
      <c r="E239" s="25"/>
      <c r="F239" s="30"/>
      <c r="G239" s="47"/>
      <c r="H239" s="20" t="str">
        <f>[3]!EQS(F238,"Units= ; EqnPrefix=Valem  ; EqnNo= 0; Multiplication= 1; ShowWorking= 1; EqnStyle= 2; Eqp$G$21_$G$25_1")</f>
        <v/>
      </c>
      <c r="J239" s="20"/>
    </row>
    <row r="240" spans="4:10" outlineLevel="1" x14ac:dyDescent="0.25">
      <c r="E240" s="25"/>
      <c r="F240" s="30"/>
      <c r="G240" s="47"/>
      <c r="I240" s="28"/>
      <c r="J240" s="20"/>
    </row>
    <row r="241" spans="3:10" outlineLevel="1" x14ac:dyDescent="0.25">
      <c r="F241" s="30">
        <f>(1+2.28/LN(F229/$F$7))^2</f>
        <v>1.8131807308313552</v>
      </c>
      <c r="G241" s="47"/>
      <c r="H241" s="20" t="str">
        <f>[3]!EQS(F241,"Units= ; EqnPrefix=Valem  ; EqnNo= 0; Multiplication= 1; ShowWorking= 0; EqnStyle= 2; Eqp$G$24_0")</f>
        <v/>
      </c>
      <c r="J241" s="20"/>
    </row>
    <row r="242" spans="3:10" outlineLevel="1" x14ac:dyDescent="0.25">
      <c r="E242" s="25"/>
      <c r="F242" s="30"/>
      <c r="G242" s="47"/>
      <c r="H242" s="20" t="str">
        <f>[3]!EQS(F241,"Units= ; EqnPrefix=Valem  ; EqnNo= 0; Multiplication= 1; ShowWorking= 1; EqnStyle= 2; Eqp$G$24_$G$28_1")</f>
        <v/>
      </c>
      <c r="J242" s="20"/>
    </row>
    <row r="243" spans="3:10" outlineLevel="1" x14ac:dyDescent="0.25">
      <c r="D243" s="13"/>
      <c r="E243" s="25"/>
      <c r="F243" s="30"/>
      <c r="G243" s="47"/>
      <c r="J243" s="20"/>
    </row>
    <row r="244" spans="3:10" outlineLevel="1" x14ac:dyDescent="0.25">
      <c r="F244" s="13">
        <v>1.1499999999999999</v>
      </c>
      <c r="J244" s="20"/>
    </row>
    <row r="245" spans="3:10" outlineLevel="1" x14ac:dyDescent="0.25">
      <c r="D245" s="27"/>
      <c r="E245" s="14"/>
      <c r="F245" s="31"/>
      <c r="H245" s="20"/>
      <c r="I245" s="20"/>
      <c r="J245" s="20"/>
    </row>
    <row r="246" spans="3:10" outlineLevel="1" x14ac:dyDescent="0.25">
      <c r="F246" s="20">
        <f>15*10^-6</f>
        <v>1.4999999999999999E-5</v>
      </c>
      <c r="H246" s="20"/>
      <c r="J246" s="20"/>
    </row>
    <row r="247" spans="3:10" outlineLevel="1" x14ac:dyDescent="0.25">
      <c r="F247" s="20">
        <f>F230</f>
        <v>2.01E-2</v>
      </c>
      <c r="H247" s="20"/>
      <c r="J247" s="20"/>
    </row>
    <row r="248" spans="3:10" outlineLevel="1" x14ac:dyDescent="0.25">
      <c r="C248" s="13"/>
      <c r="E248" s="25"/>
      <c r="F248" s="20"/>
      <c r="G248" s="47"/>
      <c r="H248" s="20"/>
      <c r="I248" s="29"/>
      <c r="J248" s="20"/>
    </row>
    <row r="249" spans="3:10" outlineLevel="1" x14ac:dyDescent="0.25">
      <c r="C249" s="13"/>
      <c r="F249" s="32">
        <f>F247*F235/F246</f>
        <v>35176.624530133209</v>
      </c>
      <c r="H249" s="20" t="str">
        <f>[3]!EQS(F249,"Units= ; EqnPrefix=Valem  ; EqnNo= 0; Multiplication= 1; ShowWorking= 1; EqnStyle= 2; Eqp$G$27_0")</f>
        <v/>
      </c>
      <c r="J249" s="20"/>
    </row>
    <row r="250" spans="3:10" outlineLevel="1" x14ac:dyDescent="0.25">
      <c r="C250" s="13"/>
      <c r="E250" s="25"/>
      <c r="F250" s="32"/>
      <c r="H250" s="20"/>
      <c r="I250" s="29"/>
      <c r="J250" s="20"/>
    </row>
    <row r="251" spans="3:10" outlineLevel="1" x14ac:dyDescent="0.25">
      <c r="C251" s="13"/>
      <c r="D251" s="29"/>
      <c r="F251" s="30">
        <v>1.2</v>
      </c>
      <c r="H251" s="20"/>
      <c r="I251" s="29"/>
      <c r="J251" s="20"/>
    </row>
    <row r="252" spans="3:10" outlineLevel="1" x14ac:dyDescent="0.25">
      <c r="E252" s="20"/>
      <c r="F252" s="20"/>
      <c r="H252" s="20"/>
      <c r="I252" s="28"/>
      <c r="J252" s="20"/>
    </row>
    <row r="253" spans="3:10" outlineLevel="1" x14ac:dyDescent="0.25">
      <c r="F253" s="40">
        <f>COS(RADIANS(45))^2</f>
        <v>0.50000000000000011</v>
      </c>
      <c r="H253" s="20" t="str">
        <f>[3]!EQS(F253,"Units= ; EqnPrefix=Valem  ; EqnNo= 0; Multiplication= 1; ShowWorking= 0; EqnStyle= 2; Eqp$H$75_2")</f>
        <v/>
      </c>
      <c r="J253" s="20"/>
    </row>
    <row r="254" spans="3:10" outlineLevel="1" x14ac:dyDescent="0.25">
      <c r="E254" s="42"/>
      <c r="F254" s="40"/>
      <c r="H254" s="20"/>
      <c r="I254" s="28"/>
      <c r="J254" s="20"/>
    </row>
    <row r="255" spans="3:10" outlineLevel="1" x14ac:dyDescent="0.25">
      <c r="F255" s="40">
        <f>COS(RADIANS(45))^2</f>
        <v>0.50000000000000011</v>
      </c>
      <c r="H255" s="20" t="str">
        <f>[3]!EQS(F255,"Units= ; EqnPrefix=Valem  ; EqnNo= 0; Multiplication= 1; ShowWorking= 0; EqnStyle= 2; Eqp$H$75_2")</f>
        <v/>
      </c>
      <c r="J255" s="20"/>
    </row>
    <row r="257" spans="3:9" x14ac:dyDescent="0.25">
      <c r="F257" s="34">
        <f>F238*F241*F244*F251*F230*F253</f>
        <v>10.614292854738233</v>
      </c>
      <c r="H257" s="20" t="str">
        <f>[3]!EQS(F257,"Units= ; EqnPrefix=Valem  ; EqnNo= 0; Multiplication= 1; ShowWorking= 0; EqnStyle= 2; Eqp$G$39_0")</f>
        <v/>
      </c>
    </row>
    <row r="258" spans="3:9" x14ac:dyDescent="0.25">
      <c r="H258" s="13" t="str">
        <f>[3]!EQS(F257,"Units= ; EqnPrefix=Valem  ; EqnNo= 0; Multiplication= 1; ShowWorking= 1; EqnStyle= 2; Eqp$G$39_$G$40_1")</f>
        <v/>
      </c>
    </row>
    <row r="259" spans="3:9" x14ac:dyDescent="0.25">
      <c r="F259" s="53">
        <f>COS(RADIANS(45))*F257</f>
        <v>7.505438455085323</v>
      </c>
      <c r="H259" s="20" t="str">
        <f>[3]!EQS(F259,"Units= ; EqnPrefix=Valem  ; EqnNo= 0; Multiplication= 1; ShowWorking= 0; EqnStyle= 2; Eqp$H$259_2")</f>
        <v/>
      </c>
    </row>
    <row r="260" spans="3:9" x14ac:dyDescent="0.25">
      <c r="I260" s="19"/>
    </row>
    <row r="262" spans="3:9" x14ac:dyDescent="0.25">
      <c r="F262" s="34">
        <f>F238*F241*F244*F251*F230*F255</f>
        <v>10.614292854738233</v>
      </c>
      <c r="H262" s="20" t="str">
        <f>[3]!EQS(F262,"Units= ; EqnPrefix=Valem  ; EqnNo= 0; Multiplication= 1; ShowWorking= 0; EqnStyle= 2; Eqp$G$39_0")</f>
        <v/>
      </c>
    </row>
    <row r="263" spans="3:9" x14ac:dyDescent="0.25">
      <c r="H263" s="13" t="str">
        <f>[3]!EQS(F262,"Units= ; EqnPrefix=Valem  ; EqnNo= 0; Multiplication= 1; ShowWorking= 1; EqnStyle= 2; Eqp$G$39_$G$40_1")</f>
        <v/>
      </c>
    </row>
    <row r="264" spans="3:9" x14ac:dyDescent="0.25">
      <c r="F264" s="53">
        <f>COS(RADIANS(45))*F262</f>
        <v>7.505438455085323</v>
      </c>
      <c r="H264" s="20" t="str">
        <f>[3]!EQS(F264,"Units= ; EqnPrefix=Valem  ; EqnNo= 0; Multiplication= 1; ShowWorking= 0; EqnStyle= 2; Eqp$H$264_2")</f>
        <v/>
      </c>
    </row>
    <row r="265" spans="3:9" x14ac:dyDescent="0.25">
      <c r="I265" s="19"/>
    </row>
    <row r="269" spans="3:9" x14ac:dyDescent="0.25">
      <c r="C269" s="49"/>
    </row>
    <row r="271" spans="3:9" x14ac:dyDescent="0.25">
      <c r="F271" s="53">
        <f>2047.07103484027/360</f>
        <v>5.6863084301118612</v>
      </c>
    </row>
    <row r="274" spans="5:9" x14ac:dyDescent="0.25">
      <c r="F274" s="53">
        <f>COS(RADIANS(4))</f>
        <v>0.9975640502598242</v>
      </c>
      <c r="H274" s="20" t="str">
        <f>[3]!EQS(F274,"Units= ; EqnPrefix=Valem  ; EqnNo= 0; Multiplication= 1; ShowWorking= 0; EqnStyle= 2; Eqp$H$274_2")</f>
        <v/>
      </c>
    </row>
    <row r="276" spans="5:9" x14ac:dyDescent="0.25">
      <c r="F276" s="34">
        <f>F271*F274</f>
        <v>5.6724568685689709</v>
      </c>
      <c r="H276" s="20" t="str">
        <f>[3]!EQS(F276,"Units= ; EqnPrefix=Valem  ; EqnNo= 0; Multiplication= 1; ShowWorking= 0; EqnStyle= 2; Eqp$H$276_2")</f>
        <v/>
      </c>
    </row>
    <row r="277" spans="5:9" x14ac:dyDescent="0.25">
      <c r="F277" s="53"/>
      <c r="G277" s="52"/>
      <c r="H277" s="20"/>
      <c r="I277" s="19"/>
    </row>
    <row r="278" spans="5:9" x14ac:dyDescent="0.25">
      <c r="F278" s="53">
        <f>COS(RADIANS(4))*F276</f>
        <v>5.6586390487338223</v>
      </c>
      <c r="H278" s="20" t="str">
        <f>[3]!EQS(F278,"Units= ; EqnPrefix=Valem  ; EqnNo= 0; Multiplication= 1; ShowWorking= 0; EqnStyle= 2; Eqp$H$277_2")</f>
        <v/>
      </c>
    </row>
    <row r="279" spans="5:9" x14ac:dyDescent="0.25">
      <c r="F279" s="53">
        <f>SIN(RADIANS(4))*F276</f>
        <v>0.39569058861701467</v>
      </c>
      <c r="H279" s="20" t="str">
        <f>[3]!EQS(F279,"Units= ; EqnPrefix=Valem  ; EqnNo= 0; Multiplication= 1; ShowWorking= 0; EqnStyle=2; Eqp$H$278_2")</f>
        <v/>
      </c>
    </row>
    <row r="281" spans="5:9" x14ac:dyDescent="0.25">
      <c r="F281" s="53">
        <f>COS(RADIANS(4))</f>
        <v>0.9975640502598242</v>
      </c>
      <c r="H281" s="20" t="str">
        <f>[3]!EQS(F281,"Units= ; EqnPrefix=Valem  ; EqnNo= 0; Multiplication= 1; ShowWorking= 0; EqnStyle= 2; Eqp$H$278_2")</f>
        <v/>
      </c>
    </row>
    <row r="283" spans="5:9" x14ac:dyDescent="0.25">
      <c r="F283" s="34">
        <f>F271*F281</f>
        <v>5.6724568685689709</v>
      </c>
      <c r="H283" s="20" t="str">
        <f>[3]!EQS(F283,"Units= ; EqnPrefix=Valem  ; EqnNo= 0; Multiplication= 1; ShowWorking= 0; EqnStyle= 2; Eqp$H$276_2")</f>
        <v/>
      </c>
    </row>
    <row r="284" spans="5:9" x14ac:dyDescent="0.25">
      <c r="E284" s="51"/>
      <c r="F284" s="53"/>
      <c r="G284" s="52"/>
      <c r="H284" s="20"/>
      <c r="I284" s="19"/>
    </row>
    <row r="285" spans="5:9" x14ac:dyDescent="0.25">
      <c r="F285" s="53">
        <f>COS(RADIANS(4))*F283</f>
        <v>5.6586390487338223</v>
      </c>
      <c r="H285" s="20" t="str">
        <f>[3]!EQS(F285,"Units= ; EqnPrefix=Valem  ; EqnNo= 0; Multiplication= 1; ShowWorking= 0; EqnStyle= 2; Eqp$H$277_2")</f>
        <v/>
      </c>
    </row>
    <row r="286" spans="5:9" x14ac:dyDescent="0.25">
      <c r="F286" s="53">
        <f>SIN(RADIANS(4))*F283</f>
        <v>0.39569058861701467</v>
      </c>
      <c r="H286" s="20" t="str">
        <f>[3]!EQS(F286,"Units= ; EqnPrefix=Valem  ; EqnNo= 0; Multiplication= 1; ShowWorking= 0; EqnStyle=2; Eqp$H$278_2")</f>
        <v/>
      </c>
    </row>
    <row r="287" spans="5:9" x14ac:dyDescent="0.25">
      <c r="E287" s="51"/>
      <c r="F287" s="53"/>
      <c r="G287" s="52"/>
      <c r="H287" s="20"/>
      <c r="I287" s="19"/>
    </row>
    <row r="288" spans="5:9" x14ac:dyDescent="0.25">
      <c r="E288" s="51"/>
      <c r="F288" s="53"/>
      <c r="G288" s="52"/>
      <c r="H288" s="20"/>
      <c r="I288" s="19"/>
    </row>
    <row r="289" spans="5:9" x14ac:dyDescent="0.25">
      <c r="E289" s="51"/>
      <c r="F289" s="53"/>
      <c r="G289" s="52"/>
      <c r="H289" s="20"/>
      <c r="I289" s="19"/>
    </row>
    <row r="290" spans="5:9" x14ac:dyDescent="0.25">
      <c r="F290" s="34">
        <v>71</v>
      </c>
      <c r="H290" s="20"/>
      <c r="I290" s="19"/>
    </row>
    <row r="291" spans="5:9" x14ac:dyDescent="0.25">
      <c r="E291" s="51"/>
      <c r="F291" s="53"/>
      <c r="G291" s="52"/>
      <c r="H291" s="20"/>
      <c r="I291" s="19"/>
    </row>
    <row r="292" spans="5:9" x14ac:dyDescent="0.25">
      <c r="F292" s="53">
        <f>COS(RADIANS(0))*F290</f>
        <v>71</v>
      </c>
      <c r="H292" s="20" t="str">
        <f>[3]!EQS(F292,"Units= ; EqnPrefix=Valem  ; EqnNo= 0; Multiplication= 1; ShowWorking= 0; EqnStyle= 2; Eqp$H$277_2")</f>
        <v/>
      </c>
    </row>
    <row r="293" spans="5:9" x14ac:dyDescent="0.25">
      <c r="F293" s="53">
        <f>SIN(RADIANS(0))*F290</f>
        <v>0</v>
      </c>
      <c r="H293" s="20" t="str">
        <f>[3]!EQS(F293,"Units= ; EqnPrefix=Valem  ; EqnNo= 0; Multiplication= 1; ShowWorking= 0; EqnStyle=2; Eqp$H$278_2")</f>
        <v/>
      </c>
    </row>
    <row r="294" spans="5:9" x14ac:dyDescent="0.25">
      <c r="E294" s="51"/>
      <c r="F294" s="53"/>
      <c r="G294" s="52"/>
      <c r="H294" s="20"/>
      <c r="I294" s="19"/>
    </row>
    <row r="295" spans="5:9" x14ac:dyDescent="0.25">
      <c r="E295" s="51"/>
      <c r="F295" s="53"/>
      <c r="G295" s="52"/>
      <c r="H295" s="20"/>
      <c r="I295" s="19"/>
    </row>
    <row r="298" spans="5:9" x14ac:dyDescent="0.25">
      <c r="F298" s="53">
        <f>4231/360</f>
        <v>11.752777777777778</v>
      </c>
    </row>
    <row r="301" spans="5:9" x14ac:dyDescent="0.25">
      <c r="F301" s="61">
        <f>COS(RADIANS(4))</f>
        <v>0.9975640502598242</v>
      </c>
      <c r="H301" s="20" t="str">
        <f>[3]!EQS(F301,"Units= ; EqnPrefix=Valem  ; EqnNo= 0; Multiplication= 1; ShowWorking= 0; EqnStyle= 2; Eqp$H$274_2")</f>
        <v/>
      </c>
    </row>
    <row r="303" spans="5:9" x14ac:dyDescent="0.25">
      <c r="F303" s="34">
        <f>F298*F301</f>
        <v>11.724148601803657</v>
      </c>
      <c r="H303" s="20" t="str">
        <f>[3]!EQS(F303,"Units= ; EqnPrefix=Valem  ; EqnNo= 0; Multiplication= 1; ShowWorking= 0; EqnStyle= 2; Eqp$H$276_2")</f>
        <v/>
      </c>
    </row>
    <row r="304" spans="5:9" x14ac:dyDescent="0.25">
      <c r="E304" s="51"/>
      <c r="F304" s="53"/>
      <c r="G304" s="52"/>
      <c r="H304" s="20"/>
      <c r="I304" s="19"/>
    </row>
    <row r="305" spans="5:9" x14ac:dyDescent="0.25">
      <c r="F305" s="53">
        <f>COS(RADIANS(4))*F303</f>
        <v>11.695589165063311</v>
      </c>
      <c r="H305" s="20" t="str">
        <f>[3]!EQS(F305,"Units= ; EqnPrefix=Valem  ; EqnNo= 0; Multiplication= 1; ShowWorking= 0; EqnStyle= 2; Eqp$H$277_2")</f>
        <v/>
      </c>
    </row>
    <row r="306" spans="5:9" x14ac:dyDescent="0.25">
      <c r="F306" s="53">
        <f>SIN(RADIANS(4))*F303</f>
        <v>0.81783526411394014</v>
      </c>
      <c r="H306" s="20" t="str">
        <f>[3]!EQS(F306,"Units= ; EqnPrefix=Valem  ; EqnNo= 0; Multiplication= 1; ShowWorking= 0; EqnStyle=2; Eqp$H$278_2")</f>
        <v/>
      </c>
    </row>
    <row r="308" spans="5:9" x14ac:dyDescent="0.25">
      <c r="F308" s="61">
        <f>COS(RADIANS(4))</f>
        <v>0.9975640502598242</v>
      </c>
      <c r="H308" s="20" t="str">
        <f>[3]!EQS(F308,"Units= ; EqnPrefix=Valem  ; EqnNo= 0; Multiplication= 1; ShowWorking= 0; EqnStyle= 2; Eqp$H$278_2")</f>
        <v/>
      </c>
    </row>
    <row r="310" spans="5:9" x14ac:dyDescent="0.25">
      <c r="F310" s="34">
        <f>F298*F308</f>
        <v>11.724148601803657</v>
      </c>
      <c r="H310" s="20" t="str">
        <f>[3]!EQS(F310,"Units= ; EqnPrefix=Valem  ; EqnNo= 0; Multiplication= 1; ShowWorking= 0; EqnStyle= 2; Eqp$H$276_2")</f>
        <v/>
      </c>
    </row>
    <row r="311" spans="5:9" x14ac:dyDescent="0.25">
      <c r="E311" s="51"/>
      <c r="F311" s="53"/>
      <c r="G311" s="52"/>
      <c r="H311" s="20"/>
      <c r="I311" s="19"/>
    </row>
    <row r="312" spans="5:9" x14ac:dyDescent="0.25">
      <c r="F312" s="53">
        <f>COS(RADIANS(4))*F310</f>
        <v>11.695589165063311</v>
      </c>
      <c r="H312" s="20" t="str">
        <f>[3]!EQS(F312,"Units= ; EqnPrefix=Valem  ; EqnNo= 0; Multiplication= 1; ShowWorking= 0; EqnStyle= 2; Eqp$H$277_2")</f>
        <v/>
      </c>
    </row>
    <row r="313" spans="5:9" x14ac:dyDescent="0.25">
      <c r="F313" s="53">
        <f>SIN(RADIANS(4))*F310</f>
        <v>0.81783526411394014</v>
      </c>
      <c r="H313" s="20" t="str">
        <f>[3]!EQS(F313,"Units= ; EqnPrefix=Valem  ; EqnNo= 0; Multiplication= 1; ShowWorking= 0; EqnStyle=2; Eqp$H$278_2")</f>
        <v/>
      </c>
    </row>
    <row r="314" spans="5:9" x14ac:dyDescent="0.25">
      <c r="E314" s="51"/>
      <c r="F314" s="53"/>
      <c r="G314" s="52"/>
      <c r="H314" s="20"/>
      <c r="I314" s="19"/>
    </row>
    <row r="315" spans="5:9" x14ac:dyDescent="0.25">
      <c r="E315" s="51"/>
      <c r="F315" s="53"/>
      <c r="G315" s="52"/>
      <c r="H315" s="20"/>
      <c r="I315" s="19"/>
    </row>
    <row r="316" spans="5:9" x14ac:dyDescent="0.25">
      <c r="E316" s="51"/>
      <c r="F316" s="53"/>
      <c r="G316" s="52"/>
      <c r="H316" s="20"/>
      <c r="I316" s="19"/>
    </row>
    <row r="317" spans="5:9" x14ac:dyDescent="0.25">
      <c r="F317" s="34">
        <v>457.09998725859163</v>
      </c>
      <c r="H317" s="20"/>
      <c r="I317" s="19"/>
    </row>
    <row r="318" spans="5:9" x14ac:dyDescent="0.25">
      <c r="E318" s="51"/>
      <c r="F318" s="53"/>
      <c r="G318" s="52"/>
      <c r="H318" s="20"/>
      <c r="I318" s="19"/>
    </row>
    <row r="319" spans="5:9" x14ac:dyDescent="0.25">
      <c r="F319" s="53">
        <f>COS(RADIANS(0))*F317</f>
        <v>457.09998725859163</v>
      </c>
      <c r="H319" s="20" t="str">
        <f>[3]!EQS(F319,"Units= ; EqnPrefix=Valem  ; EqnNo= 0; Multiplication= 1; ShowWorking= 0; EqnStyle= 2; Eqp$H$277_2")</f>
        <v/>
      </c>
    </row>
    <row r="320" spans="5:9" x14ac:dyDescent="0.25">
      <c r="F320" s="53">
        <f>SIN(RADIANS(0))*F317</f>
        <v>0</v>
      </c>
      <c r="H320" s="20" t="str">
        <f>[3]!EQS(F320,"Units= ; EqnPrefix=Valem  ; EqnNo= 0; Multiplication= 1; ShowWorking= 0; EqnStyle=2; Eqp$H$278_2")</f>
        <v/>
      </c>
    </row>
    <row r="321" spans="5:9" x14ac:dyDescent="0.25">
      <c r="E321" s="51"/>
      <c r="F321" s="53"/>
      <c r="G321" s="52"/>
      <c r="H321" s="20"/>
      <c r="I321" s="19"/>
    </row>
    <row r="324" spans="5:9" x14ac:dyDescent="0.25">
      <c r="F324" s="53">
        <f>888.8322/360</f>
        <v>2.4689783333333333</v>
      </c>
    </row>
    <row r="327" spans="5:9" x14ac:dyDescent="0.25">
      <c r="F327" s="53">
        <f>COS(RADIANS(41))</f>
        <v>0.75470958022277201</v>
      </c>
      <c r="H327" s="20" t="str">
        <f>[3]!EQS(F327,"Units= ; EqnPrefix=Valem  ; EqnNo= 0; Multiplication= 1; ShowWorking= 0; EqnStyle= 2; Eqp$H$274_2")</f>
        <v/>
      </c>
    </row>
    <row r="329" spans="5:9" x14ac:dyDescent="0.25">
      <c r="F329" s="34">
        <f>F324*F327</f>
        <v>1.8633616015291192</v>
      </c>
      <c r="H329" s="20" t="str">
        <f>[3]!EQS(F329,"Units= ; EqnPrefix=Valem  ; EqnNo= 0; Multiplication= 1; ShowWorking= 0; EqnStyle= 2; Eqp$H$276_2")</f>
        <v/>
      </c>
    </row>
    <row r="330" spans="5:9" x14ac:dyDescent="0.25">
      <c r="E330" s="51"/>
      <c r="F330" s="53"/>
      <c r="G330" s="52"/>
      <c r="H330" s="20"/>
      <c r="I330" s="19"/>
    </row>
    <row r="331" spans="5:9" x14ac:dyDescent="0.25">
      <c r="F331" s="53">
        <f>COS(RADIANS(4))*F329</f>
        <v>1.8588225463200208</v>
      </c>
      <c r="H331" s="20" t="str">
        <f>[3]!EQS(F331,"Units= ; EqnPrefix=Valem  ; EqnNo= 0; Multiplication= 1; ShowWorking= 0; EqnStyle= 2; Eqp$H$277_2")</f>
        <v/>
      </c>
    </row>
    <row r="332" spans="5:9" x14ac:dyDescent="0.25">
      <c r="F332" s="53">
        <f>SIN(RADIANS(4))*F329</f>
        <v>0.12998153463287729</v>
      </c>
      <c r="H332" s="20" t="str">
        <f>[3]!EQS(F332,"Units= ; EqnPrefix=Valem  ; EqnNo= 0; Multiplication= 1; ShowWorking= 0; EqnStyle=2; Eqp$H$278_2")</f>
        <v/>
      </c>
    </row>
    <row r="334" spans="5:9" x14ac:dyDescent="0.25">
      <c r="F334" s="53">
        <f>COS(RADIANS(49))</f>
        <v>0.65605902899050728</v>
      </c>
      <c r="H334" s="20" t="str">
        <f>[3]!EQS(F334,"Units= ; EqnPrefix=Valem  ; EqnNo= 0; Multiplication= 1; ShowWorking= 0; EqnStyle= 2; Eqp$H$278_2")</f>
        <v/>
      </c>
    </row>
    <row r="336" spans="5:9" x14ac:dyDescent="0.25">
      <c r="F336" s="34">
        <f>F324*F334</f>
        <v>1.6197955279652676</v>
      </c>
      <c r="H336" s="20" t="str">
        <f>[3]!EQS(F336,"Units= ; EqnPrefix=Valem  ; EqnNo= 0; Multiplication= 1; ShowWorking= 0; EqnStyle= 2; Eqp$H$276_2")</f>
        <v/>
      </c>
    </row>
    <row r="337" spans="5:9" x14ac:dyDescent="0.25">
      <c r="E337" s="51"/>
      <c r="F337" s="53"/>
      <c r="G337" s="52"/>
      <c r="H337" s="20"/>
      <c r="I337" s="19"/>
    </row>
    <row r="338" spans="5:9" x14ac:dyDescent="0.25">
      <c r="F338" s="53">
        <f>COS(RADIANS(4))*F336</f>
        <v>1.6158497874697826</v>
      </c>
      <c r="H338" s="20" t="str">
        <f>[3]!EQS(F338,"Units= ; EqnPrefix=Valem  ; EqnNo= 0; Multiplication= 1; ShowWorking= 0; EqnStyle= 2; Eqp$H$277_2")</f>
        <v/>
      </c>
    </row>
    <row r="339" spans="5:9" x14ac:dyDescent="0.25">
      <c r="F339" s="53">
        <f>SIN(RADIANS(4))*F336</f>
        <v>0.11299122421736077</v>
      </c>
      <c r="H339" s="20" t="str">
        <f>[3]!EQS(F339,"Units= ; EqnPrefix=Valem  ; EqnNo= 0; Multiplication= 1; ShowWorking= 0; EqnStyle=2; Eqp$H$278_2")</f>
        <v/>
      </c>
    </row>
    <row r="340" spans="5:9" x14ac:dyDescent="0.25">
      <c r="E340" s="51"/>
      <c r="F340" s="53"/>
      <c r="G340" s="52"/>
      <c r="H340" s="20"/>
      <c r="I340" s="19"/>
    </row>
  </sheetData>
  <mergeCells count="1">
    <mergeCell ref="A2:R2"/>
  </mergeCells>
  <pageMargins left="0.7" right="0.48958333333333331" top="0.75" bottom="0.75" header="0.3" footer="0.3"/>
  <pageSetup paperSize="9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AB421"/>
  <sheetViews>
    <sheetView topLeftCell="A427" workbookViewId="0">
      <selection activeCell="L13" sqref="L13"/>
    </sheetView>
  </sheetViews>
  <sheetFormatPr defaultRowHeight="18" outlineLevelRow="1" x14ac:dyDescent="0.25"/>
  <cols>
    <col min="1" max="1" width="1.375" style="54" customWidth="1"/>
    <col min="2" max="2" width="1.5" style="54" customWidth="1"/>
    <col min="3" max="4" width="1.5" style="23" customWidth="1"/>
    <col min="5" max="5" width="6.125" style="13" customWidth="1"/>
    <col min="6" max="6" width="8.5" style="13" customWidth="1"/>
    <col min="7" max="7" width="6.125" style="44" customWidth="1"/>
    <col min="8" max="8" width="0.875" style="13" customWidth="1"/>
    <col min="9" max="9" width="3.625" style="13" customWidth="1"/>
    <col min="10" max="11" width="6.125" style="13" customWidth="1"/>
    <col min="12" max="20" width="6.25" style="13" customWidth="1"/>
    <col min="21" max="21" width="1.375" style="13" customWidth="1"/>
    <col min="22" max="22" width="6.25" style="13" customWidth="1"/>
    <col min="23" max="16384" width="9" style="13"/>
  </cols>
  <sheetData>
    <row r="2" spans="1:18" ht="31.5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outlineLevel="1" x14ac:dyDescent="0.25">
      <c r="F3" s="13">
        <v>21</v>
      </c>
    </row>
    <row r="4" spans="1:18" outlineLevel="1" x14ac:dyDescent="0.25">
      <c r="F4" s="13">
        <f>F3</f>
        <v>21</v>
      </c>
    </row>
    <row r="5" spans="1:18" outlineLevel="1" x14ac:dyDescent="0.25">
      <c r="F5" s="13">
        <v>1.2250000000000001</v>
      </c>
    </row>
    <row r="6" spans="1:18" outlineLevel="1" x14ac:dyDescent="0.25">
      <c r="F6" s="13">
        <v>0.19</v>
      </c>
    </row>
    <row r="7" spans="1:18" outlineLevel="1" x14ac:dyDescent="0.25">
      <c r="F7" s="13">
        <v>0.05</v>
      </c>
    </row>
    <row r="8" spans="1:18" outlineLevel="1" x14ac:dyDescent="0.25">
      <c r="F8" s="13">
        <v>10</v>
      </c>
    </row>
    <row r="9" spans="1:18" outlineLevel="1" x14ac:dyDescent="0.25">
      <c r="F9" s="13">
        <v>1.1499999999999999</v>
      </c>
    </row>
    <row r="10" spans="1:18" outlineLevel="1" x14ac:dyDescent="0.25">
      <c r="E10" s="14"/>
    </row>
    <row r="11" spans="1:18" x14ac:dyDescent="0.25">
      <c r="E11" s="14"/>
    </row>
    <row r="12" spans="1:18" x14ac:dyDescent="0.25">
      <c r="C12" s="24"/>
      <c r="D12" s="24"/>
      <c r="E12" s="18"/>
      <c r="F12" s="18"/>
      <c r="G12" s="46"/>
      <c r="H12" s="18"/>
      <c r="I12" s="18"/>
      <c r="J12" s="18"/>
      <c r="K12" s="18"/>
      <c r="L12" s="18"/>
    </row>
    <row r="13" spans="1:18" outlineLevel="1" x14ac:dyDescent="0.25">
      <c r="B13" s="55"/>
      <c r="D13" s="24"/>
      <c r="E13" s="18"/>
      <c r="F13" s="18"/>
      <c r="G13" s="46"/>
      <c r="H13" s="18"/>
      <c r="I13" s="18"/>
      <c r="J13" s="18"/>
      <c r="K13" s="18"/>
      <c r="L13" s="18"/>
    </row>
    <row r="14" spans="1:18" outlineLevel="1" x14ac:dyDescent="0.25">
      <c r="E14" s="14"/>
      <c r="K14" s="26"/>
    </row>
    <row r="15" spans="1:18" outlineLevel="1" x14ac:dyDescent="0.25">
      <c r="F15" s="22">
        <v>36</v>
      </c>
    </row>
    <row r="16" spans="1:18" outlineLevel="1" x14ac:dyDescent="0.25">
      <c r="F16" s="22">
        <v>0.32400000000000001</v>
      </c>
    </row>
    <row r="17" spans="3:12" outlineLevel="1" x14ac:dyDescent="0.25">
      <c r="D17" s="26"/>
      <c r="E17" s="17"/>
      <c r="F17" s="16"/>
      <c r="G17" s="45"/>
      <c r="I17" s="21"/>
    </row>
    <row r="18" spans="3:12" outlineLevel="1" x14ac:dyDescent="0.25">
      <c r="F18" s="33">
        <f>F16*F15</f>
        <v>11.664</v>
      </c>
      <c r="H18" s="20" t="str">
        <f>[3]!EQS(F18,"Units= ; EqnPrefix=Valem  ; EqnNo= 0; Multiplication= 1; ShowWorking= 1; EqnStyle=2; Eqp$G$17_0")</f>
        <v/>
      </c>
      <c r="I18" s="19" t="s">
        <v>0</v>
      </c>
      <c r="L18" s="15"/>
    </row>
    <row r="19" spans="3:12" outlineLevel="1" x14ac:dyDescent="0.25">
      <c r="F19" s="16"/>
      <c r="G19" s="45"/>
      <c r="I19" s="21"/>
    </row>
    <row r="20" spans="3:12" ht="16.5" customHeight="1" outlineLevel="1" x14ac:dyDescent="0.25">
      <c r="F20" s="30">
        <f>$F$6*LN(F15/$F$7)*$F$3</f>
        <v>26.251212335920307</v>
      </c>
      <c r="H20" s="20" t="str">
        <f>[3]!EQS(F20,"Units= ; EqnPrefix=Valem  ; EqnNo= 0; Multiplication= 1; ShowWorking= 0; EqnStyle= 2; Eqp$H$21_2")</f>
        <v/>
      </c>
      <c r="I20" s="19" t="s">
        <v>1</v>
      </c>
      <c r="J20" s="20"/>
    </row>
    <row r="21" spans="3:12" ht="12" customHeight="1" outlineLevel="1" x14ac:dyDescent="0.25">
      <c r="E21" s="17"/>
      <c r="F21" s="30"/>
      <c r="G21" s="45"/>
      <c r="H21" s="20" t="str">
        <f>[3]!EQS(F20,"Units= ; EqnPrefix=Valem  ; EqnNo= 0; Multiplication= 1; ShowWorking= 1; EqnStyle= 2; Eqp$H$21_$H$22_3")</f>
        <v/>
      </c>
      <c r="I21" s="19" t="s">
        <v>2</v>
      </c>
      <c r="J21" s="20"/>
    </row>
    <row r="22" spans="3:12" outlineLevel="1" x14ac:dyDescent="0.25">
      <c r="D22" s="29"/>
      <c r="F22" s="30"/>
      <c r="G22" s="45"/>
      <c r="H22" s="20"/>
      <c r="I22" s="28"/>
      <c r="J22" s="20"/>
    </row>
    <row r="23" spans="3:12" outlineLevel="1" x14ac:dyDescent="0.25">
      <c r="F23" s="30">
        <f>1/2*$F$5*F20^2</f>
        <v>422.08976632716445</v>
      </c>
      <c r="H23" s="20" t="str">
        <f>[3]!EQS(F23,"Units= ; EqnPrefix=Valem  ; EqnNo= 0; Multiplication= 1; ShowWorking= 0; EqnStyle= 2; Eqp$G$21_0")</f>
        <v/>
      </c>
      <c r="I23" s="19" t="s">
        <v>3</v>
      </c>
      <c r="J23" s="20"/>
    </row>
    <row r="24" spans="3:12" outlineLevel="1" x14ac:dyDescent="0.25">
      <c r="E24" s="25"/>
      <c r="F24" s="30"/>
      <c r="G24" s="47"/>
      <c r="H24" s="20" t="str">
        <f>[3]!EQS(F23,"Units= ; EqnPrefix=Valem  ; EqnNo= 0; Multiplication= 1; ShowWorking= 1; EqnStyle= 2; Eqp$G$21_$G$25_1")</f>
        <v/>
      </c>
      <c r="I24" s="19" t="s">
        <v>4</v>
      </c>
      <c r="J24" s="20"/>
    </row>
    <row r="25" spans="3:12" outlineLevel="1" x14ac:dyDescent="0.25">
      <c r="E25" s="25"/>
      <c r="F25" s="30"/>
      <c r="G25" s="47"/>
      <c r="I25" s="28"/>
      <c r="J25" s="20"/>
    </row>
    <row r="26" spans="3:12" outlineLevel="1" x14ac:dyDescent="0.25">
      <c r="F26" s="30">
        <f>(1+2.28/LN(F15/$F$7))^2</f>
        <v>1.8131807308313552</v>
      </c>
      <c r="G26" s="47"/>
      <c r="H26" s="20" t="str">
        <f>[3]!EQS(F26,"Units= ; EqnPrefix=Valem  ; EqnNo= 0; Multiplication= 1; ShowWorking= 0; EqnStyle= 2; Eqp$G$24_0")</f>
        <v/>
      </c>
      <c r="I26" s="19" t="s">
        <v>5</v>
      </c>
      <c r="J26" s="20"/>
    </row>
    <row r="27" spans="3:12" outlineLevel="1" x14ac:dyDescent="0.25">
      <c r="E27" s="25"/>
      <c r="F27" s="30"/>
      <c r="G27" s="47"/>
      <c r="H27" s="20" t="str">
        <f>[3]!EQS(F26,"Units= ; EqnPrefix=Valem  ; EqnNo= 0; Multiplication= 1; ShowWorking= 1; EqnStyle= 2; Eqp$G$24_$G$28_1")</f>
        <v/>
      </c>
      <c r="I27" s="19" t="s">
        <v>6</v>
      </c>
      <c r="J27" s="20"/>
    </row>
    <row r="28" spans="3:12" outlineLevel="1" x14ac:dyDescent="0.25">
      <c r="D28" s="13"/>
      <c r="E28" s="25"/>
      <c r="F28" s="30"/>
      <c r="G28" s="47"/>
      <c r="J28" s="20"/>
    </row>
    <row r="29" spans="3:12" outlineLevel="1" x14ac:dyDescent="0.25">
      <c r="F29" s="13">
        <v>1.1499999999999999</v>
      </c>
      <c r="J29" s="20"/>
    </row>
    <row r="30" spans="3:12" outlineLevel="1" x14ac:dyDescent="0.25">
      <c r="D30" s="27"/>
      <c r="E30" s="14"/>
      <c r="F30" s="31"/>
      <c r="H30" s="20"/>
      <c r="I30" s="20"/>
      <c r="J30" s="20"/>
    </row>
    <row r="31" spans="3:12" outlineLevel="1" x14ac:dyDescent="0.25">
      <c r="F31" s="20">
        <f>15*10^-6</f>
        <v>1.4999999999999999E-5</v>
      </c>
      <c r="H31" s="20"/>
      <c r="J31" s="20"/>
    </row>
    <row r="32" spans="3:12" outlineLevel="1" x14ac:dyDescent="0.25">
      <c r="F32" s="20">
        <f>F16</f>
        <v>0.32400000000000001</v>
      </c>
      <c r="H32" s="20"/>
      <c r="J32" s="20"/>
    </row>
    <row r="33" spans="3:12" outlineLevel="1" x14ac:dyDescent="0.25">
      <c r="C33" s="13"/>
      <c r="E33" s="25"/>
      <c r="F33" s="20"/>
      <c r="G33" s="47"/>
      <c r="H33" s="20"/>
      <c r="I33" s="29"/>
      <c r="J33" s="20"/>
    </row>
    <row r="34" spans="3:12" outlineLevel="1" x14ac:dyDescent="0.25">
      <c r="C34" s="13"/>
      <c r="F34" s="32">
        <f>F32*F20/F31</f>
        <v>567026.18645587866</v>
      </c>
      <c r="H34" s="20" t="str">
        <f>[3]!EQS(F34,"Units= ; EqnPrefix=Valem  ; EqnNo= 0; Multiplication= 1; ShowWorking= 1; EqnStyle= 2; Eqp$G$27_0")</f>
        <v/>
      </c>
      <c r="I34" s="19" t="s">
        <v>7</v>
      </c>
      <c r="J34" s="20"/>
    </row>
    <row r="35" spans="3:12" outlineLevel="1" x14ac:dyDescent="0.25">
      <c r="C35" s="13"/>
      <c r="F35" s="32">
        <f>6.175*10^-4</f>
        <v>6.1749999999999999E-4</v>
      </c>
      <c r="H35" s="20"/>
      <c r="J35" s="20"/>
    </row>
    <row r="36" spans="3:12" outlineLevel="1" x14ac:dyDescent="0.25">
      <c r="C36" s="13"/>
      <c r="E36" s="25"/>
      <c r="F36" s="32"/>
      <c r="H36" s="20"/>
      <c r="I36" s="29"/>
      <c r="J36" s="20"/>
    </row>
    <row r="37" spans="3:12" outlineLevel="1" x14ac:dyDescent="0.25">
      <c r="C37" s="13"/>
      <c r="F37" s="32">
        <f>1.2+(0.18*LOG(10*F35))/(1+0.4*LOG(F34/10^6))</f>
        <v>0.75883386915863227</v>
      </c>
      <c r="H37" s="20" t="str">
        <f>[3]!EQS(F37,"Units= ; EqnPrefix=Valem  ; EqnNo= 0; Multiplication= 1; ShowWorking= 0; EqnStyle=2; Eqp$G$36_2")</f>
        <v/>
      </c>
      <c r="I37" s="19" t="s">
        <v>8</v>
      </c>
      <c r="J37" s="20"/>
    </row>
    <row r="38" spans="3:12" outlineLevel="1" x14ac:dyDescent="0.25">
      <c r="C38" s="13"/>
      <c r="E38" s="20"/>
      <c r="F38" s="20"/>
      <c r="H38" s="20" t="str">
        <f>[3]!EQS(F37,"Units= ; EqnPrefix=Valem  ; EqnNo= 0; Multiplication= 1; ShowWorking= 1; EqnStyle=2; Eqp$G$36_$G$37_3")</f>
        <v/>
      </c>
      <c r="I38" s="19" t="s">
        <v>9</v>
      </c>
      <c r="J38" s="20"/>
    </row>
    <row r="40" spans="3:12" x14ac:dyDescent="0.25">
      <c r="F40" s="34">
        <f>F23*F26*F29*F37*F16</f>
        <v>216.38914697938665</v>
      </c>
      <c r="H40" s="20" t="str">
        <f>[3]!EQS(F40,"Units= ; EqnPrefix=Valem  ; EqnNo= 0; Multiplication= 1; ShowWorking= 0; EqnStyle= 2; Eqp$G$39_0")</f>
        <v/>
      </c>
      <c r="I40" s="19" t="s">
        <v>10</v>
      </c>
    </row>
    <row r="41" spans="3:12" x14ac:dyDescent="0.25">
      <c r="H41" s="13" t="str">
        <f>[3]!EQS(F40,"Units= ; EqnPrefix=Valem  ; EqnNo= 0; Multiplication= 1; ShowWorking= 1; EqnStyle= 2; Eqp$G$39_$G$40_1")</f>
        <v/>
      </c>
      <c r="I41" s="19" t="s">
        <v>11</v>
      </c>
    </row>
    <row r="43" spans="3:12" x14ac:dyDescent="0.25">
      <c r="F43" s="53">
        <f>COS(RADIANS(4))*F40</f>
        <v>215.86203389302534</v>
      </c>
    </row>
    <row r="44" spans="3:12" x14ac:dyDescent="0.25">
      <c r="F44" s="53">
        <f>SIN(RADIANS(4))*F40</f>
        <v>15.094543849781257</v>
      </c>
    </row>
    <row r="46" spans="3:12" x14ac:dyDescent="0.25">
      <c r="C46" s="24"/>
      <c r="D46" s="24"/>
      <c r="E46" s="18"/>
      <c r="F46" s="18"/>
      <c r="G46" s="46"/>
      <c r="H46" s="18"/>
      <c r="I46" s="18"/>
      <c r="J46" s="18"/>
      <c r="K46" s="18"/>
      <c r="L46" s="18"/>
    </row>
    <row r="47" spans="3:12" outlineLevel="1" x14ac:dyDescent="0.25">
      <c r="E47" s="14"/>
    </row>
    <row r="48" spans="3:12" outlineLevel="1" x14ac:dyDescent="0.25">
      <c r="F48" s="22">
        <v>14</v>
      </c>
    </row>
    <row r="49" spans="4:10" outlineLevel="1" x14ac:dyDescent="0.25">
      <c r="F49" s="22">
        <v>0.27300000000000002</v>
      </c>
    </row>
    <row r="50" spans="4:10" outlineLevel="1" x14ac:dyDescent="0.25">
      <c r="F50" s="22">
        <v>15.5</v>
      </c>
    </row>
    <row r="51" spans="4:10" outlineLevel="1" x14ac:dyDescent="0.25">
      <c r="D51" s="26"/>
      <c r="E51" s="17"/>
      <c r="F51" s="16"/>
      <c r="G51" s="45"/>
      <c r="I51" s="21"/>
    </row>
    <row r="52" spans="4:10" outlineLevel="1" x14ac:dyDescent="0.25">
      <c r="F52" s="33">
        <f>F49*F50</f>
        <v>4.2315000000000005</v>
      </c>
      <c r="H52" s="20" t="str">
        <f>[3]!EQS(F52,"Units= ; EqnPrefix=Valem  ; EqnNo= 0; Multiplication= 1; ShowWorking= 1; EqnStyle=2; Eqp$G$17_0")</f>
        <v/>
      </c>
      <c r="I52" s="19" t="s">
        <v>12</v>
      </c>
    </row>
    <row r="53" spans="4:10" outlineLevel="1" x14ac:dyDescent="0.25">
      <c r="F53" s="16"/>
      <c r="G53" s="45"/>
      <c r="I53" s="21"/>
    </row>
    <row r="54" spans="4:10" outlineLevel="1" x14ac:dyDescent="0.25">
      <c r="E54" s="17"/>
      <c r="F54" s="16"/>
      <c r="G54" s="45"/>
      <c r="I54" s="21"/>
    </row>
    <row r="55" spans="4:10" outlineLevel="1" x14ac:dyDescent="0.25"/>
    <row r="56" spans="4:10" ht="16.5" customHeight="1" outlineLevel="1" x14ac:dyDescent="0.25">
      <c r="F56" s="30">
        <f>$F$6*LN(F48/$F$7)*$F$3</f>
        <v>22.482810516645301</v>
      </c>
      <c r="H56" s="20" t="str">
        <f>[3]!EQS(F56,"Units= ; EqnPrefix=Valem  ; EqnNo= 0; Multiplication= 1; ShowWorking= 0; EqnStyle= 2; Eqp$H$54_2")</f>
        <v/>
      </c>
      <c r="I56" s="19" t="s">
        <v>13</v>
      </c>
      <c r="J56" s="20"/>
    </row>
    <row r="57" spans="4:10" ht="12" customHeight="1" outlineLevel="1" x14ac:dyDescent="0.25">
      <c r="E57" s="17"/>
      <c r="F57" s="30"/>
      <c r="G57" s="45"/>
      <c r="H57" s="20" t="str">
        <f>[3]!EQS(F56,"Units= ; EqnPrefix=Valem  ; EqnNo= 0; Multiplication= 1; ShowWorking= 1; EqnStyle= 2; Eqp$H$54_$H$55_3")</f>
        <v/>
      </c>
      <c r="I57" s="19" t="s">
        <v>14</v>
      </c>
      <c r="J57" s="20"/>
    </row>
    <row r="58" spans="4:10" outlineLevel="1" x14ac:dyDescent="0.25">
      <c r="D58" s="29"/>
      <c r="F58" s="30"/>
      <c r="G58" s="45"/>
      <c r="H58" s="20"/>
      <c r="I58" s="28"/>
      <c r="J58" s="20"/>
    </row>
    <row r="59" spans="4:10" outlineLevel="1" x14ac:dyDescent="0.25">
      <c r="F59" s="30">
        <f>1/2*$F$5*F56^2</f>
        <v>309.60452084551815</v>
      </c>
      <c r="H59" s="20" t="str">
        <f>[3]!EQS(F59,"Units= ; EqnPrefix=Valem  ; EqnNo= 0; Multiplication= 1; ShowWorking= 0; EqnStyle= 2; Eqp$G$21_0")</f>
        <v/>
      </c>
      <c r="I59" s="19" t="s">
        <v>15</v>
      </c>
      <c r="J59" s="20"/>
    </row>
    <row r="60" spans="4:10" outlineLevel="1" x14ac:dyDescent="0.25">
      <c r="E60" s="25"/>
      <c r="F60" s="30"/>
      <c r="G60" s="47"/>
      <c r="H60" s="20" t="str">
        <f>[3]!EQS(F59,"Units= ; EqnPrefix=Valem  ; EqnNo= 0; Multiplication= 1; ShowWorking= 1; EqnStyle= 2; Eqp$G$21_$G$25_1")</f>
        <v/>
      </c>
      <c r="I60" s="19" t="s">
        <v>16</v>
      </c>
      <c r="J60" s="20"/>
    </row>
    <row r="61" spans="4:10" outlineLevel="1" x14ac:dyDescent="0.25">
      <c r="E61" s="25"/>
      <c r="F61" s="30"/>
      <c r="G61" s="47"/>
      <c r="I61" s="28"/>
      <c r="J61" s="20"/>
    </row>
    <row r="62" spans="4:10" outlineLevel="1" x14ac:dyDescent="0.25">
      <c r="F62" s="30">
        <f>(1+2.28/LN(F48/$F$7))^2</f>
        <v>1.9729829854343099</v>
      </c>
      <c r="G62" s="47"/>
      <c r="H62" s="20" t="str">
        <f>[3]!EQS(F62,"Units= ; EqnPrefix=Valem  ; EqnNo= 0; Multiplication= 1; ShowWorking= 0; EqnStyle= 2; Eqp$G$24_0")</f>
        <v/>
      </c>
      <c r="I62" s="19" t="s">
        <v>17</v>
      </c>
      <c r="J62" s="20"/>
    </row>
    <row r="63" spans="4:10" outlineLevel="1" x14ac:dyDescent="0.25">
      <c r="E63" s="25"/>
      <c r="F63" s="30"/>
      <c r="G63" s="47"/>
      <c r="H63" s="20" t="str">
        <f>[3]!EQS(F62,"Units= ; EqnPrefix=Valem  ; EqnNo= 0; Multiplication= 1; ShowWorking= 1; EqnStyle= 2; Eqp$G$24_$G$28_1")</f>
        <v/>
      </c>
      <c r="I63" s="19" t="s">
        <v>18</v>
      </c>
      <c r="J63" s="20"/>
    </row>
    <row r="64" spans="4:10" outlineLevel="1" x14ac:dyDescent="0.25">
      <c r="D64" s="13"/>
      <c r="E64" s="25"/>
      <c r="F64" s="30"/>
      <c r="G64" s="47"/>
      <c r="J64" s="20"/>
    </row>
    <row r="65" spans="3:10" outlineLevel="1" x14ac:dyDescent="0.25">
      <c r="F65" s="13">
        <v>1.1499999999999999</v>
      </c>
      <c r="J65" s="20"/>
    </row>
    <row r="66" spans="3:10" outlineLevel="1" x14ac:dyDescent="0.25">
      <c r="D66" s="27"/>
      <c r="E66" s="14"/>
      <c r="F66" s="31"/>
      <c r="H66" s="20"/>
      <c r="I66" s="20"/>
      <c r="J66" s="20"/>
    </row>
    <row r="67" spans="3:10" outlineLevel="1" x14ac:dyDescent="0.25">
      <c r="F67" s="20">
        <f>15*10^-6</f>
        <v>1.4999999999999999E-5</v>
      </c>
      <c r="H67" s="20"/>
      <c r="J67" s="20"/>
    </row>
    <row r="68" spans="3:10" outlineLevel="1" x14ac:dyDescent="0.25">
      <c r="F68" s="20">
        <f>F49</f>
        <v>0.27300000000000002</v>
      </c>
      <c r="H68" s="20"/>
      <c r="J68" s="20"/>
    </row>
    <row r="69" spans="3:10" outlineLevel="1" x14ac:dyDescent="0.25">
      <c r="C69" s="13"/>
      <c r="E69" s="25"/>
      <c r="F69" s="20"/>
      <c r="G69" s="47"/>
      <c r="H69" s="20"/>
      <c r="I69" s="29"/>
      <c r="J69" s="20"/>
    </row>
    <row r="70" spans="3:10" outlineLevel="1" x14ac:dyDescent="0.25">
      <c r="C70" s="13"/>
      <c r="F70" s="32">
        <f>F68*F56/F67</f>
        <v>409187.15140294458</v>
      </c>
      <c r="H70" s="20" t="str">
        <f>[3]!EQS(F70,"Units= ; EqnPrefix=Valem  ; EqnNo= 0; Multiplication= 1; ShowWorking= 0; EqnStyle= 2; Eqp$G$27_0")</f>
        <v/>
      </c>
      <c r="I70" s="19" t="s">
        <v>19</v>
      </c>
      <c r="J70" s="20"/>
    </row>
    <row r="71" spans="3:10" outlineLevel="1" x14ac:dyDescent="0.25">
      <c r="C71" s="13"/>
      <c r="E71" s="25"/>
      <c r="F71" s="32"/>
      <c r="H71" s="20" t="str">
        <f>[3]!EQS(F70,"Units= ; EqnPrefix=Valem  ; EqnNo= 0; Multiplication= 1; ShowWorking= 1; EqnStyle= 2; Eqp$G$27_$H$69_1")</f>
        <v/>
      </c>
      <c r="I71" s="19" t="s">
        <v>20</v>
      </c>
      <c r="J71" s="20"/>
    </row>
    <row r="72" spans="3:10" outlineLevel="1" x14ac:dyDescent="0.25">
      <c r="C72" s="13"/>
      <c r="F72" s="35">
        <f>0.2/F49*1000</f>
        <v>732.6007326007325</v>
      </c>
      <c r="H72" s="20"/>
      <c r="J72" s="20"/>
    </row>
    <row r="73" spans="3:10" outlineLevel="1" x14ac:dyDescent="0.25">
      <c r="C73" s="13"/>
      <c r="E73" s="25"/>
      <c r="F73" s="32"/>
      <c r="H73" s="20"/>
      <c r="I73" s="29"/>
      <c r="J73" s="20"/>
    </row>
    <row r="74" spans="3:10" outlineLevel="1" x14ac:dyDescent="0.25">
      <c r="F74" s="30">
        <f>1.2+(0.18*LOG(10*F72))/(1+0.4*LOG(F70/10^6))</f>
        <v>2.0235106772562297</v>
      </c>
      <c r="H74" s="20" t="str">
        <f>[3]!EQS(F74,"Units= ; EqnPrefix=Valem  ; EqnNo= 0; Multiplication= 1; ShowWorking= 0; EqnStyle=2; Eqp$G$36_2")</f>
        <v/>
      </c>
      <c r="I74" s="19" t="s">
        <v>21</v>
      </c>
      <c r="J74" s="20"/>
    </row>
    <row r="75" spans="3:10" outlineLevel="1" x14ac:dyDescent="0.25">
      <c r="E75" s="20"/>
      <c r="F75" s="20"/>
      <c r="H75" s="20" t="str">
        <f>[3]!EQS(F74,"Units= ; EqnPrefix=Valem  ; EqnNo= 0; Multiplication= 1; ShowWorking= 1; EqnStyle=2; Eqp$G$36_$G$37_3")</f>
        <v/>
      </c>
      <c r="I75" s="19" t="s">
        <v>22</v>
      </c>
      <c r="J75" s="20"/>
    </row>
    <row r="76" spans="3:10" outlineLevel="1" x14ac:dyDescent="0.25">
      <c r="E76" s="20"/>
      <c r="F76" s="20"/>
      <c r="H76" s="20"/>
      <c r="I76" s="28"/>
      <c r="J76" s="20"/>
    </row>
    <row r="77" spans="3:10" outlineLevel="1" x14ac:dyDescent="0.25">
      <c r="F77" s="93">
        <f>COS(RADIANS(90))^2</f>
        <v>3.7524718414124473E-33</v>
      </c>
      <c r="H77" s="20" t="str">
        <f>[3]!EQS(F77,"Units= ; EqnPrefix=Valem  ; EqnNo= 0; Multiplication= 1; ShowWorking= 0; EqnStyle= 2; Eqp$H$75_2")</f>
        <v/>
      </c>
      <c r="I77" s="19" t="s">
        <v>23</v>
      </c>
      <c r="J77" s="20"/>
    </row>
    <row r="79" spans="3:10" x14ac:dyDescent="0.25">
      <c r="F79" s="34">
        <f>F59*F62*F65*F74*F49*F77</f>
        <v>1.4561766518140426E-30</v>
      </c>
      <c r="H79" s="20" t="str">
        <f>[3]!EQS(F79,"Units= ; EqnPrefix=Valem  ; EqnNo= 0; Multiplication= 1; ShowWorking= 0; EqnStyle= 2; Eqp$G$39_0")</f>
        <v/>
      </c>
      <c r="I79" s="19" t="s">
        <v>24</v>
      </c>
    </row>
    <row r="80" spans="3:10" x14ac:dyDescent="0.25">
      <c r="H80" s="13" t="str">
        <f>[3]!EQS(F79,"Units= ; EqnPrefix=Valem  ; EqnNo= 0; Multiplication= 1; ShowWorking= 1; EqnStyle= 2; Eqp$G$39_$G$40_1")</f>
        <v/>
      </c>
      <c r="I80" s="19" t="s">
        <v>25</v>
      </c>
    </row>
    <row r="83" spans="3:12" x14ac:dyDescent="0.25">
      <c r="C83" s="24"/>
      <c r="D83" s="24"/>
      <c r="E83" s="18"/>
      <c r="F83" s="18"/>
      <c r="G83" s="46"/>
      <c r="H83" s="18"/>
      <c r="I83" s="18"/>
      <c r="J83" s="18"/>
      <c r="K83" s="18"/>
      <c r="L83" s="18"/>
    </row>
    <row r="84" spans="3:12" outlineLevel="1" x14ac:dyDescent="0.25">
      <c r="E84" s="14"/>
    </row>
    <row r="85" spans="3:12" outlineLevel="1" x14ac:dyDescent="0.25">
      <c r="F85" s="22">
        <v>28</v>
      </c>
    </row>
    <row r="86" spans="3:12" outlineLevel="1" x14ac:dyDescent="0.25">
      <c r="F86" s="22">
        <v>0.22</v>
      </c>
    </row>
    <row r="87" spans="3:12" outlineLevel="1" x14ac:dyDescent="0.25">
      <c r="F87" s="22">
        <v>23</v>
      </c>
    </row>
    <row r="88" spans="3:12" outlineLevel="1" x14ac:dyDescent="0.25">
      <c r="D88" s="26"/>
      <c r="E88" s="17"/>
      <c r="F88" s="16"/>
      <c r="G88" s="45"/>
      <c r="I88" s="21"/>
    </row>
    <row r="89" spans="3:12" outlineLevel="1" x14ac:dyDescent="0.25">
      <c r="F89" s="33">
        <f>F86*F87</f>
        <v>5.0599999999999996</v>
      </c>
      <c r="H89" s="20" t="str">
        <f>[3]!EQS(F89,"Units= ; EqnPrefix=Valem  ; EqnNo= 0; Multiplication= 1; ShowWorking= 1; EqnStyle=2; Eqp$G$17_0")</f>
        <v/>
      </c>
      <c r="I89" s="19" t="s">
        <v>26</v>
      </c>
    </row>
    <row r="90" spans="3:12" outlineLevel="1" x14ac:dyDescent="0.25">
      <c r="E90" s="25"/>
      <c r="F90" s="33"/>
      <c r="G90" s="47"/>
      <c r="H90" s="20"/>
      <c r="I90" s="19"/>
    </row>
    <row r="91" spans="3:12" outlineLevel="1" x14ac:dyDescent="0.25">
      <c r="F91" s="16"/>
      <c r="G91" s="45"/>
      <c r="I91" s="21"/>
    </row>
    <row r="92" spans="3:12" outlineLevel="1" x14ac:dyDescent="0.25">
      <c r="E92" s="17"/>
      <c r="F92" s="16"/>
      <c r="G92" s="45"/>
      <c r="I92" s="21"/>
    </row>
    <row r="93" spans="3:12" outlineLevel="1" x14ac:dyDescent="0.25"/>
    <row r="94" spans="3:12" ht="16.5" customHeight="1" outlineLevel="1" x14ac:dyDescent="0.25">
      <c r="F94" s="30">
        <f>$F$6*LN(F85/$F$7)*$F$3</f>
        <v>25.248467767079489</v>
      </c>
      <c r="H94" s="20" t="str">
        <f>[3]!EQS(F94,"Units= ; EqnPrefix=Valem  ; EqnNo= 0; Multiplication= 1; ShowWorking= 0; EqnStyle= 2; Eqp$H$54_2")</f>
        <v/>
      </c>
      <c r="I94" s="19" t="s">
        <v>27</v>
      </c>
      <c r="J94" s="20"/>
    </row>
    <row r="95" spans="3:12" ht="12" customHeight="1" outlineLevel="1" x14ac:dyDescent="0.25">
      <c r="E95" s="17"/>
      <c r="F95" s="30"/>
      <c r="G95" s="45"/>
      <c r="H95" s="20" t="str">
        <f>[3]!EQS(F94,"Units= ; EqnPrefix=Valem  ; EqnNo= 0; Multiplication= 1; ShowWorking= 1; EqnStyle= 2; Eqp$H$54_$H$55_3")</f>
        <v/>
      </c>
      <c r="I95" s="19" t="s">
        <v>28</v>
      </c>
      <c r="J95" s="20"/>
    </row>
    <row r="96" spans="3:12" outlineLevel="1" x14ac:dyDescent="0.25">
      <c r="D96" s="29"/>
      <c r="F96" s="30"/>
      <c r="G96" s="45"/>
      <c r="H96" s="20"/>
      <c r="I96" s="28"/>
      <c r="J96" s="20"/>
    </row>
    <row r="97" spans="3:10" outlineLevel="1" x14ac:dyDescent="0.25">
      <c r="F97" s="30">
        <f>1/2*$F$5*F94^2</f>
        <v>390.45963880846682</v>
      </c>
      <c r="H97" s="20" t="str">
        <f>[3]!EQS(F97,"Units= ; EqnPrefix=Valem  ; EqnNo= 0; Multiplication= 1; ShowWorking= 0; EqnStyle= 2; Eqp$G$21_0")</f>
        <v/>
      </c>
      <c r="I97" s="19" t="s">
        <v>29</v>
      </c>
      <c r="J97" s="20"/>
    </row>
    <row r="98" spans="3:10" outlineLevel="1" x14ac:dyDescent="0.25">
      <c r="E98" s="25"/>
      <c r="F98" s="30"/>
      <c r="G98" s="47"/>
      <c r="H98" s="20" t="str">
        <f>[3]!EQS(F97,"Units= ; EqnPrefix=Valem  ; EqnNo= 0; Multiplication= 1; ShowWorking= 1; EqnStyle= 2; Eqp$G$21_$G$25_1")</f>
        <v/>
      </c>
      <c r="I98" s="19" t="s">
        <v>30</v>
      </c>
      <c r="J98" s="20"/>
    </row>
    <row r="99" spans="3:10" outlineLevel="1" x14ac:dyDescent="0.25">
      <c r="E99" s="25"/>
      <c r="F99" s="30"/>
      <c r="G99" s="47"/>
      <c r="I99" s="28"/>
      <c r="J99" s="20"/>
    </row>
    <row r="100" spans="3:10" outlineLevel="1" x14ac:dyDescent="0.25">
      <c r="F100" s="30">
        <f>(1+2.28/LN(F85/$F$7))^2</f>
        <v>1.8504351691877789</v>
      </c>
      <c r="G100" s="47"/>
      <c r="H100" s="20" t="str">
        <f>[3]!EQS(F100,"Units= ; EqnPrefix=Valem  ; EqnNo= 0; Multiplication= 1; ShowWorking= 0; EqnStyle= 2; Eqp$G$24_0")</f>
        <v/>
      </c>
      <c r="I100" s="19" t="s">
        <v>31</v>
      </c>
      <c r="J100" s="20"/>
    </row>
    <row r="101" spans="3:10" outlineLevel="1" x14ac:dyDescent="0.25">
      <c r="E101" s="25"/>
      <c r="F101" s="30"/>
      <c r="G101" s="47"/>
      <c r="H101" s="20" t="str">
        <f>[3]!EQS(F100,"Units= ; EqnPrefix=Valem  ; EqnNo= 0; Multiplication= 1; ShowWorking= 1; EqnStyle= 2; Eqp$G$24_$G$28_1")</f>
        <v/>
      </c>
      <c r="I101" s="19" t="s">
        <v>32</v>
      </c>
      <c r="J101" s="20"/>
    </row>
    <row r="102" spans="3:10" outlineLevel="1" x14ac:dyDescent="0.25">
      <c r="D102" s="13"/>
      <c r="E102" s="25"/>
      <c r="F102" s="30"/>
      <c r="G102" s="47"/>
      <c r="J102" s="20"/>
    </row>
    <row r="103" spans="3:10" outlineLevel="1" x14ac:dyDescent="0.25">
      <c r="F103" s="13">
        <v>1.1499999999999999</v>
      </c>
      <c r="J103" s="20"/>
    </row>
    <row r="104" spans="3:10" outlineLevel="1" x14ac:dyDescent="0.25">
      <c r="D104" s="27"/>
      <c r="E104" s="14"/>
      <c r="F104" s="31"/>
      <c r="H104" s="20"/>
      <c r="I104" s="20"/>
      <c r="J104" s="20"/>
    </row>
    <row r="105" spans="3:10" outlineLevel="1" x14ac:dyDescent="0.25">
      <c r="C105" s="13"/>
      <c r="E105" s="25"/>
      <c r="F105" s="32"/>
      <c r="H105" s="20"/>
      <c r="I105" s="29"/>
      <c r="J105" s="20"/>
    </row>
    <row r="106" spans="3:10" outlineLevel="1" x14ac:dyDescent="0.25">
      <c r="F106" s="30">
        <v>2</v>
      </c>
      <c r="H106" s="20"/>
      <c r="I106" s="19"/>
      <c r="J106" s="20"/>
    </row>
    <row r="107" spans="3:10" outlineLevel="1" x14ac:dyDescent="0.25">
      <c r="E107" s="20"/>
      <c r="F107" s="20"/>
      <c r="H107" s="20"/>
      <c r="I107" s="28"/>
      <c r="J107" s="20"/>
    </row>
    <row r="108" spans="3:10" outlineLevel="1" x14ac:dyDescent="0.25">
      <c r="D108" s="36"/>
      <c r="F108" s="38">
        <f>MIN(70,2*F87/F86)</f>
        <v>70</v>
      </c>
      <c r="H108" s="20"/>
      <c r="I108" s="28"/>
      <c r="J108" s="20"/>
    </row>
    <row r="109" spans="3:10" outlineLevel="1" x14ac:dyDescent="0.25">
      <c r="E109" s="20"/>
      <c r="F109" s="20"/>
      <c r="H109" s="20"/>
      <c r="I109" s="28"/>
      <c r="J109" s="20"/>
    </row>
    <row r="110" spans="3:10" outlineLevel="1" x14ac:dyDescent="0.25">
      <c r="D110" s="36"/>
      <c r="F110" s="20">
        <v>1</v>
      </c>
      <c r="H110" s="20"/>
      <c r="I110" s="28"/>
      <c r="J110" s="20"/>
    </row>
    <row r="111" spans="3:10" outlineLevel="1" x14ac:dyDescent="0.25">
      <c r="F111" s="20"/>
      <c r="H111" s="20"/>
      <c r="I111" s="28"/>
      <c r="J111" s="20"/>
    </row>
    <row r="112" spans="3:10" outlineLevel="1" x14ac:dyDescent="0.25">
      <c r="F112" s="13">
        <v>0.92</v>
      </c>
      <c r="H112" s="20"/>
      <c r="I112" s="28"/>
      <c r="J112" s="20"/>
    </row>
    <row r="113" spans="3:12" outlineLevel="1" x14ac:dyDescent="0.25">
      <c r="E113" s="20"/>
      <c r="F113" s="37"/>
      <c r="H113" s="20"/>
      <c r="I113" s="28"/>
      <c r="J113" s="20"/>
    </row>
    <row r="114" spans="3:12" outlineLevel="1" x14ac:dyDescent="0.25">
      <c r="F114" s="39">
        <f>F106*F112</f>
        <v>1.84</v>
      </c>
      <c r="H114" s="20" t="str">
        <f>[3]!EQS(F114,"Units= ; EqnPrefix=Valem  ; EqnNo= 0; Multiplication= 1; ShowWorking= 0; EqnStyle= 2; Eqp$H$119_2")</f>
        <v/>
      </c>
      <c r="I114" s="19" t="s">
        <v>33</v>
      </c>
      <c r="J114" s="20"/>
    </row>
    <row r="115" spans="3:12" outlineLevel="1" x14ac:dyDescent="0.25">
      <c r="E115" s="20"/>
      <c r="F115" s="37"/>
      <c r="H115" s="20" t="str">
        <f>[3]!EQS(F114,"Units= ; EqnPrefix=Valem  ; EqnNo= 0; Multiplication= 1; ShowWorking= 1; EqnStyle= 2; Eqp$H$119_$H$120_3")</f>
        <v/>
      </c>
      <c r="I115" s="19" t="s">
        <v>34</v>
      </c>
      <c r="J115" s="20"/>
    </row>
    <row r="116" spans="3:12" outlineLevel="1" x14ac:dyDescent="0.25">
      <c r="E116" s="20"/>
      <c r="F116" s="20"/>
      <c r="H116" s="20"/>
      <c r="I116" s="28"/>
      <c r="J116" s="20"/>
    </row>
    <row r="117" spans="3:12" outlineLevel="1" x14ac:dyDescent="0.25">
      <c r="F117" s="93">
        <f>COS(RADIANS(90))^2</f>
        <v>3.7524718414124473E-33</v>
      </c>
      <c r="H117" s="20" t="str">
        <f>[3]!EQS(F117,"Units= ; EqnPrefix=Valem  ; EqnNo= 0; Multiplication= 1; ShowWorking= 0; EqnStyle= 2; Eqp$H$75_2")</f>
        <v/>
      </c>
      <c r="I117" s="19" t="s">
        <v>23</v>
      </c>
      <c r="J117" s="20"/>
    </row>
    <row r="118" spans="3:12" outlineLevel="1" x14ac:dyDescent="0.25"/>
    <row r="119" spans="3:12" x14ac:dyDescent="0.25">
      <c r="F119" s="34">
        <f>F97*F100*F103*F114*F86*F117</f>
        <v>1.2621349945739855E-30</v>
      </c>
      <c r="H119" s="20" t="str">
        <f>[3]!EQS(F119,"Units= ; EqnPrefix=Valem  ; EqnNo= 0; Multiplication= 1; ShowWorking= 0; EqnStyle= 2; Eqp$G$39_0")</f>
        <v/>
      </c>
      <c r="I119" s="19" t="s">
        <v>35</v>
      </c>
    </row>
    <row r="120" spans="3:12" x14ac:dyDescent="0.25">
      <c r="H120" s="13" t="str">
        <f>[3]!EQS(F119,"Units= ; EqnPrefix=Valem  ; EqnNo= 0; Multiplication= 1; ShowWorking= 1; EqnStyle= 2; Eqp$G$39_$G$40_1")</f>
        <v/>
      </c>
      <c r="I120" s="19" t="s">
        <v>36</v>
      </c>
    </row>
    <row r="123" spans="3:12" x14ac:dyDescent="0.25">
      <c r="C123" s="24"/>
      <c r="D123" s="24"/>
      <c r="E123" s="18"/>
      <c r="F123" s="18"/>
      <c r="G123" s="46"/>
      <c r="H123" s="18"/>
      <c r="I123" s="18"/>
      <c r="J123" s="18"/>
      <c r="K123" s="18"/>
      <c r="L123" s="18"/>
    </row>
    <row r="124" spans="3:12" outlineLevel="1" x14ac:dyDescent="0.25">
      <c r="E124" s="14"/>
    </row>
    <row r="125" spans="3:12" outlineLevel="1" x14ac:dyDescent="0.25">
      <c r="F125" s="22">
        <v>36</v>
      </c>
    </row>
    <row r="126" spans="3:12" outlineLevel="1" x14ac:dyDescent="0.25">
      <c r="F126" s="22">
        <v>0.25</v>
      </c>
    </row>
    <row r="127" spans="3:12" outlineLevel="1" x14ac:dyDescent="0.25">
      <c r="F127" s="22">
        <v>0.25</v>
      </c>
    </row>
    <row r="128" spans="3:12" outlineLevel="1" x14ac:dyDescent="0.25">
      <c r="F128" s="22">
        <v>23</v>
      </c>
    </row>
    <row r="129" spans="3:10" outlineLevel="1" x14ac:dyDescent="0.25">
      <c r="D129" s="26"/>
      <c r="E129" s="17"/>
      <c r="F129" s="16"/>
      <c r="G129" s="45"/>
      <c r="I129" s="21"/>
    </row>
    <row r="130" spans="3:10" outlineLevel="1" x14ac:dyDescent="0.25">
      <c r="F130" s="33">
        <f>F126*F128</f>
        <v>5.75</v>
      </c>
      <c r="H130" s="20" t="str">
        <f>[3]!EQS(F130,"Units= ; EqnPrefix=Valem  ; EqnNo= 0; Multiplication= 1; ShowWorking= 1; EqnStyle=2; Eqp$G$17_0")</f>
        <v/>
      </c>
      <c r="I130" s="19" t="s">
        <v>37</v>
      </c>
    </row>
    <row r="131" spans="3:10" outlineLevel="1" x14ac:dyDescent="0.25">
      <c r="E131" s="25"/>
      <c r="F131" s="33"/>
      <c r="G131" s="47"/>
      <c r="H131" s="20"/>
      <c r="I131" s="19"/>
    </row>
    <row r="132" spans="3:10" outlineLevel="1" x14ac:dyDescent="0.25">
      <c r="C132" s="36"/>
      <c r="F132" s="33">
        <f>F127*F126</f>
        <v>6.25E-2</v>
      </c>
      <c r="H132" s="20" t="str">
        <f>[3]!EQS(F132,"Units= ; EqnPrefix=Valem  ; EqnNo= 0; Multiplication= 1; ShowWorking= 1; EqnStyle= 2; Eqp$H$137_2")</f>
        <v/>
      </c>
      <c r="I132" s="19" t="s">
        <v>38</v>
      </c>
    </row>
    <row r="133" spans="3:10" outlineLevel="1" x14ac:dyDescent="0.25">
      <c r="F133" s="16"/>
      <c r="G133" s="45"/>
      <c r="I133" s="21"/>
    </row>
    <row r="134" spans="3:10" outlineLevel="1" x14ac:dyDescent="0.25">
      <c r="E134" s="17"/>
      <c r="F134" s="16"/>
      <c r="G134" s="45"/>
      <c r="I134" s="21"/>
    </row>
    <row r="135" spans="3:10" outlineLevel="1" x14ac:dyDescent="0.25"/>
    <row r="136" spans="3:10" outlineLevel="1" x14ac:dyDescent="0.25">
      <c r="F136" s="30">
        <f>$F$6*LN(F125/$F$7)*$F$3</f>
        <v>26.251212335920307</v>
      </c>
      <c r="H136" s="20" t="str">
        <f>[3]!EQS(F136,"Units= ; EqnPrefix=Valem  ; EqnNo= 0; Multiplication= 1; ShowWorking= 0; EqnStyle= 2; Eqp$H$54_2")</f>
        <v/>
      </c>
      <c r="I136" s="19" t="s">
        <v>39</v>
      </c>
      <c r="J136" s="20"/>
    </row>
    <row r="137" spans="3:10" outlineLevel="1" x14ac:dyDescent="0.25">
      <c r="E137" s="17"/>
      <c r="F137" s="30"/>
      <c r="G137" s="45"/>
      <c r="H137" s="20" t="str">
        <f>[3]!EQS(F136,"Units= ; EqnPrefix=Valem  ; EqnNo= 0; Multiplication= 1; ShowWorking= 1; EqnStyle= 2; Eqp$H$54_$H$55_3")</f>
        <v/>
      </c>
      <c r="I137" s="19" t="s">
        <v>2</v>
      </c>
      <c r="J137" s="20"/>
    </row>
    <row r="138" spans="3:10" outlineLevel="1" x14ac:dyDescent="0.25">
      <c r="D138" s="29"/>
      <c r="F138" s="30"/>
      <c r="G138" s="45"/>
      <c r="H138" s="20"/>
      <c r="I138" s="28"/>
      <c r="J138" s="20"/>
    </row>
    <row r="139" spans="3:10" outlineLevel="1" x14ac:dyDescent="0.25">
      <c r="F139" s="30">
        <f>1/2*$F$5*F136^2</f>
        <v>422.08976632716445</v>
      </c>
      <c r="H139" s="20" t="str">
        <f>[3]!EQS(F139,"Units= ; EqnPrefix=Valem  ; EqnNo= 0; Multiplication= 1; ShowWorking= 0; EqnStyle= 2; Eqp$G$21_0")</f>
        <v/>
      </c>
      <c r="I139" s="19" t="s">
        <v>40</v>
      </c>
      <c r="J139" s="20"/>
    </row>
    <row r="140" spans="3:10" outlineLevel="1" x14ac:dyDescent="0.25">
      <c r="E140" s="25"/>
      <c r="F140" s="30"/>
      <c r="G140" s="47"/>
      <c r="H140" s="20" t="str">
        <f>[3]!EQS(F139,"Units= ; EqnPrefix=Valem  ; EqnNo= 0; Multiplication= 1; ShowWorking= 1; EqnStyle= 2; Eqp$G$21_$G$25_1")</f>
        <v/>
      </c>
      <c r="I140" s="19" t="s">
        <v>4</v>
      </c>
      <c r="J140" s="20"/>
    </row>
    <row r="141" spans="3:10" outlineLevel="1" x14ac:dyDescent="0.25">
      <c r="E141" s="25"/>
      <c r="F141" s="30"/>
      <c r="G141" s="47"/>
      <c r="I141" s="28"/>
      <c r="J141" s="20"/>
    </row>
    <row r="142" spans="3:10" outlineLevel="1" x14ac:dyDescent="0.25">
      <c r="F142" s="30">
        <f>(1+2.28/LN(F125/$F$7))^2</f>
        <v>1.8131807308313552</v>
      </c>
      <c r="G142" s="47"/>
      <c r="H142" s="20" t="str">
        <f>[3]!EQS(F142,"Units= ; EqnPrefix=Valem  ; EqnNo= 0; Multiplication= 1; ShowWorking= 0; EqnStyle= 2; Eqp$G$24_0")</f>
        <v/>
      </c>
      <c r="I142" s="19" t="s">
        <v>41</v>
      </c>
      <c r="J142" s="20"/>
    </row>
    <row r="143" spans="3:10" outlineLevel="1" x14ac:dyDescent="0.25">
      <c r="E143" s="25"/>
      <c r="F143" s="30"/>
      <c r="G143" s="47"/>
      <c r="H143" s="20" t="str">
        <f>[3]!EQS(F142,"Units= ; EqnPrefix=Valem  ; EqnNo= 0; Multiplication= 1; ShowWorking= 1; EqnStyle= 2; Eqp$G$24_$G$28_1")</f>
        <v/>
      </c>
      <c r="I143" s="19" t="s">
        <v>6</v>
      </c>
      <c r="J143" s="20"/>
    </row>
    <row r="144" spans="3:10" outlineLevel="1" x14ac:dyDescent="0.25">
      <c r="D144" s="13"/>
      <c r="E144" s="25"/>
      <c r="F144" s="30"/>
      <c r="G144" s="47"/>
      <c r="J144" s="20"/>
    </row>
    <row r="145" spans="3:10" outlineLevel="1" x14ac:dyDescent="0.25">
      <c r="F145" s="13">
        <v>1.1499999999999999</v>
      </c>
      <c r="J145" s="20"/>
    </row>
    <row r="146" spans="3:10" outlineLevel="1" x14ac:dyDescent="0.25">
      <c r="D146" s="27"/>
      <c r="E146" s="14"/>
      <c r="F146" s="31"/>
      <c r="H146" s="20"/>
      <c r="I146" s="20"/>
      <c r="J146" s="20"/>
    </row>
    <row r="147" spans="3:10" outlineLevel="1" x14ac:dyDescent="0.25">
      <c r="C147" s="13"/>
      <c r="E147" s="25"/>
      <c r="F147" s="32"/>
      <c r="H147" s="20"/>
      <c r="I147" s="29"/>
      <c r="J147" s="20"/>
    </row>
    <row r="148" spans="3:10" outlineLevel="1" x14ac:dyDescent="0.25">
      <c r="F148" s="30">
        <v>2</v>
      </c>
      <c r="H148" s="20"/>
      <c r="I148" s="19"/>
      <c r="J148" s="20"/>
    </row>
    <row r="149" spans="3:10" outlineLevel="1" x14ac:dyDescent="0.25">
      <c r="E149" s="20"/>
      <c r="F149" s="20"/>
      <c r="H149" s="20"/>
      <c r="I149" s="28"/>
      <c r="J149" s="20"/>
    </row>
    <row r="150" spans="3:10" outlineLevel="1" x14ac:dyDescent="0.25">
      <c r="D150" s="36"/>
      <c r="F150" s="38">
        <f>MIN(70,2*F128/F126)</f>
        <v>70</v>
      </c>
      <c r="H150" s="20" t="str">
        <f>[3]!EQS(F150,"Units= ; EqnPrefix=Valem  ; EqnNo= 0; Multiplication= 1; ShowWorking= 1; EqnStyle=2; Eqp$H$148_0")</f>
        <v/>
      </c>
      <c r="I150" s="19" t="s">
        <v>42</v>
      </c>
      <c r="J150" s="20"/>
    </row>
    <row r="151" spans="3:10" outlineLevel="1" x14ac:dyDescent="0.25">
      <c r="E151" s="20"/>
      <c r="F151" s="20"/>
      <c r="H151" s="20"/>
      <c r="I151" s="28"/>
      <c r="J151" s="20"/>
    </row>
    <row r="152" spans="3:10" outlineLevel="1" x14ac:dyDescent="0.25">
      <c r="D152" s="36"/>
      <c r="F152" s="20">
        <v>1</v>
      </c>
      <c r="H152" s="20"/>
      <c r="I152" s="28"/>
      <c r="J152" s="20"/>
    </row>
    <row r="153" spans="3:10" outlineLevel="1" x14ac:dyDescent="0.25">
      <c r="F153" s="20"/>
      <c r="H153" s="20"/>
      <c r="I153" s="28"/>
      <c r="J153" s="20"/>
    </row>
    <row r="154" spans="3:10" outlineLevel="1" x14ac:dyDescent="0.25">
      <c r="F154" s="13">
        <v>0.92</v>
      </c>
      <c r="H154" s="20"/>
      <c r="I154" s="28"/>
      <c r="J154" s="20"/>
    </row>
    <row r="155" spans="3:10" outlineLevel="1" x14ac:dyDescent="0.25">
      <c r="E155" s="42"/>
      <c r="H155" s="20"/>
      <c r="I155" s="28"/>
      <c r="J155" s="20"/>
    </row>
    <row r="156" spans="3:10" outlineLevel="1" x14ac:dyDescent="0.25">
      <c r="F156" s="13">
        <v>0.88</v>
      </c>
      <c r="H156" s="20"/>
      <c r="J156" s="20"/>
    </row>
    <row r="157" spans="3:10" outlineLevel="1" x14ac:dyDescent="0.25">
      <c r="E157" s="20"/>
      <c r="F157" s="37"/>
      <c r="H157" s="20"/>
      <c r="I157" s="28"/>
      <c r="J157" s="20"/>
    </row>
    <row r="158" spans="3:10" outlineLevel="1" x14ac:dyDescent="0.25">
      <c r="F158" s="39">
        <f>F148*F154*F156</f>
        <v>1.6192</v>
      </c>
      <c r="H158" s="20" t="str">
        <f>[3]!EQS(F158,"Units= ; EqnPrefix=Valem  ; EqnNo= 0; Multiplication= 1; ShowWorking= 0; EqnStyle= 2; Eqp$H$119_2")</f>
        <v/>
      </c>
      <c r="I158" s="19" t="s">
        <v>43</v>
      </c>
      <c r="J158" s="20"/>
    </row>
    <row r="159" spans="3:10" outlineLevel="1" x14ac:dyDescent="0.25">
      <c r="E159" s="20"/>
      <c r="F159" s="37"/>
      <c r="H159" s="20" t="str">
        <f>[3]!EQS(F158,"Units= ; EqnPrefix=Valem  ; EqnNo= 0; Multiplication= 1; ShowWorking= 1; EqnStyle= 2; Eqp$H$119_$H$120_3")</f>
        <v/>
      </c>
      <c r="I159" s="19" t="s">
        <v>44</v>
      </c>
      <c r="J159" s="20"/>
    </row>
    <row r="160" spans="3:10" outlineLevel="1" x14ac:dyDescent="0.25">
      <c r="E160" s="20"/>
      <c r="F160" s="37"/>
      <c r="H160" s="20"/>
      <c r="I160" s="28"/>
      <c r="J160" s="20"/>
    </row>
    <row r="161" spans="3:12" outlineLevel="1" x14ac:dyDescent="0.25">
      <c r="C161" s="43"/>
      <c r="F161" s="39">
        <f>F148*F154</f>
        <v>1.84</v>
      </c>
      <c r="H161" s="20" t="str">
        <f>[3]!EQS(F161,"Units= ; EqnPrefix=Valem  ; EqnNo= 0; Multiplication= 1; ShowWorking= 0; EqnStyle= 2; Eqp$H$119_2")</f>
        <v/>
      </c>
      <c r="I161" s="19" t="s">
        <v>45</v>
      </c>
      <c r="J161" s="20"/>
    </row>
    <row r="162" spans="3:12" outlineLevel="1" x14ac:dyDescent="0.25">
      <c r="E162" s="20"/>
      <c r="F162" s="37"/>
      <c r="H162" s="20" t="str">
        <f>[3]!EQS(F161,"Units= ; EqnPrefix=Valem  ; EqnNo= 0; Multiplication= 1; ShowWorking= 1; EqnStyle= 2; Eqp$H$119_$H$120_3")</f>
        <v/>
      </c>
      <c r="I162" s="19" t="s">
        <v>34</v>
      </c>
      <c r="J162" s="20"/>
    </row>
    <row r="163" spans="3:12" outlineLevel="1" x14ac:dyDescent="0.25">
      <c r="E163" s="20"/>
      <c r="F163" s="20"/>
      <c r="H163" s="20"/>
      <c r="I163" s="28"/>
      <c r="J163" s="20"/>
    </row>
    <row r="164" spans="3:12" outlineLevel="1" x14ac:dyDescent="0.25">
      <c r="F164" s="91">
        <f>COS(RADIANS(90))^2</f>
        <v>3.7524718414124473E-33</v>
      </c>
      <c r="H164" s="20" t="str">
        <f>[3]!EQS(F164,"Units= ; EqnPrefix=Valem  ; EqnNo= 0; Multiplication= 1; ShowWorking= 0; EqnStyle= 2; Eqp$H$75_2")</f>
        <v/>
      </c>
      <c r="I164" s="19" t="s">
        <v>23</v>
      </c>
      <c r="J164" s="20"/>
    </row>
    <row r="165" spans="3:12" outlineLevel="1" x14ac:dyDescent="0.25">
      <c r="E165" s="42"/>
      <c r="F165" s="40"/>
      <c r="H165" s="20"/>
      <c r="I165" s="28"/>
      <c r="J165" s="20"/>
    </row>
    <row r="166" spans="3:12" outlineLevel="1" x14ac:dyDescent="0.25">
      <c r="F166" s="91">
        <f>COS(RADIANS(0))^2</f>
        <v>1</v>
      </c>
      <c r="H166" s="20" t="str">
        <f>[3]!EQS(F166,"Units= ; EqnPrefix=Valem  ; EqnNo= 0; Multiplication= 1; ShowWorking= 0; EqnStyle= 2; Eqp$H$75_2")</f>
        <v/>
      </c>
      <c r="I166" s="19" t="s">
        <v>46</v>
      </c>
      <c r="J166" s="20"/>
    </row>
    <row r="168" spans="3:12" x14ac:dyDescent="0.25">
      <c r="F168" s="34">
        <f>F139*F142*F145*F158*F126*F164</f>
        <v>1.3369085596868152E-30</v>
      </c>
      <c r="H168" s="20" t="str">
        <f>[3]!EQS(F168,"Units= ; EqnPrefix=Valem  ; EqnNo= 0; Multiplication= 1; ShowWorking= 0; EqnStyle= 2; Eqp$G$39_0")</f>
        <v/>
      </c>
      <c r="I168" s="19" t="s">
        <v>47</v>
      </c>
    </row>
    <row r="169" spans="3:12" x14ac:dyDescent="0.25">
      <c r="H169" s="13" t="str">
        <f>[3]!EQS(F168,"Units= ; EqnPrefix=Valem  ; EqnNo= 0; Multiplication= 1; ShowWorking= 1; EqnStyle= 2; Eqp$G$39_$G$40_1")</f>
        <v/>
      </c>
      <c r="I169" s="19" t="s">
        <v>48</v>
      </c>
    </row>
    <row r="171" spans="3:12" x14ac:dyDescent="0.25">
      <c r="F171" s="34">
        <f>F139*F142*F145*F161*F127*F126*F166</f>
        <v>101.21423534783555</v>
      </c>
      <c r="H171" s="20" t="str">
        <f>[3]!EQS(F171,"Units= ; EqnPrefix=Valem  ; EqnNo= 0; Multiplication= 1; ShowWorking= 0; EqnStyle= 2; Eqp$G$39_0")</f>
        <v/>
      </c>
      <c r="I171" s="19" t="s">
        <v>49</v>
      </c>
    </row>
    <row r="172" spans="3:12" x14ac:dyDescent="0.25">
      <c r="H172" s="13" t="str">
        <f>[3]!EQS(F171,"Units= ; EqnPrefix=Valem  ; EqnNo= 0; Multiplication= 1; ShowWorking= 1; EqnStyle= 2; Eqp$G$39_$G$40_1")</f>
        <v/>
      </c>
      <c r="I172" s="19" t="s">
        <v>50</v>
      </c>
    </row>
    <row r="173" spans="3:12" x14ac:dyDescent="0.25">
      <c r="C173" s="24"/>
      <c r="D173" s="24"/>
      <c r="E173" s="18"/>
      <c r="F173" s="18"/>
      <c r="G173" s="46"/>
      <c r="H173" s="18"/>
      <c r="I173" s="18"/>
      <c r="J173" s="18"/>
      <c r="K173" s="18"/>
      <c r="L173" s="18"/>
    </row>
    <row r="174" spans="3:12" outlineLevel="1" x14ac:dyDescent="0.25">
      <c r="E174" s="14"/>
    </row>
    <row r="175" spans="3:12" outlineLevel="1" x14ac:dyDescent="0.25">
      <c r="F175" s="22">
        <v>41</v>
      </c>
    </row>
    <row r="176" spans="3:12" outlineLevel="1" x14ac:dyDescent="0.25">
      <c r="F176" s="22">
        <v>0.25</v>
      </c>
    </row>
    <row r="177" spans="3:10" outlineLevel="1" x14ac:dyDescent="0.25">
      <c r="F177" s="22">
        <v>0.15</v>
      </c>
    </row>
    <row r="178" spans="3:10" outlineLevel="1" x14ac:dyDescent="0.25">
      <c r="F178" s="22">
        <v>5</v>
      </c>
    </row>
    <row r="179" spans="3:10" outlineLevel="1" x14ac:dyDescent="0.25">
      <c r="D179" s="26"/>
      <c r="E179" s="17"/>
      <c r="F179" s="16"/>
      <c r="G179" s="45"/>
      <c r="I179" s="21"/>
    </row>
    <row r="180" spans="3:10" outlineLevel="1" x14ac:dyDescent="0.25">
      <c r="F180" s="33">
        <f>F177*F178</f>
        <v>0.75</v>
      </c>
      <c r="H180" s="20" t="str">
        <f>[3]!EQS(F180,"Units= ; EqnPrefix=Valem  ; EqnNo= 0; Multiplication= 1; ShowWorking= 1; EqnStyle=2; Eqp$G$17_0")</f>
        <v/>
      </c>
      <c r="I180" s="19" t="s">
        <v>51</v>
      </c>
    </row>
    <row r="181" spans="3:10" outlineLevel="1" x14ac:dyDescent="0.25">
      <c r="E181" s="25"/>
      <c r="F181" s="33"/>
      <c r="G181" s="47"/>
      <c r="H181" s="20"/>
      <c r="I181" s="19"/>
    </row>
    <row r="182" spans="3:10" outlineLevel="1" x14ac:dyDescent="0.25">
      <c r="C182" s="36"/>
      <c r="F182" s="33">
        <f>F178*F176</f>
        <v>1.25</v>
      </c>
      <c r="H182" s="20" t="str">
        <f>[3]!EQS(F182,"Units= ; EqnPrefix=Valem  ; EqnNo= 0; Multiplication= 1; ShowWorking= 1; EqnStyle= 2; Eqp$H$137_2")</f>
        <v/>
      </c>
      <c r="I182" s="19" t="s">
        <v>52</v>
      </c>
    </row>
    <row r="183" spans="3:10" outlineLevel="1" x14ac:dyDescent="0.25">
      <c r="F183" s="16"/>
      <c r="G183" s="45"/>
      <c r="I183" s="21"/>
    </row>
    <row r="184" spans="3:10" outlineLevel="1" x14ac:dyDescent="0.25">
      <c r="E184" s="17"/>
      <c r="F184" s="16"/>
      <c r="G184" s="45"/>
      <c r="I184" s="21"/>
    </row>
    <row r="185" spans="3:10" outlineLevel="1" x14ac:dyDescent="0.25"/>
    <row r="186" spans="3:10" outlineLevel="1" x14ac:dyDescent="0.25">
      <c r="F186" s="30">
        <f>$F$6*LN(F175/$F$7)*$F$3</f>
        <v>26.770124317630611</v>
      </c>
      <c r="H186" s="20" t="str">
        <f>[3]!EQS(F186,"Units= ; EqnPrefix=Valem  ; EqnNo= 0; Multiplication= 1; ShowWorking= 0; EqnStyle= 2; Eqp$H$54_2")</f>
        <v/>
      </c>
      <c r="I186" s="19" t="s">
        <v>53</v>
      </c>
      <c r="J186" s="20"/>
    </row>
    <row r="187" spans="3:10" outlineLevel="1" x14ac:dyDescent="0.25">
      <c r="E187" s="17"/>
      <c r="F187" s="30"/>
      <c r="G187" s="45"/>
      <c r="H187" s="20" t="str">
        <f>[3]!EQS(F186,"Units= ; EqnPrefix=Valem  ; EqnNo= 0; Multiplication= 1; ShowWorking= 1; EqnStyle= 2; Eqp$H$54_$H$55_3")</f>
        <v/>
      </c>
      <c r="I187" s="19" t="s">
        <v>54</v>
      </c>
      <c r="J187" s="20"/>
    </row>
    <row r="188" spans="3:10" outlineLevel="1" x14ac:dyDescent="0.25">
      <c r="D188" s="29"/>
      <c r="F188" s="30"/>
      <c r="G188" s="45"/>
      <c r="H188" s="20"/>
      <c r="I188" s="28"/>
      <c r="J188" s="20"/>
    </row>
    <row r="189" spans="3:10" outlineLevel="1" x14ac:dyDescent="0.25">
      <c r="F189" s="30">
        <f>1/2*$F$5*F186^2</f>
        <v>438.94172803860613</v>
      </c>
      <c r="H189" s="20" t="str">
        <f>[3]!EQS(F189,"Units= ; EqnPrefix=Valem  ; EqnNo= 0; Multiplication= 1; ShowWorking= 0; EqnStyle= 2; Eqp$G$21_0")</f>
        <v/>
      </c>
      <c r="I189" s="19" t="s">
        <v>55</v>
      </c>
      <c r="J189" s="20"/>
    </row>
    <row r="190" spans="3:10" outlineLevel="1" x14ac:dyDescent="0.25">
      <c r="E190" s="25"/>
      <c r="F190" s="30"/>
      <c r="G190" s="47"/>
      <c r="H190" s="20" t="str">
        <f>[3]!EQS(F189,"Units= ; EqnPrefix=Valem  ; EqnNo= 0; Multiplication= 1; ShowWorking= 1; EqnStyle= 2; Eqp$G$21_$G$25_1")</f>
        <v/>
      </c>
      <c r="I190" s="19" t="s">
        <v>56</v>
      </c>
      <c r="J190" s="20"/>
    </row>
    <row r="191" spans="3:10" outlineLevel="1" x14ac:dyDescent="0.25">
      <c r="E191" s="25"/>
      <c r="F191" s="30"/>
      <c r="G191" s="47"/>
      <c r="I191" s="28"/>
      <c r="J191" s="20"/>
    </row>
    <row r="192" spans="3:10" outlineLevel="1" x14ac:dyDescent="0.25">
      <c r="F192" s="30">
        <f>(1+2.28/LN(F175/$F$7))^2</f>
        <v>1.7951352851913878</v>
      </c>
      <c r="G192" s="47"/>
      <c r="H192" s="20" t="str">
        <f>[3]!EQS(F192,"Units= ; EqnPrefix=Valem  ; EqnNo= 0; Multiplication= 1; ShowWorking= 0; EqnStyle= 2; Eqp$G$24_0")</f>
        <v/>
      </c>
      <c r="I192" s="19" t="s">
        <v>57</v>
      </c>
      <c r="J192" s="20"/>
    </row>
    <row r="193" spans="3:10" outlineLevel="1" x14ac:dyDescent="0.25">
      <c r="E193" s="25"/>
      <c r="F193" s="30"/>
      <c r="G193" s="47"/>
      <c r="H193" s="20" t="str">
        <f>[3]!EQS(F192,"Units= ; EqnPrefix=Valem  ; EqnNo= 0; Multiplication= 1; ShowWorking= 1; EqnStyle= 2; Eqp$G$24_$G$28_1")</f>
        <v/>
      </c>
      <c r="I193" s="19" t="s">
        <v>58</v>
      </c>
      <c r="J193" s="20"/>
    </row>
    <row r="194" spans="3:10" outlineLevel="1" x14ac:dyDescent="0.25">
      <c r="D194" s="13"/>
      <c r="E194" s="25"/>
      <c r="F194" s="30"/>
      <c r="G194" s="47"/>
      <c r="J194" s="20"/>
    </row>
    <row r="195" spans="3:10" outlineLevel="1" x14ac:dyDescent="0.25">
      <c r="F195" s="13">
        <v>1.1499999999999999</v>
      </c>
      <c r="J195" s="20"/>
    </row>
    <row r="196" spans="3:10" outlineLevel="1" x14ac:dyDescent="0.25">
      <c r="D196" s="27"/>
      <c r="E196" s="14"/>
      <c r="F196" s="31"/>
      <c r="H196" s="20"/>
      <c r="I196" s="20"/>
      <c r="J196" s="20"/>
    </row>
    <row r="197" spans="3:10" outlineLevel="1" x14ac:dyDescent="0.25">
      <c r="C197" s="13"/>
      <c r="E197" s="25"/>
      <c r="F197" s="32"/>
      <c r="H197" s="20"/>
      <c r="I197" s="29"/>
      <c r="J197" s="20"/>
    </row>
    <row r="198" spans="3:10" outlineLevel="1" x14ac:dyDescent="0.25">
      <c r="F198" s="30">
        <v>2</v>
      </c>
      <c r="H198" s="20"/>
      <c r="I198" s="19"/>
      <c r="J198" s="20"/>
    </row>
    <row r="199" spans="3:10" outlineLevel="1" x14ac:dyDescent="0.25">
      <c r="E199" s="20"/>
      <c r="F199" s="20"/>
      <c r="H199" s="20"/>
      <c r="I199" s="28"/>
      <c r="J199" s="20"/>
    </row>
    <row r="200" spans="3:10" outlineLevel="1" x14ac:dyDescent="0.25">
      <c r="D200" s="36"/>
      <c r="F200" s="38">
        <f>MIN(70,2*F178/F176)</f>
        <v>40</v>
      </c>
      <c r="H200" s="20"/>
      <c r="J200" s="20"/>
    </row>
    <row r="201" spans="3:10" outlineLevel="1" x14ac:dyDescent="0.25">
      <c r="E201" s="20"/>
      <c r="F201" s="20"/>
      <c r="H201" s="20"/>
      <c r="I201" s="28"/>
      <c r="J201" s="20"/>
    </row>
    <row r="202" spans="3:10" outlineLevel="1" x14ac:dyDescent="0.25">
      <c r="D202" s="36"/>
      <c r="F202" s="20">
        <v>1</v>
      </c>
      <c r="H202" s="20"/>
      <c r="I202" s="28"/>
      <c r="J202" s="20"/>
    </row>
    <row r="203" spans="3:10" outlineLevel="1" x14ac:dyDescent="0.25">
      <c r="F203" s="20"/>
      <c r="H203" s="20"/>
      <c r="I203" s="28"/>
      <c r="J203" s="20"/>
    </row>
    <row r="204" spans="3:10" outlineLevel="1" x14ac:dyDescent="0.25">
      <c r="F204" s="13">
        <v>0.85</v>
      </c>
      <c r="H204" s="20"/>
      <c r="I204" s="28"/>
      <c r="J204" s="20"/>
    </row>
    <row r="205" spans="3:10" outlineLevel="1" x14ac:dyDescent="0.25">
      <c r="E205" s="42"/>
      <c r="H205" s="20"/>
      <c r="I205" s="28"/>
      <c r="J205" s="20"/>
    </row>
    <row r="206" spans="3:10" outlineLevel="1" x14ac:dyDescent="0.25">
      <c r="F206" s="13">
        <v>0.9</v>
      </c>
      <c r="H206" s="20"/>
    </row>
    <row r="207" spans="3:10" outlineLevel="1" x14ac:dyDescent="0.25">
      <c r="E207" s="20"/>
      <c r="F207" s="37"/>
      <c r="H207" s="20"/>
      <c r="I207" s="28"/>
      <c r="J207" s="20"/>
    </row>
    <row r="208" spans="3:10" outlineLevel="1" x14ac:dyDescent="0.25">
      <c r="F208" s="39">
        <f>F198*F204*F206</f>
        <v>1.53</v>
      </c>
      <c r="H208" s="20" t="str">
        <f>[3]!EQS(F208,"Units= ; EqnPrefix=Valem  ; EqnNo= 0; Multiplication= 1; ShowWorking= 0; EqnStyle= 2; Eqp$H$119_2")</f>
        <v/>
      </c>
      <c r="I208" s="19" t="s">
        <v>59</v>
      </c>
      <c r="J208" s="20"/>
    </row>
    <row r="209" spans="3:10" outlineLevel="1" x14ac:dyDescent="0.25">
      <c r="E209" s="20"/>
      <c r="F209" s="37"/>
      <c r="H209" s="20" t="str">
        <f>[3]!EQS(F208,"Units= ; EqnPrefix=Valem  ; EqnNo= 0; Multiplication= 1; ShowWorking= 1; EqnStyle= 2; Eqp$H$119_$H$120_3")</f>
        <v/>
      </c>
      <c r="I209" s="19" t="s">
        <v>60</v>
      </c>
      <c r="J209" s="20"/>
    </row>
    <row r="210" spans="3:10" outlineLevel="1" x14ac:dyDescent="0.25">
      <c r="E210" s="20"/>
      <c r="F210" s="37"/>
      <c r="H210" s="20"/>
      <c r="I210" s="28"/>
      <c r="J210" s="20"/>
    </row>
    <row r="211" spans="3:10" outlineLevel="1" x14ac:dyDescent="0.25">
      <c r="C211" s="43"/>
      <c r="F211" s="39">
        <f>F198*F204*F206</f>
        <v>1.53</v>
      </c>
      <c r="H211" s="20" t="str">
        <f>[3]!EQS(F211,"Units= ; EqnPrefix=Valem  ; EqnNo= 0; Multiplication= 1; ShowWorking= 0; EqnStyle= 2; Eqp$H$119_2")</f>
        <v/>
      </c>
      <c r="I211" s="19" t="s">
        <v>59</v>
      </c>
      <c r="J211" s="20"/>
    </row>
    <row r="212" spans="3:10" outlineLevel="1" x14ac:dyDescent="0.25">
      <c r="E212" s="20"/>
      <c r="F212" s="37"/>
      <c r="H212" s="20" t="str">
        <f>[3]!EQS(F211,"Units= ; EqnPrefix=Valem  ; EqnNo= 0; Multiplication= 1; ShowWorking= 1; EqnStyle= 2; Eqp$H$119_$H$120_3")</f>
        <v/>
      </c>
      <c r="I212" s="19" t="s">
        <v>60</v>
      </c>
      <c r="J212" s="20"/>
    </row>
    <row r="213" spans="3:10" outlineLevel="1" x14ac:dyDescent="0.25">
      <c r="E213" s="20"/>
      <c r="F213" s="20"/>
      <c r="H213" s="20"/>
      <c r="I213" s="28"/>
      <c r="J213" s="20"/>
    </row>
    <row r="214" spans="3:10" outlineLevel="1" x14ac:dyDescent="0.25">
      <c r="F214" s="91">
        <f>COS(RADIANS(90))^2</f>
        <v>3.7524718414124473E-33</v>
      </c>
      <c r="H214" s="20" t="str">
        <f>[3]!EQS(F214,"Units= ; EqnPrefix=Valem  ; EqnNo= 0; Multiplication= 1; ShowWorking= 0; EqnStyle= 2; Eqp$H$75_2")</f>
        <v/>
      </c>
      <c r="I214" s="19" t="s">
        <v>23</v>
      </c>
      <c r="J214" s="20"/>
    </row>
    <row r="215" spans="3:10" outlineLevel="1" x14ac:dyDescent="0.25">
      <c r="E215" s="42"/>
      <c r="F215" s="40"/>
      <c r="H215" s="20"/>
      <c r="I215" s="28"/>
      <c r="J215" s="20"/>
    </row>
    <row r="216" spans="3:10" outlineLevel="1" x14ac:dyDescent="0.25">
      <c r="F216" s="91">
        <f>COS(RADIANS(0))^2</f>
        <v>1</v>
      </c>
      <c r="H216" s="20" t="str">
        <f>[3]!EQS(F216,"Units= ; EqnPrefix=Valem  ; EqnNo= 0; Multiplication= 1; ShowWorking= 0; EqnStyle= 2; Eqp$H$75_2")</f>
        <v/>
      </c>
      <c r="I216" s="19" t="s">
        <v>46</v>
      </c>
      <c r="J216" s="20"/>
    </row>
    <row r="218" spans="3:10" x14ac:dyDescent="0.25">
      <c r="F218" s="34">
        <f>F189*F192*F195*F208*F177*F214</f>
        <v>7.8037262240508031E-31</v>
      </c>
      <c r="H218" s="20" t="str">
        <f>[3]!EQS(F218,"Units= ; EqnPrefix=Valem  ; EqnNo= 0; Multiplication= 1; ShowWorking= 0; EqnStyle= 2; Eqp$G$39_0")</f>
        <v/>
      </c>
      <c r="I218" s="19" t="s">
        <v>61</v>
      </c>
    </row>
    <row r="219" spans="3:10" x14ac:dyDescent="0.25">
      <c r="H219" s="13" t="str">
        <f>[3]!EQS(F218,"Units= ; EqnPrefix=Valem  ; EqnNo= 0; Multiplication= 1; ShowWorking= 1; EqnStyle= 2; Eqp$G$39_$G$40_1")</f>
        <v/>
      </c>
      <c r="I219" s="19" t="s">
        <v>62</v>
      </c>
    </row>
    <row r="221" spans="3:10" x14ac:dyDescent="0.25">
      <c r="F221" s="34">
        <f>F189*F192*F195*F211*F176*F216</f>
        <v>346.60381005077471</v>
      </c>
      <c r="H221" s="20" t="str">
        <f>[3]!EQS(F221,"Units= ; EqnPrefix=Valem  ; EqnNo= 0; Multiplication= 1; ShowWorking= 0; EqnStyle= 2; Eqp$G$39_0")</f>
        <v/>
      </c>
      <c r="I221" s="19" t="s">
        <v>63</v>
      </c>
    </row>
    <row r="222" spans="3:10" x14ac:dyDescent="0.25">
      <c r="H222" s="13" t="str">
        <f>[3]!EQS(F221,"Units= ; EqnPrefix=Valem  ; EqnNo= 0; Multiplication= 1; ShowWorking= 1; EqnStyle= 2; Eqp$G$39_$G$40_1")</f>
        <v/>
      </c>
      <c r="I222" s="19" t="s">
        <v>64</v>
      </c>
    </row>
    <row r="224" spans="3:10" x14ac:dyDescent="0.25">
      <c r="C224" s="24"/>
      <c r="D224" s="24"/>
      <c r="E224" s="18"/>
    </row>
    <row r="225" spans="4:10" outlineLevel="1" x14ac:dyDescent="0.25">
      <c r="E225" s="14"/>
    </row>
    <row r="226" spans="4:10" outlineLevel="1" x14ac:dyDescent="0.25"/>
    <row r="227" spans="4:10" outlineLevel="1" x14ac:dyDescent="0.25"/>
    <row r="228" spans="4:10" outlineLevel="1" x14ac:dyDescent="0.25"/>
    <row r="229" spans="4:10" outlineLevel="1" x14ac:dyDescent="0.25"/>
    <row r="230" spans="4:10" outlineLevel="1" x14ac:dyDescent="0.25">
      <c r="E230" s="14"/>
    </row>
    <row r="231" spans="4:10" outlineLevel="1" x14ac:dyDescent="0.25">
      <c r="F231" s="22">
        <v>36</v>
      </c>
    </row>
    <row r="232" spans="4:10" outlineLevel="1" x14ac:dyDescent="0.25">
      <c r="F232" s="22">
        <v>2.01E-2</v>
      </c>
    </row>
    <row r="233" spans="4:10" outlineLevel="1" x14ac:dyDescent="0.25">
      <c r="F233" s="22">
        <v>40.590000000000003</v>
      </c>
    </row>
    <row r="234" spans="4:10" outlineLevel="1" x14ac:dyDescent="0.25">
      <c r="D234" s="26"/>
      <c r="E234" s="17"/>
      <c r="F234" s="16"/>
      <c r="G234" s="45"/>
      <c r="I234" s="21"/>
    </row>
    <row r="235" spans="4:10" outlineLevel="1" x14ac:dyDescent="0.25">
      <c r="F235" s="33">
        <f>F232*F233</f>
        <v>0.81585900000000011</v>
      </c>
      <c r="H235" s="20" t="str">
        <f>[3]!EQS(F235,"Units= ; EqnPrefix=Valem  ; EqnNo= 0; Multiplication= 1; ShowWorking= 1; EqnStyle=2; Eqp$G$17_0")</f>
        <v/>
      </c>
      <c r="I235" s="19" t="s">
        <v>65</v>
      </c>
    </row>
    <row r="236" spans="4:10" outlineLevel="1" x14ac:dyDescent="0.25">
      <c r="F236" s="16"/>
      <c r="G236" s="45"/>
      <c r="I236" s="21"/>
    </row>
    <row r="237" spans="4:10" outlineLevel="1" x14ac:dyDescent="0.25">
      <c r="F237" s="30">
        <f>$F$6*LN(F231/$F$7)*$F$3</f>
        <v>26.251212335920307</v>
      </c>
      <c r="H237" s="20" t="str">
        <f>[3]!EQS(F237,"Units= ; EqnPrefix=Valem  ; EqnNo= 0; Multiplication= 1; ShowWorking= 0; EqnStyle= 2; Eqp$H$21_2")</f>
        <v/>
      </c>
      <c r="I237" s="19" t="s">
        <v>66</v>
      </c>
      <c r="J237" s="20"/>
    </row>
    <row r="238" spans="4:10" outlineLevel="1" x14ac:dyDescent="0.25">
      <c r="E238" s="17"/>
      <c r="F238" s="30"/>
      <c r="G238" s="45"/>
      <c r="H238" s="20" t="str">
        <f>[3]!EQS(F237,"Units= ; EqnPrefix=Valem  ; EqnNo= 0; Multiplication= 1; ShowWorking= 1; EqnStyle= 2; Eqp$H$21_$H$22_3")</f>
        <v/>
      </c>
      <c r="I238" s="19" t="s">
        <v>2</v>
      </c>
      <c r="J238" s="20"/>
    </row>
    <row r="239" spans="4:10" outlineLevel="1" x14ac:dyDescent="0.25">
      <c r="D239" s="29"/>
      <c r="F239" s="30"/>
      <c r="G239" s="45"/>
      <c r="H239" s="20"/>
      <c r="I239" s="28"/>
      <c r="J239" s="20"/>
    </row>
    <row r="240" spans="4:10" outlineLevel="1" x14ac:dyDescent="0.25">
      <c r="F240" s="30">
        <f>1/2*$F$5*F237^2</f>
        <v>422.08976632716445</v>
      </c>
      <c r="H240" s="20" t="str">
        <f>[3]!EQS(F240,"Units= ; EqnPrefix=Valem  ; EqnNo= 0; Multiplication= 1; ShowWorking= 0; EqnStyle= 2; Eqp$G$21_0")</f>
        <v/>
      </c>
      <c r="I240" s="19" t="s">
        <v>67</v>
      </c>
      <c r="J240" s="20"/>
    </row>
    <row r="241" spans="3:10" outlineLevel="1" x14ac:dyDescent="0.25">
      <c r="E241" s="25"/>
      <c r="F241" s="30"/>
      <c r="G241" s="47"/>
      <c r="H241" s="20" t="str">
        <f>[3]!EQS(F240,"Units= ; EqnPrefix=Valem  ; EqnNo= 0; Multiplication= 1; ShowWorking= 1; EqnStyle= 2; Eqp$G$21_$G$25_1")</f>
        <v/>
      </c>
      <c r="I241" s="19" t="s">
        <v>4</v>
      </c>
      <c r="J241" s="20"/>
    </row>
    <row r="242" spans="3:10" outlineLevel="1" x14ac:dyDescent="0.25">
      <c r="E242" s="25"/>
      <c r="F242" s="30"/>
      <c r="G242" s="47"/>
      <c r="I242" s="28"/>
      <c r="J242" s="20"/>
    </row>
    <row r="243" spans="3:10" outlineLevel="1" x14ac:dyDescent="0.25">
      <c r="F243" s="30">
        <f>(1+2.28/LN(F231/$F$7))^2</f>
        <v>1.8131807308313552</v>
      </c>
      <c r="G243" s="47"/>
      <c r="H243" s="20" t="str">
        <f>[3]!EQS(F243,"Units= ; EqnPrefix=Valem  ; EqnNo= 0; Multiplication= 1; ShowWorking= 0; EqnStyle= 2; Eqp$G$24_0")</f>
        <v/>
      </c>
      <c r="I243" s="19" t="s">
        <v>68</v>
      </c>
      <c r="J243" s="20"/>
    </row>
    <row r="244" spans="3:10" outlineLevel="1" x14ac:dyDescent="0.25">
      <c r="E244" s="25"/>
      <c r="F244" s="30"/>
      <c r="G244" s="47"/>
      <c r="H244" s="20" t="str">
        <f>[3]!EQS(F243,"Units= ; EqnPrefix=Valem  ; EqnNo= 0; Multiplication= 1; ShowWorking= 1; EqnStyle= 2; Eqp$G$24_$G$28_1")</f>
        <v/>
      </c>
      <c r="I244" s="19" t="s">
        <v>6</v>
      </c>
      <c r="J244" s="20"/>
    </row>
    <row r="245" spans="3:10" outlineLevel="1" x14ac:dyDescent="0.25">
      <c r="D245" s="13"/>
      <c r="E245" s="25"/>
      <c r="F245" s="30"/>
      <c r="G245" s="47"/>
      <c r="J245" s="20"/>
    </row>
    <row r="246" spans="3:10" outlineLevel="1" x14ac:dyDescent="0.25">
      <c r="F246" s="13">
        <v>1.1499999999999999</v>
      </c>
      <c r="J246" s="20"/>
    </row>
    <row r="247" spans="3:10" outlineLevel="1" x14ac:dyDescent="0.25">
      <c r="D247" s="27"/>
      <c r="E247" s="14"/>
      <c r="F247" s="31"/>
      <c r="H247" s="20"/>
      <c r="I247" s="20"/>
      <c r="J247" s="20"/>
    </row>
    <row r="248" spans="3:10" outlineLevel="1" x14ac:dyDescent="0.25">
      <c r="F248" s="20">
        <f>15*10^-6</f>
        <v>1.4999999999999999E-5</v>
      </c>
      <c r="H248" s="20"/>
      <c r="J248" s="20"/>
    </row>
    <row r="249" spans="3:10" outlineLevel="1" x14ac:dyDescent="0.25">
      <c r="F249" s="20">
        <f>F232</f>
        <v>2.01E-2</v>
      </c>
      <c r="H249" s="20"/>
      <c r="J249" s="20"/>
    </row>
    <row r="250" spans="3:10" outlineLevel="1" x14ac:dyDescent="0.25">
      <c r="C250" s="13"/>
      <c r="E250" s="25"/>
      <c r="F250" s="20"/>
      <c r="G250" s="47"/>
      <c r="H250" s="20"/>
      <c r="I250" s="29"/>
      <c r="J250" s="20"/>
    </row>
    <row r="251" spans="3:10" outlineLevel="1" x14ac:dyDescent="0.25">
      <c r="C251" s="13"/>
      <c r="F251" s="32">
        <f>F249*F237/F248</f>
        <v>35176.624530133209</v>
      </c>
      <c r="H251" s="20" t="str">
        <f>[3]!EQS(F251,"Units= ; EqnPrefix=Valem  ; EqnNo= 0; Multiplication= 1; ShowWorking= 1; EqnStyle= 2; Eqp$G$27_0")</f>
        <v/>
      </c>
      <c r="I251" s="19" t="s">
        <v>69</v>
      </c>
      <c r="J251" s="20"/>
    </row>
    <row r="252" spans="3:10" outlineLevel="1" x14ac:dyDescent="0.25">
      <c r="C252" s="13"/>
      <c r="E252" s="25"/>
      <c r="F252" s="32"/>
      <c r="H252" s="20"/>
      <c r="I252" s="29"/>
      <c r="J252" s="20"/>
    </row>
    <row r="253" spans="3:10" outlineLevel="1" x14ac:dyDescent="0.25">
      <c r="C253" s="13"/>
      <c r="D253" s="29"/>
      <c r="F253" s="30">
        <v>1.2</v>
      </c>
      <c r="H253" s="20"/>
      <c r="I253" s="29"/>
      <c r="J253" s="20"/>
    </row>
    <row r="254" spans="3:10" outlineLevel="1" x14ac:dyDescent="0.25">
      <c r="E254" s="20"/>
      <c r="F254" s="20"/>
      <c r="H254" s="20"/>
      <c r="I254" s="28"/>
      <c r="J254" s="20"/>
    </row>
    <row r="255" spans="3:10" outlineLevel="1" x14ac:dyDescent="0.25">
      <c r="F255" s="91">
        <f>COS(RADIANS(45))^2</f>
        <v>0.50000000000000011</v>
      </c>
      <c r="H255" s="20" t="str">
        <f>[3]!EQS(F255,"Units= ; EqnPrefix=Valem  ; EqnNo= 0; Multiplication= 1; ShowWorking= 0; EqnStyle= 2; Eqp$H$75_2")</f>
        <v/>
      </c>
      <c r="I255" s="19" t="s">
        <v>70</v>
      </c>
      <c r="J255" s="20"/>
    </row>
    <row r="256" spans="3:10" outlineLevel="1" x14ac:dyDescent="0.25">
      <c r="E256" s="42"/>
      <c r="F256" s="40"/>
      <c r="H256" s="20"/>
      <c r="I256" s="28"/>
      <c r="J256" s="20"/>
    </row>
    <row r="257" spans="2:10" outlineLevel="1" x14ac:dyDescent="0.25">
      <c r="F257" s="91">
        <f>COS(RADIANS(45))^2</f>
        <v>0.50000000000000011</v>
      </c>
      <c r="H257" s="20" t="str">
        <f>[3]!EQS(F257,"Units= ; EqnPrefix=Valem  ; EqnNo= 0; Multiplication= 1; ShowWorking= 0; EqnStyle= 2; Eqp$H$75_2")</f>
        <v/>
      </c>
      <c r="I257" s="19" t="s">
        <v>70</v>
      </c>
      <c r="J257" s="20"/>
    </row>
    <row r="259" spans="2:10" x14ac:dyDescent="0.25">
      <c r="F259" s="34">
        <f>F240*F243*F246*F253*F232*F255</f>
        <v>10.614292854738233</v>
      </c>
      <c r="H259" s="20" t="str">
        <f>[3]!EQS(F259,"Units= ; EqnPrefix=Valem  ; EqnNo= 0; Multiplication= 1; ShowWorking= 0; EqnStyle= 2; Eqp$G$39_0")</f>
        <v/>
      </c>
      <c r="I259" s="19" t="s">
        <v>71</v>
      </c>
    </row>
    <row r="260" spans="2:10" x14ac:dyDescent="0.25">
      <c r="H260" s="13" t="str">
        <f>[3]!EQS(F259,"Units= ; EqnPrefix=Valem  ; EqnNo= 0; Multiplication= 1; ShowWorking= 1; EqnStyle= 2; Eqp$G$39_$G$40_1")</f>
        <v/>
      </c>
      <c r="I260" s="19" t="s">
        <v>72</v>
      </c>
    </row>
    <row r="261" spans="2:10" x14ac:dyDescent="0.25">
      <c r="F261" s="53">
        <f>COS(RADIANS(45))*F259</f>
        <v>7.505438455085323</v>
      </c>
      <c r="H261" s="20" t="str">
        <f>[3]!EQS(F261,"Units= ; EqnPrefix=Valem  ; EqnNo= 0; Multiplication= 1; ShowWorking= 0; EqnStyle= 2; Eqp$H$259_2")</f>
        <v/>
      </c>
      <c r="I261" s="19" t="s">
        <v>73</v>
      </c>
    </row>
    <row r="262" spans="2:10" x14ac:dyDescent="0.25">
      <c r="I262" s="19"/>
    </row>
    <row r="264" spans="2:10" x14ac:dyDescent="0.25">
      <c r="F264" s="34">
        <f>F240*F243*F246*F253*F232*F257</f>
        <v>10.614292854738233</v>
      </c>
      <c r="H264" s="20" t="str">
        <f>[3]!EQS(F264,"Units= ; EqnPrefix=Valem  ; EqnNo= 0; Multiplication= 1; ShowWorking= 0; EqnStyle= 2; Eqp$G$39_0")</f>
        <v/>
      </c>
      <c r="I264" s="19" t="s">
        <v>74</v>
      </c>
    </row>
    <row r="265" spans="2:10" x14ac:dyDescent="0.25">
      <c r="H265" s="13" t="str">
        <f>[3]!EQS(F264,"Units= ; EqnPrefix=Valem  ; EqnNo= 0; Multiplication= 1; ShowWorking= 1; EqnStyle= 2; Eqp$G$39_$G$40_1")</f>
        <v/>
      </c>
      <c r="I265" s="19" t="s">
        <v>72</v>
      </c>
    </row>
    <row r="266" spans="2:10" x14ac:dyDescent="0.25">
      <c r="F266" s="53">
        <f>COS(RADIANS(45))*F264</f>
        <v>7.505438455085323</v>
      </c>
      <c r="H266" s="20" t="str">
        <f>[3]!EQS(F266,"Units= ; EqnPrefix=Valem  ; EqnNo= 0; Multiplication= 1; ShowWorking= 0; EqnStyle= 2; Eqp$H$264_2")</f>
        <v/>
      </c>
      <c r="I266" s="19" t="s">
        <v>75</v>
      </c>
    </row>
    <row r="267" spans="2:10" x14ac:dyDescent="0.25">
      <c r="I267" s="19"/>
    </row>
    <row r="271" spans="2:10" x14ac:dyDescent="0.25">
      <c r="C271" s="49"/>
    </row>
    <row r="272" spans="2:10" x14ac:dyDescent="0.25">
      <c r="B272" s="23"/>
      <c r="F272" s="22">
        <v>30</v>
      </c>
    </row>
    <row r="273" spans="2:9" x14ac:dyDescent="0.25">
      <c r="B273" s="23"/>
      <c r="F273" s="22">
        <v>21.8</v>
      </c>
    </row>
    <row r="274" spans="2:9" x14ac:dyDescent="0.25">
      <c r="B274" s="23"/>
      <c r="F274" s="22">
        <v>2</v>
      </c>
      <c r="G274" s="45"/>
    </row>
    <row r="275" spans="2:9" x14ac:dyDescent="0.25">
      <c r="B275" s="23"/>
      <c r="F275" s="16"/>
      <c r="G275" s="45"/>
      <c r="I275" s="21"/>
    </row>
    <row r="276" spans="2:9" x14ac:dyDescent="0.25">
      <c r="B276" s="23"/>
      <c r="F276" s="30">
        <f>$F$6*LN(F272/$F$7)*$F$3</f>
        <v>25.523749324312423</v>
      </c>
      <c r="H276" s="20" t="str">
        <f>[3]!EQS(F276,"Units= ; EqnPrefix=Valem  ; EqnNo= 0; Multiplication= 1; ShowWorking= 0; EqnStyle= 2; Eqp$H$21_2")</f>
        <v/>
      </c>
      <c r="I276" s="19" t="s">
        <v>76</v>
      </c>
    </row>
    <row r="277" spans="2:9" x14ac:dyDescent="0.25">
      <c r="B277" s="23"/>
      <c r="E277" s="17"/>
      <c r="F277" s="30"/>
      <c r="G277" s="45"/>
      <c r="H277" s="20" t="str">
        <f>[3]!EQS(F276,"Units= ; EqnPrefix=Valem  ; EqnNo= 0; Multiplication= 1; ShowWorking= 1; EqnStyle= 2; Eqp$H$21_$H$22_3")</f>
        <v/>
      </c>
      <c r="I277" s="19" t="s">
        <v>77</v>
      </c>
    </row>
    <row r="278" spans="2:9" x14ac:dyDescent="0.25">
      <c r="B278" s="23"/>
      <c r="D278" s="29"/>
      <c r="F278" s="30"/>
      <c r="G278" s="45"/>
      <c r="H278" s="20"/>
      <c r="I278" s="28"/>
    </row>
    <row r="279" spans="2:9" x14ac:dyDescent="0.25">
      <c r="B279" s="23"/>
      <c r="F279" s="30">
        <f>1/2*$F$5*F276^2</f>
        <v>399.0203399868326</v>
      </c>
      <c r="H279" s="20" t="str">
        <f>[3]!EQS(F279,"Units= ; EqnPrefix=Valem  ; EqnNo= 0; Multiplication= 1; ShowWorking= 0; EqnStyle= 2; Eqp$G$21_0")</f>
        <v/>
      </c>
      <c r="I279" s="19" t="s">
        <v>78</v>
      </c>
    </row>
    <row r="280" spans="2:9" x14ac:dyDescent="0.25">
      <c r="B280" s="23"/>
      <c r="E280" s="25"/>
      <c r="F280" s="30"/>
      <c r="G280" s="47"/>
      <c r="H280" s="20" t="str">
        <f>[3]!EQS(F279,"Units= ; EqnPrefix=Valem  ; EqnNo= 0; Multiplication= 1; ShowWorking= 1; EqnStyle= 2; Eqp$G$21_$G$25_1")</f>
        <v/>
      </c>
      <c r="I280" s="19" t="s">
        <v>79</v>
      </c>
    </row>
    <row r="281" spans="2:9" x14ac:dyDescent="0.25">
      <c r="B281" s="23"/>
      <c r="E281" s="25"/>
      <c r="F281" s="30"/>
      <c r="G281" s="47"/>
      <c r="I281" s="28"/>
    </row>
    <row r="282" spans="2:9" x14ac:dyDescent="0.25">
      <c r="B282" s="23"/>
      <c r="F282" s="30">
        <f>(1+2.28/LN(F272/$F$7))^2</f>
        <v>1.8398779018273839</v>
      </c>
      <c r="G282" s="47"/>
      <c r="H282" s="20" t="str">
        <f>[3]!EQS(F282,"Units= ; EqnPrefix=Valem  ; EqnNo= 0; Multiplication= 1; ShowWorking= 0; EqnStyle= 2; Eqp$G$24_0")</f>
        <v/>
      </c>
      <c r="I282" s="19" t="s">
        <v>80</v>
      </c>
    </row>
    <row r="283" spans="2:9" x14ac:dyDescent="0.25">
      <c r="B283" s="23"/>
      <c r="E283" s="25"/>
      <c r="F283" s="30"/>
      <c r="G283" s="47"/>
      <c r="H283" s="20" t="str">
        <f>[3]!EQS(F282,"Units= ; EqnPrefix=Valem  ; EqnNo= 0; Multiplication= 1; ShowWorking= 1; EqnStyle= 2; Eqp$G$24_$G$28_1")</f>
        <v/>
      </c>
      <c r="I283" s="19" t="s">
        <v>81</v>
      </c>
    </row>
    <row r="284" spans="2:9" x14ac:dyDescent="0.25">
      <c r="B284" s="23"/>
      <c r="E284" s="25"/>
      <c r="F284" s="30"/>
      <c r="G284" s="47"/>
      <c r="H284" s="20"/>
      <c r="I284" s="28"/>
    </row>
    <row r="285" spans="2:9" x14ac:dyDescent="0.25">
      <c r="B285" s="23"/>
      <c r="F285" s="22">
        <v>360</v>
      </c>
      <c r="H285" s="20"/>
      <c r="I285" s="28"/>
    </row>
    <row r="286" spans="2:9" x14ac:dyDescent="0.25">
      <c r="B286" s="23"/>
      <c r="E286" s="25"/>
      <c r="F286" s="30"/>
      <c r="G286" s="47"/>
      <c r="H286" s="20"/>
      <c r="I286" s="28"/>
    </row>
    <row r="287" spans="2:9" x14ac:dyDescent="0.25">
      <c r="B287" s="23"/>
      <c r="F287" s="30">
        <f>1.3-0.082*LN(F285)</f>
        <v>0.81733946942108726</v>
      </c>
      <c r="G287" s="47"/>
      <c r="H287" s="20" t="str">
        <f>[3]!EQS(F287,"Units= ; EqnPrefix=Valem  ; EqnNo= 0; Multiplication= 1; ShowWorking= 0; EqnStyle= 2; Eqp$G$24_0")</f>
        <v/>
      </c>
      <c r="I287" s="19" t="s">
        <v>82</v>
      </c>
    </row>
    <row r="288" spans="2:9" x14ac:dyDescent="0.25">
      <c r="B288" s="23"/>
      <c r="E288" s="79"/>
      <c r="F288" s="30"/>
      <c r="G288" s="47"/>
      <c r="H288" s="20"/>
      <c r="I288" s="28"/>
    </row>
    <row r="289" spans="2:28" x14ac:dyDescent="0.25">
      <c r="B289" s="23"/>
      <c r="F289" s="30">
        <v>1.1000000000000001</v>
      </c>
      <c r="G289" s="47"/>
      <c r="H289" s="20"/>
      <c r="I289" s="28"/>
    </row>
    <row r="290" spans="2:28" x14ac:dyDescent="0.25">
      <c r="B290" s="23"/>
      <c r="E290" s="25"/>
      <c r="F290" s="30"/>
      <c r="G290" s="47"/>
      <c r="H290" s="20"/>
      <c r="I290" s="28"/>
    </row>
    <row r="291" spans="2:28" x14ac:dyDescent="0.25">
      <c r="B291" s="23"/>
      <c r="C291" s="78"/>
      <c r="F291" s="30">
        <f>F279*F282*F287*F289*F273/1000</f>
        <v>14.389168156300371</v>
      </c>
      <c r="H291" s="20" t="str">
        <f>[3]!EQS(F291,"Units= ; EqnPrefix=Valem  ; EqnNo= 0; Multiplication= 1; ShowWorking= 0; EqnStyle= 2; Eqp$G$24_0")</f>
        <v/>
      </c>
      <c r="I291" s="19" t="s">
        <v>83</v>
      </c>
    </row>
    <row r="292" spans="2:28" x14ac:dyDescent="0.25">
      <c r="B292" s="23"/>
      <c r="C292" s="78"/>
      <c r="E292" s="79"/>
      <c r="F292" s="30"/>
      <c r="G292" s="80"/>
      <c r="H292" s="20" t="str">
        <f>[3]!EQS(F291,"Units= ; EqnPrefix=Valem  ; EqnNo= 0; Multiplication= 1; ShowWorking= 1; EqnStyle= 2; Eqp$G$24_$H$294_1")</f>
        <v/>
      </c>
      <c r="I292" s="19" t="s">
        <v>84</v>
      </c>
    </row>
    <row r="293" spans="2:28" x14ac:dyDescent="0.25">
      <c r="B293" s="23"/>
      <c r="E293" s="25"/>
      <c r="F293" s="30"/>
      <c r="G293" s="47"/>
      <c r="H293" s="20"/>
      <c r="I293" s="28"/>
    </row>
    <row r="294" spans="2:28" x14ac:dyDescent="0.25">
      <c r="F294" s="34">
        <f>F291*F274</f>
        <v>28.778336312600743</v>
      </c>
      <c r="H294" s="20" t="str">
        <f>[3]!EQS(F294,"Units= ; EqnPrefix=Valem  ; EqnNo= 0; Multiplication= 1; ShowWorking= 0; EqnStyle= 2; Eqp$G$24_0")</f>
        <v/>
      </c>
      <c r="I294" s="19" t="s">
        <v>85</v>
      </c>
    </row>
    <row r="295" spans="2:28" x14ac:dyDescent="0.25">
      <c r="E295" s="79"/>
      <c r="F295" s="53"/>
      <c r="G295" s="80"/>
      <c r="H295" s="20"/>
      <c r="I295" s="19"/>
    </row>
    <row r="297" spans="2:28" x14ac:dyDescent="0.25">
      <c r="F297" s="94">
        <f>COS(RADIANS(4))^2</f>
        <v>0.99513403437078507</v>
      </c>
      <c r="H297" s="20" t="str">
        <f>[3]!EQS(F297,"Units= ; EqnPrefix=Valem  ; EqnNo= 0; Multiplication= 1; ShowWorking= 0; EqnStyle= 2; Eqp$H$274_2")</f>
        <v/>
      </c>
      <c r="I297" s="19" t="s">
        <v>86</v>
      </c>
    </row>
    <row r="299" spans="2:28" x14ac:dyDescent="0.25">
      <c r="F299" s="34">
        <f>F294*F297</f>
        <v>28.638301917237641</v>
      </c>
      <c r="H299" s="20" t="str">
        <f>[3]!EQS(F299,"Units= ; EqnPrefix=Valem  ; EqnNo= 0; Multiplication= 1; ShowWorking= 0; EqnStyle= 2; Eqp$H$276_2")</f>
        <v/>
      </c>
      <c r="I299" s="19" t="s">
        <v>87</v>
      </c>
    </row>
    <row r="300" spans="2:28" x14ac:dyDescent="0.25">
      <c r="F300" s="53"/>
      <c r="G300" s="52"/>
      <c r="H300" s="20"/>
      <c r="I300" s="19"/>
      <c r="AB300" s="15"/>
    </row>
    <row r="301" spans="2:28" x14ac:dyDescent="0.25">
      <c r="F301" s="53">
        <f>COS(RADIANS(4))*F299</f>
        <v>28.568540453123269</v>
      </c>
      <c r="H301" s="20" t="str">
        <f>[3]!EQS(F301,"Units= ; EqnPrefix=Valem  ; EqnNo= 0; Multiplication= 1; ShowWorking= 0; EqnStyle= 2; Eqp$H$277_2")</f>
        <v/>
      </c>
      <c r="I301" s="19" t="s">
        <v>88</v>
      </c>
    </row>
    <row r="302" spans="2:28" x14ac:dyDescent="0.25">
      <c r="F302" s="53">
        <f>SIN(RADIANS(4))*F299</f>
        <v>1.9977069557661209</v>
      </c>
      <c r="H302" s="20" t="str">
        <f>[3]!EQS(F302,"Units= ; EqnPrefix=Valem  ; EqnNo= 0; Multiplication= 1; ShowWorking= 0; EqnStyle=2; Eqp$H$278_2")</f>
        <v/>
      </c>
      <c r="I302" s="19" t="s">
        <v>89</v>
      </c>
      <c r="Z302" s="20"/>
    </row>
    <row r="303" spans="2:28" x14ac:dyDescent="0.25">
      <c r="Z303" s="20"/>
    </row>
    <row r="304" spans="2:28" x14ac:dyDescent="0.25">
      <c r="F304" s="94">
        <f>COS(RADIANS(4))^2</f>
        <v>0.99513403437078507</v>
      </c>
      <c r="H304" s="20" t="str">
        <f>[3]!EQS(F304,"Units= ; EqnPrefix=Valem  ; EqnNo= 0; Multiplication= 1; ShowWorking= 0; EqnStyle= 2; Eqp$H$278_2")</f>
        <v/>
      </c>
      <c r="I304" s="19" t="s">
        <v>86</v>
      </c>
      <c r="Z304" s="20"/>
    </row>
    <row r="305" spans="4:26" x14ac:dyDescent="0.25">
      <c r="Z305" s="20"/>
    </row>
    <row r="306" spans="4:26" x14ac:dyDescent="0.25">
      <c r="F306" s="34">
        <f>F294*F304</f>
        <v>28.638301917237641</v>
      </c>
      <c r="H306" s="20" t="str">
        <f>[3]!EQS(F306,"Units= ; EqnPrefix=Valem  ; EqnNo= 0; Multiplication= 1; ShowWorking= 0; EqnStyle= 2; Eqp$H$276_2")</f>
        <v/>
      </c>
      <c r="I306" s="19" t="s">
        <v>90</v>
      </c>
      <c r="Z306" s="20"/>
    </row>
    <row r="307" spans="4:26" x14ac:dyDescent="0.25">
      <c r="E307" s="51"/>
      <c r="F307" s="53"/>
      <c r="G307" s="52"/>
      <c r="H307" s="20"/>
      <c r="I307" s="19"/>
      <c r="Z307" s="20"/>
    </row>
    <row r="308" spans="4:26" x14ac:dyDescent="0.25">
      <c r="F308" s="53">
        <f>COS(RADIANS(4))*F306</f>
        <v>28.568540453123269</v>
      </c>
      <c r="H308" s="20" t="str">
        <f>[3]!EQS(F308,"Units= ; EqnPrefix=Valem  ; EqnNo= 0; Multiplication= 1; ShowWorking= 0; EqnStyle= 2; Eqp$H$277_2")</f>
        <v/>
      </c>
      <c r="I308" s="19" t="s">
        <v>91</v>
      </c>
      <c r="Z308" s="20"/>
    </row>
    <row r="309" spans="4:26" x14ac:dyDescent="0.25">
      <c r="F309" s="53">
        <f>SIN(RADIANS(4))*F306</f>
        <v>1.9977069557661209</v>
      </c>
      <c r="H309" s="20" t="str">
        <f>[3]!EQS(F309,"Units= ; EqnPrefix=Valem  ; EqnNo= 0; Multiplication= 1; ShowWorking= 0; EqnStyle=2; Eqp$H$278_2")</f>
        <v/>
      </c>
      <c r="I309" s="19" t="s">
        <v>92</v>
      </c>
      <c r="Z309" s="20"/>
    </row>
    <row r="311" spans="4:26" x14ac:dyDescent="0.25">
      <c r="D311" s="69"/>
      <c r="E311" s="71"/>
      <c r="F311" s="53"/>
      <c r="G311" s="52"/>
      <c r="H311" s="20"/>
      <c r="I311" s="19"/>
    </row>
    <row r="313" spans="4:26" x14ac:dyDescent="0.25">
      <c r="F313" s="81">
        <f>F279</f>
        <v>399.0203399868326</v>
      </c>
      <c r="H313" s="20"/>
    </row>
    <row r="314" spans="4:26" x14ac:dyDescent="0.25">
      <c r="F314" s="81">
        <f>F282</f>
        <v>1.8398779018273839</v>
      </c>
      <c r="G314" s="80"/>
      <c r="H314" s="20">
        <v>1.8</v>
      </c>
    </row>
    <row r="315" spans="4:26" x14ac:dyDescent="0.25">
      <c r="F315" s="81">
        <f>F9</f>
        <v>1.1499999999999999</v>
      </c>
      <c r="G315" s="52"/>
      <c r="H315" s="20">
        <v>1.05</v>
      </c>
    </row>
    <row r="316" spans="4:26" x14ac:dyDescent="0.25">
      <c r="F316" s="81">
        <v>1.2</v>
      </c>
      <c r="G316" s="52"/>
      <c r="H316" s="20"/>
    </row>
    <row r="317" spans="4:26" x14ac:dyDescent="0.25">
      <c r="F317" s="82">
        <v>8.8999999999999999E-3</v>
      </c>
      <c r="H317" s="20"/>
    </row>
    <row r="318" spans="4:26" x14ac:dyDescent="0.25">
      <c r="F318" s="81">
        <v>9</v>
      </c>
      <c r="H318" s="20"/>
    </row>
    <row r="319" spans="4:26" x14ac:dyDescent="0.25">
      <c r="F319" s="76">
        <f>F313*F314*F315*F316*F317*F318</f>
        <v>81.151329655142234</v>
      </c>
      <c r="H319" s="20" t="str">
        <f>[3]!EQS(F319,"Units= ; EqnPrefix=Valem  ; EqnNo= 0; Multiplication= 1; ShowWorking= 0; EqnStyle=2; Eqp$H$278_2")</f>
        <v/>
      </c>
      <c r="I319" s="19" t="s">
        <v>93</v>
      </c>
    </row>
    <row r="320" spans="4:26" x14ac:dyDescent="0.25">
      <c r="E320" s="73"/>
      <c r="F320" s="34"/>
      <c r="G320" s="52"/>
      <c r="H320" s="20"/>
      <c r="I320" s="19"/>
    </row>
    <row r="321" spans="2:9" x14ac:dyDescent="0.25">
      <c r="E321" s="51"/>
      <c r="F321" s="53"/>
      <c r="G321" s="52"/>
      <c r="H321" s="20"/>
      <c r="I321" s="19"/>
    </row>
    <row r="322" spans="2:9" x14ac:dyDescent="0.25">
      <c r="F322" s="53">
        <f>COS(RADIANS(0))*F319</f>
        <v>81.151329655142234</v>
      </c>
      <c r="H322" s="20" t="str">
        <f>[3]!EQS(F322,"Units= ; EqnPrefix=Valem  ; EqnNo= 0; Multiplication= 1; ShowWorking= 0; EqnStyle= 2; Eqp$H$277_2")</f>
        <v/>
      </c>
      <c r="I322" s="19" t="s">
        <v>94</v>
      </c>
    </row>
    <row r="323" spans="2:9" x14ac:dyDescent="0.25">
      <c r="F323" s="53">
        <f>SIN(RADIANS(0))*F319</f>
        <v>0</v>
      </c>
      <c r="H323" s="20" t="str">
        <f>[3]!EQS(F323,"Units= ; EqnPrefix=Valem  ; EqnNo= 0; Multiplication= 1; ShowWorking= 0; EqnStyle=2; Eqp$H$278_2")</f>
        <v/>
      </c>
      <c r="I323" s="19" t="s">
        <v>95</v>
      </c>
    </row>
    <row r="324" spans="2:9" x14ac:dyDescent="0.25">
      <c r="E324" s="51"/>
      <c r="F324" s="53"/>
      <c r="G324" s="52"/>
      <c r="H324" s="20"/>
      <c r="I324" s="19"/>
    </row>
    <row r="325" spans="2:9" x14ac:dyDescent="0.25">
      <c r="E325" s="51"/>
      <c r="F325" s="53"/>
      <c r="G325" s="52"/>
      <c r="H325" s="20"/>
      <c r="I325" s="19"/>
    </row>
    <row r="327" spans="2:9" x14ac:dyDescent="0.25">
      <c r="B327" s="23"/>
      <c r="F327" s="22">
        <v>36</v>
      </c>
    </row>
    <row r="328" spans="2:9" x14ac:dyDescent="0.25">
      <c r="B328" s="23"/>
      <c r="F328" s="22">
        <v>27.7</v>
      </c>
    </row>
    <row r="329" spans="2:9" x14ac:dyDescent="0.25">
      <c r="B329" s="23"/>
      <c r="F329" s="22">
        <v>3</v>
      </c>
      <c r="G329" s="45"/>
    </row>
    <row r="330" spans="2:9" x14ac:dyDescent="0.25">
      <c r="B330" s="23"/>
      <c r="F330" s="16"/>
      <c r="G330" s="45"/>
      <c r="I330" s="21"/>
    </row>
    <row r="331" spans="2:9" x14ac:dyDescent="0.25">
      <c r="B331" s="23"/>
      <c r="F331" s="30">
        <f>$F$6*LN(F327/$F$7)*$F$3</f>
        <v>26.251212335920307</v>
      </c>
      <c r="H331" s="20" t="str">
        <f>[3]!EQS(F331,"Units= ; EqnPrefix=Valem  ; EqnNo= 0; Multiplication= 1; ShowWorking= 0; EqnStyle= 2; Eqp$H$21_2")</f>
        <v/>
      </c>
      <c r="I331" s="19" t="s">
        <v>96</v>
      </c>
    </row>
    <row r="332" spans="2:9" x14ac:dyDescent="0.25">
      <c r="B332" s="23"/>
      <c r="E332" s="17"/>
      <c r="F332" s="30"/>
      <c r="G332" s="45"/>
      <c r="H332" s="20" t="str">
        <f>[3]!EQS(F331,"Units= ; EqnPrefix=Valem  ; EqnNo= 0; Multiplication= 1; ShowWorking= 1; EqnStyle= 2; Eqp$H$21_$H$22_3")</f>
        <v/>
      </c>
      <c r="I332" s="19" t="s">
        <v>2</v>
      </c>
    </row>
    <row r="333" spans="2:9" x14ac:dyDescent="0.25">
      <c r="B333" s="23"/>
      <c r="D333" s="29"/>
      <c r="F333" s="30"/>
      <c r="G333" s="45"/>
      <c r="H333" s="20"/>
      <c r="I333" s="28"/>
    </row>
    <row r="334" spans="2:9" x14ac:dyDescent="0.25">
      <c r="B334" s="23"/>
      <c r="F334" s="30">
        <f>1/2*$F$5*F331^2</f>
        <v>422.08976632716445</v>
      </c>
      <c r="H334" s="20" t="str">
        <f>[3]!EQS(F334,"Units= ; EqnPrefix=Valem  ; EqnNo= 0; Multiplication= 1; ShowWorking= 0; EqnStyle= 2; Eqp$G$21_0")</f>
        <v/>
      </c>
      <c r="I334" s="19" t="s">
        <v>97</v>
      </c>
    </row>
    <row r="335" spans="2:9" x14ac:dyDescent="0.25">
      <c r="B335" s="23"/>
      <c r="E335" s="25"/>
      <c r="F335" s="30"/>
      <c r="G335" s="47"/>
      <c r="H335" s="20" t="str">
        <f>[3]!EQS(F334,"Units= ; EqnPrefix=Valem  ; EqnNo= 0; Multiplication= 1; ShowWorking= 1; EqnStyle= 2; Eqp$G$21_$G$25_1")</f>
        <v/>
      </c>
      <c r="I335" s="19" t="s">
        <v>4</v>
      </c>
    </row>
    <row r="336" spans="2:9" x14ac:dyDescent="0.25">
      <c r="B336" s="23"/>
      <c r="E336" s="25"/>
      <c r="F336" s="30"/>
      <c r="G336" s="47"/>
      <c r="I336" s="28"/>
    </row>
    <row r="337" spans="2:9" x14ac:dyDescent="0.25">
      <c r="B337" s="23"/>
      <c r="F337" s="30">
        <f>(1+2.28/LN(F327/$F$7))^2</f>
        <v>1.8131807308313552</v>
      </c>
      <c r="G337" s="47"/>
      <c r="H337" s="20" t="str">
        <f>[3]!EQS(F337,"Units= ; EqnPrefix=Valem  ; EqnNo= 0; Multiplication= 1; ShowWorking= 0; EqnStyle= 2; Eqp$G$24_0")</f>
        <v/>
      </c>
      <c r="I337" s="19" t="s">
        <v>98</v>
      </c>
    </row>
    <row r="338" spans="2:9" x14ac:dyDescent="0.25">
      <c r="B338" s="23"/>
      <c r="E338" s="25"/>
      <c r="F338" s="30"/>
      <c r="G338" s="47"/>
      <c r="H338" s="20" t="str">
        <f>[3]!EQS(F337,"Units= ; EqnPrefix=Valem  ; EqnNo= 0; Multiplication= 1; ShowWorking= 1; EqnStyle= 2; Eqp$G$24_$G$28_1")</f>
        <v/>
      </c>
      <c r="I338" s="19" t="s">
        <v>6</v>
      </c>
    </row>
    <row r="339" spans="2:9" x14ac:dyDescent="0.25">
      <c r="B339" s="23"/>
      <c r="E339" s="25"/>
      <c r="F339" s="30"/>
      <c r="G339" s="47"/>
      <c r="H339" s="20"/>
      <c r="I339" s="28"/>
    </row>
    <row r="340" spans="2:9" x14ac:dyDescent="0.25">
      <c r="B340" s="23"/>
      <c r="F340" s="22">
        <v>360</v>
      </c>
      <c r="H340" s="20"/>
      <c r="I340" s="28"/>
    </row>
    <row r="341" spans="2:9" x14ac:dyDescent="0.25">
      <c r="B341" s="23"/>
      <c r="E341" s="25"/>
      <c r="F341" s="30"/>
      <c r="G341" s="47"/>
      <c r="H341" s="20"/>
      <c r="I341" s="28"/>
    </row>
    <row r="342" spans="2:9" x14ac:dyDescent="0.25">
      <c r="B342" s="23"/>
      <c r="F342" s="30">
        <f>1.3-0.082*LN(F340)</f>
        <v>0.81733946942108726</v>
      </c>
      <c r="G342" s="47"/>
      <c r="H342" s="20" t="str">
        <f>[3]!EQS(F342,"Units= ; EqnPrefix=Valem  ; EqnNo= 0; Multiplication= 1; ShowWorking= 0; EqnStyle= 2; Eqp$G$24_0")</f>
        <v/>
      </c>
      <c r="I342" s="19" t="s">
        <v>99</v>
      </c>
    </row>
    <row r="343" spans="2:9" x14ac:dyDescent="0.25">
      <c r="B343" s="23"/>
      <c r="E343" s="79"/>
      <c r="F343" s="30"/>
      <c r="G343" s="47"/>
      <c r="H343" s="20"/>
      <c r="I343" s="28"/>
    </row>
    <row r="344" spans="2:9" x14ac:dyDescent="0.25">
      <c r="B344" s="23"/>
      <c r="F344" s="30">
        <v>1.1000000000000001</v>
      </c>
      <c r="G344" s="47"/>
      <c r="H344" s="20"/>
      <c r="I344" s="28"/>
    </row>
    <row r="345" spans="2:9" x14ac:dyDescent="0.25">
      <c r="B345" s="23"/>
      <c r="E345" s="25"/>
      <c r="F345" s="30"/>
      <c r="G345" s="47"/>
      <c r="H345" s="20"/>
      <c r="I345" s="28"/>
    </row>
    <row r="346" spans="2:9" x14ac:dyDescent="0.25">
      <c r="B346" s="23"/>
      <c r="C346" s="78"/>
      <c r="F346" s="30">
        <f>F334*F337*F342*F344*F328/1000</f>
        <v>19.059909909548939</v>
      </c>
      <c r="H346" s="20" t="str">
        <f>[3]!EQS(F346,"Units= ; EqnPrefix=Valem  ; EqnNo= 0; Multiplication= 1; ShowWorking= 0; EqnStyle= 2; Eqp$G$24_0")</f>
        <v/>
      </c>
      <c r="I346" s="19" t="s">
        <v>100</v>
      </c>
    </row>
    <row r="347" spans="2:9" x14ac:dyDescent="0.25">
      <c r="B347" s="23"/>
      <c r="C347" s="78"/>
      <c r="E347" s="79"/>
      <c r="F347" s="30"/>
      <c r="G347" s="80"/>
      <c r="H347" s="20" t="str">
        <f>[3]!EQS(F346,"Units= ; EqnPrefix=Valem  ; EqnNo= 0; Multiplication= 1; ShowWorking= 1; EqnStyle= 2; Eqp$G$24_$H$294_1")</f>
        <v/>
      </c>
      <c r="I347" s="19" t="s">
        <v>101</v>
      </c>
    </row>
    <row r="348" spans="2:9" x14ac:dyDescent="0.25">
      <c r="B348" s="23"/>
      <c r="E348" s="25"/>
      <c r="F348" s="30"/>
      <c r="G348" s="47"/>
      <c r="H348" s="20"/>
      <c r="I348" s="28"/>
    </row>
    <row r="349" spans="2:9" x14ac:dyDescent="0.25">
      <c r="F349" s="34">
        <f>F346*F329</f>
        <v>57.179729728646819</v>
      </c>
      <c r="H349" s="20" t="str">
        <f>[3]!EQS(F349,"Units= ; EqnPrefix=Valem  ; EqnNo= 0; Multiplication= 1; ShowWorking= 0; EqnStyle= 2; Eqp$G$24_0")</f>
        <v/>
      </c>
      <c r="I349" s="19" t="s">
        <v>102</v>
      </c>
    </row>
    <row r="350" spans="2:9" x14ac:dyDescent="0.25">
      <c r="E350" s="79"/>
      <c r="F350" s="53"/>
      <c r="G350" s="80"/>
      <c r="H350" s="20"/>
      <c r="I350" s="19"/>
    </row>
    <row r="352" spans="2:9" x14ac:dyDescent="0.25">
      <c r="F352" s="94">
        <f>COS(RADIANS(4))^2</f>
        <v>0.99513403437078507</v>
      </c>
      <c r="H352" s="20" t="str">
        <f>[3]!EQS(F352,"Units= ; EqnPrefix=Valem  ; EqnNo= 0; Multiplication= 1; ShowWorking= 0; EqnStyle= 2; Eqp$H$274_2")</f>
        <v/>
      </c>
      <c r="I352" s="19" t="s">
        <v>86</v>
      </c>
    </row>
    <row r="353" spans="4:9" x14ac:dyDescent="0.25">
      <c r="F353" s="44"/>
    </row>
    <row r="354" spans="4:9" x14ac:dyDescent="0.25">
      <c r="F354" s="34">
        <f>F349*F352</f>
        <v>56.901495129099423</v>
      </c>
      <c r="H354" s="20" t="str">
        <f>[3]!EQS(F354,"Units= ; EqnPrefix=Valem  ; EqnNo= 0; Multiplication= 1; ShowWorking= 0; EqnStyle= 2; Eqp$H$276_2")</f>
        <v/>
      </c>
      <c r="I354" s="19" t="s">
        <v>103</v>
      </c>
    </row>
    <row r="355" spans="4:9" x14ac:dyDescent="0.25">
      <c r="E355" s="51"/>
      <c r="F355" s="53"/>
      <c r="G355" s="52"/>
      <c r="H355" s="20"/>
      <c r="I355" s="19"/>
    </row>
    <row r="356" spans="4:9" x14ac:dyDescent="0.25">
      <c r="F356" s="53">
        <f>COS(RADIANS(4))*F354</f>
        <v>56.762885946824078</v>
      </c>
      <c r="H356" s="20" t="str">
        <f>[3]!EQS(F356,"Units= ; EqnPrefix=Valem  ; EqnNo= 0; Multiplication= 1; ShowWorking= 0; EqnStyle= 2; Eqp$H$277_2")</f>
        <v/>
      </c>
      <c r="I356" s="19" t="s">
        <v>104</v>
      </c>
    </row>
    <row r="357" spans="4:9" x14ac:dyDescent="0.25">
      <c r="F357" s="53">
        <f>SIN(RADIANS(4))*F354</f>
        <v>3.9692476509744976</v>
      </c>
      <c r="H357" s="20" t="str">
        <f>[3]!EQS(F357,"Units= ; EqnPrefix=Valem  ; EqnNo= 0; Multiplication= 1; ShowWorking= 0; EqnStyle=2; Eqp$H$278_2")</f>
        <v/>
      </c>
      <c r="I357" s="19" t="s">
        <v>105</v>
      </c>
    </row>
    <row r="359" spans="4:9" x14ac:dyDescent="0.25">
      <c r="F359" s="94">
        <f>COS(RADIANS(4))^2</f>
        <v>0.99513403437078507</v>
      </c>
      <c r="H359" s="20" t="str">
        <f>[3]!EQS(F359,"Units= ; EqnPrefix=Valem  ; EqnNo= 0; Multiplication= 1; ShowWorking= 0; EqnStyle= 2; Eqp$H$278_2")</f>
        <v/>
      </c>
      <c r="I359" s="19" t="s">
        <v>86</v>
      </c>
    </row>
    <row r="361" spans="4:9" x14ac:dyDescent="0.25">
      <c r="F361" s="34">
        <f>F349*F359</f>
        <v>56.901495129099423</v>
      </c>
      <c r="H361" s="20" t="str">
        <f>[3]!EQS(F361,"Units= ; EqnPrefix=Valem  ; EqnNo= 0; Multiplication= 1; ShowWorking= 0; EqnStyle= 2; Eqp$H$276_2")</f>
        <v/>
      </c>
      <c r="I361" s="19" t="s">
        <v>106</v>
      </c>
    </row>
    <row r="362" spans="4:9" x14ac:dyDescent="0.25">
      <c r="E362" s="51"/>
      <c r="F362" s="53"/>
      <c r="G362" s="52"/>
      <c r="H362" s="20"/>
      <c r="I362" s="19"/>
    </row>
    <row r="363" spans="4:9" x14ac:dyDescent="0.25">
      <c r="F363" s="53">
        <f>COS(RADIANS(4))*F361</f>
        <v>56.762885946824078</v>
      </c>
      <c r="H363" s="20" t="str">
        <f>[3]!EQS(F363,"Units= ; EqnPrefix=Valem  ; EqnNo= 0; Multiplication= 1; ShowWorking= 0; EqnStyle= 2; Eqp$H$277_2")</f>
        <v/>
      </c>
      <c r="I363" s="19" t="s">
        <v>107</v>
      </c>
    </row>
    <row r="364" spans="4:9" x14ac:dyDescent="0.25">
      <c r="F364" s="53">
        <f>SIN(RADIANS(4))*F361</f>
        <v>3.9692476509744976</v>
      </c>
      <c r="H364" s="20" t="str">
        <f>[3]!EQS(F364,"Units= ; EqnPrefix=Valem  ; EqnNo= 0; Multiplication= 1; ShowWorking= 0; EqnStyle=2; Eqp$H$278_2")</f>
        <v/>
      </c>
      <c r="I364" s="19" t="s">
        <v>108</v>
      </c>
    </row>
    <row r="365" spans="4:9" x14ac:dyDescent="0.25">
      <c r="E365" s="51"/>
      <c r="F365" s="53"/>
      <c r="G365" s="52"/>
      <c r="H365" s="20"/>
      <c r="I365" s="19"/>
    </row>
    <row r="366" spans="4:9" x14ac:dyDescent="0.25">
      <c r="E366" s="51"/>
      <c r="F366" s="53"/>
      <c r="G366" s="52"/>
      <c r="H366" s="20"/>
      <c r="I366" s="19"/>
    </row>
    <row r="367" spans="4:9" x14ac:dyDescent="0.25">
      <c r="D367" s="49"/>
      <c r="E367" s="51"/>
      <c r="F367" s="53"/>
      <c r="G367" s="52"/>
      <c r="H367" s="20"/>
      <c r="I367" s="19"/>
    </row>
    <row r="368" spans="4:9" x14ac:dyDescent="0.25">
      <c r="E368" s="73"/>
      <c r="F368" s="34"/>
      <c r="G368" s="52"/>
      <c r="H368" s="20"/>
      <c r="I368" s="19"/>
    </row>
    <row r="369" spans="2:9" x14ac:dyDescent="0.25">
      <c r="F369" s="81">
        <f>F334</f>
        <v>422.08976632716445</v>
      </c>
      <c r="H369" s="20"/>
    </row>
    <row r="370" spans="2:9" x14ac:dyDescent="0.25">
      <c r="F370" s="81">
        <f>F337</f>
        <v>1.8131807308313552</v>
      </c>
      <c r="G370" s="80"/>
      <c r="H370" s="20">
        <v>1.8</v>
      </c>
    </row>
    <row r="371" spans="2:9" x14ac:dyDescent="0.25">
      <c r="F371" s="81">
        <f>F9</f>
        <v>1.1499999999999999</v>
      </c>
      <c r="G371" s="52"/>
      <c r="H371" s="20">
        <v>1.05</v>
      </c>
    </row>
    <row r="372" spans="2:9" x14ac:dyDescent="0.25">
      <c r="F372" s="81">
        <v>1.2</v>
      </c>
      <c r="G372" s="52"/>
      <c r="H372" s="20"/>
    </row>
    <row r="373" spans="2:9" x14ac:dyDescent="0.25">
      <c r="F373" s="83">
        <v>2.1000000000000001E-2</v>
      </c>
      <c r="H373" s="20"/>
    </row>
    <row r="374" spans="2:9" x14ac:dyDescent="0.25">
      <c r="F374" s="81">
        <v>19</v>
      </c>
      <c r="H374" s="20"/>
    </row>
    <row r="375" spans="2:9" x14ac:dyDescent="0.25">
      <c r="F375" s="76">
        <f>F369*F370*F371*F372*F373*F374</f>
        <v>421.40326856124921</v>
      </c>
      <c r="H375" s="20" t="str">
        <f>[3]!EQS(F375,"Units= ; EqnPrefix=Valem  ; EqnNo= 0; Multiplication= 1; ShowWorking= 0; EqnStyle=2; Eqp$H$278_2")</f>
        <v/>
      </c>
      <c r="I375" s="19" t="s">
        <v>109</v>
      </c>
    </row>
    <row r="376" spans="2:9" x14ac:dyDescent="0.25">
      <c r="E376" s="73"/>
      <c r="F376" s="34"/>
      <c r="G376" s="52"/>
      <c r="H376" s="20"/>
      <c r="I376" s="19"/>
    </row>
    <row r="377" spans="2:9" x14ac:dyDescent="0.25">
      <c r="E377" s="73"/>
      <c r="F377" s="34"/>
      <c r="G377" s="52"/>
      <c r="H377" s="20"/>
      <c r="I377" s="19"/>
    </row>
    <row r="378" spans="2:9" x14ac:dyDescent="0.25">
      <c r="E378" s="51"/>
      <c r="F378" s="53"/>
      <c r="G378" s="52"/>
      <c r="H378" s="20"/>
      <c r="I378" s="19"/>
    </row>
    <row r="379" spans="2:9" x14ac:dyDescent="0.25">
      <c r="F379" s="53">
        <f>COS(RADIANS(0))*F375</f>
        <v>421.40326856124921</v>
      </c>
      <c r="H379" s="20" t="str">
        <f>[3]!EQS(F379,"Units= ; EqnPrefix=Valem  ; EqnNo= 0; Multiplication= 1; ShowWorking= 0; EqnStyle= 2; Eqp$H$277_2")</f>
        <v/>
      </c>
      <c r="I379" s="19" t="s">
        <v>110</v>
      </c>
    </row>
    <row r="380" spans="2:9" x14ac:dyDescent="0.25">
      <c r="F380" s="53">
        <f>SIN(RADIANS(0))*F375</f>
        <v>0</v>
      </c>
      <c r="H380" s="20" t="str">
        <f>[3]!EQS(F380,"Units= ; EqnPrefix=Valem  ; EqnNo= 0; Multiplication= 1; ShowWorking= 0; EqnStyle=2; Eqp$H$278_2")</f>
        <v/>
      </c>
      <c r="I380" s="19" t="s">
        <v>111</v>
      </c>
    </row>
    <row r="381" spans="2:9" x14ac:dyDescent="0.25">
      <c r="E381" s="51"/>
      <c r="F381" s="53"/>
      <c r="G381" s="52"/>
      <c r="H381" s="20"/>
      <c r="I381" s="19"/>
    </row>
    <row r="383" spans="2:9" x14ac:dyDescent="0.25">
      <c r="B383" s="23"/>
      <c r="F383" s="22">
        <v>41</v>
      </c>
    </row>
    <row r="384" spans="2:9" x14ac:dyDescent="0.25">
      <c r="B384" s="23"/>
      <c r="F384" s="22">
        <v>16</v>
      </c>
    </row>
    <row r="385" spans="2:9" x14ac:dyDescent="0.25">
      <c r="B385" s="23"/>
      <c r="F385" s="22">
        <v>1</v>
      </c>
      <c r="G385" s="45"/>
    </row>
    <row r="386" spans="2:9" x14ac:dyDescent="0.25">
      <c r="B386" s="23"/>
      <c r="F386" s="16"/>
      <c r="G386" s="45"/>
      <c r="I386" s="21"/>
    </row>
    <row r="387" spans="2:9" x14ac:dyDescent="0.25">
      <c r="B387" s="23"/>
      <c r="F387" s="30">
        <f>$F$6*LN(F383/$F$7)*$F$3</f>
        <v>26.770124317630611</v>
      </c>
      <c r="H387" s="20" t="str">
        <f>[3]!EQS(F387,"Units= ; EqnPrefix=Valem  ; EqnNo= 0; Multiplication= 1; ShowWorking= 0; EqnStyle= 2; Eqp$H$21_2")</f>
        <v/>
      </c>
      <c r="I387" s="19" t="s">
        <v>112</v>
      </c>
    </row>
    <row r="388" spans="2:9" x14ac:dyDescent="0.25">
      <c r="B388" s="23"/>
      <c r="E388" s="17"/>
      <c r="F388" s="30"/>
      <c r="G388" s="45"/>
      <c r="H388" s="20" t="str">
        <f>[3]!EQS(F387,"Units= ; EqnPrefix=Valem  ; EqnNo= 0; Multiplication= 1; ShowWorking= 1; EqnStyle= 2; Eqp$H$21_$H$22_3")</f>
        <v/>
      </c>
      <c r="I388" s="19" t="s">
        <v>54</v>
      </c>
    </row>
    <row r="389" spans="2:9" x14ac:dyDescent="0.25">
      <c r="B389" s="23"/>
      <c r="D389" s="29"/>
      <c r="F389" s="30"/>
      <c r="G389" s="45"/>
      <c r="H389" s="20"/>
      <c r="I389" s="28"/>
    </row>
    <row r="390" spans="2:9" x14ac:dyDescent="0.25">
      <c r="B390" s="23"/>
      <c r="F390" s="30">
        <f>1/2*$F$5*F387^2</f>
        <v>438.94172803860613</v>
      </c>
      <c r="H390" s="20" t="str">
        <f>[3]!EQS(F390,"Units= ; EqnPrefix=Valem  ; EqnNo= 0; Multiplication= 1; ShowWorking= 0; EqnStyle= 2; Eqp$G$21_0")</f>
        <v/>
      </c>
      <c r="I390" s="19" t="s">
        <v>113</v>
      </c>
    </row>
    <row r="391" spans="2:9" x14ac:dyDescent="0.25">
      <c r="B391" s="23"/>
      <c r="E391" s="25"/>
      <c r="F391" s="30"/>
      <c r="G391" s="47"/>
      <c r="H391" s="20" t="str">
        <f>[3]!EQS(F390,"Units= ; EqnPrefix=Valem  ; EqnNo= 0; Multiplication= 1; ShowWorking= 1; EqnStyle= 2; Eqp$G$21_$G$25_1")</f>
        <v/>
      </c>
      <c r="I391" s="19" t="s">
        <v>56</v>
      </c>
    </row>
    <row r="392" spans="2:9" x14ac:dyDescent="0.25">
      <c r="B392" s="23"/>
      <c r="E392" s="25"/>
      <c r="F392" s="30"/>
      <c r="G392" s="47"/>
      <c r="I392" s="28"/>
    </row>
    <row r="393" spans="2:9" x14ac:dyDescent="0.25">
      <c r="B393" s="23"/>
      <c r="F393" s="30">
        <f>(1+2.28/LN(F383/$F$7))^2</f>
        <v>1.7951352851913878</v>
      </c>
      <c r="G393" s="47"/>
      <c r="H393" s="20" t="str">
        <f>[3]!EQS(F393,"Units= ; EqnPrefix=Valem  ; EqnNo= 0; Multiplication= 1; ShowWorking= 0; EqnStyle= 2; Eqp$G$24_0")</f>
        <v/>
      </c>
      <c r="I393" s="19" t="s">
        <v>114</v>
      </c>
    </row>
    <row r="394" spans="2:9" x14ac:dyDescent="0.25">
      <c r="B394" s="23"/>
      <c r="E394" s="25"/>
      <c r="F394" s="30"/>
      <c r="G394" s="47"/>
      <c r="H394" s="20" t="str">
        <f>[3]!EQS(F393,"Units= ; EqnPrefix=Valem  ; EqnNo= 0; Multiplication= 1; ShowWorking= 1; EqnStyle= 2; Eqp$G$24_$G$28_1")</f>
        <v/>
      </c>
      <c r="I394" s="19" t="s">
        <v>58</v>
      </c>
    </row>
    <row r="395" spans="2:9" x14ac:dyDescent="0.25">
      <c r="B395" s="23"/>
      <c r="E395" s="25"/>
      <c r="F395" s="30"/>
      <c r="G395" s="47"/>
      <c r="H395" s="20"/>
      <c r="I395" s="28"/>
    </row>
    <row r="396" spans="2:9" x14ac:dyDescent="0.25">
      <c r="B396" s="23"/>
      <c r="F396" s="22">
        <v>360</v>
      </c>
      <c r="H396" s="20"/>
      <c r="I396" s="28"/>
    </row>
    <row r="397" spans="2:9" x14ac:dyDescent="0.25">
      <c r="B397" s="23"/>
      <c r="E397" s="25"/>
      <c r="F397" s="30"/>
      <c r="G397" s="47"/>
      <c r="H397" s="20"/>
      <c r="I397" s="28"/>
    </row>
    <row r="398" spans="2:9" x14ac:dyDescent="0.25">
      <c r="B398" s="23"/>
      <c r="F398" s="30">
        <f>1.3-0.082*LN(F396)</f>
        <v>0.81733946942108726</v>
      </c>
      <c r="G398" s="47"/>
      <c r="H398" s="20" t="str">
        <f>[3]!EQS(F398,"Units= ; EqnPrefix=Valem  ; EqnNo= 0; Multiplication= 1; ShowWorking= 0; EqnStyle= 2; Eqp$G$24_0")</f>
        <v/>
      </c>
      <c r="I398" s="19" t="s">
        <v>115</v>
      </c>
    </row>
    <row r="399" spans="2:9" x14ac:dyDescent="0.25">
      <c r="B399" s="23"/>
      <c r="E399" s="79"/>
      <c r="F399" s="30"/>
      <c r="G399" s="47"/>
      <c r="H399" s="20"/>
      <c r="I399" s="28"/>
    </row>
    <row r="400" spans="2:9" x14ac:dyDescent="0.25">
      <c r="B400" s="23"/>
      <c r="F400" s="30">
        <v>1.2</v>
      </c>
      <c r="G400" s="47"/>
      <c r="H400" s="20"/>
      <c r="I400" s="28"/>
    </row>
    <row r="401" spans="2:9" x14ac:dyDescent="0.25">
      <c r="B401" s="23"/>
      <c r="E401" s="25"/>
      <c r="F401" s="30"/>
      <c r="G401" s="47"/>
      <c r="H401" s="20"/>
      <c r="I401" s="28"/>
    </row>
    <row r="402" spans="2:9" x14ac:dyDescent="0.25">
      <c r="B402" s="23"/>
      <c r="C402" s="78"/>
      <c r="F402" s="30">
        <f>F390*F393*F398*F400*F384/1000</f>
        <v>12.365388132445736</v>
      </c>
      <c r="H402" s="20" t="str">
        <f>[3]!EQS(F402,"Units= ; EqnPrefix=Valem  ; EqnNo= 0; Multiplication= 1; ShowWorking= 0; EqnStyle= 2; Eqp$G$24_0")</f>
        <v/>
      </c>
      <c r="I402" s="19" t="s">
        <v>116</v>
      </c>
    </row>
    <row r="403" spans="2:9" x14ac:dyDescent="0.25">
      <c r="B403" s="23"/>
      <c r="C403" s="78"/>
      <c r="E403" s="79"/>
      <c r="F403" s="30"/>
      <c r="G403" s="80"/>
      <c r="H403" s="20" t="str">
        <f>[3]!EQS(F402,"Units= ; EqnPrefix=Valem  ; EqnNo= 0; Multiplication= 1; ShowWorking= 1; EqnStyle= 2; Eqp$G$24_$H$294_1")</f>
        <v/>
      </c>
      <c r="I403" s="19" t="s">
        <v>117</v>
      </c>
    </row>
    <row r="404" spans="2:9" x14ac:dyDescent="0.25">
      <c r="B404" s="23"/>
      <c r="E404" s="25"/>
      <c r="F404" s="30"/>
      <c r="G404" s="47"/>
      <c r="H404" s="20"/>
      <c r="I404" s="28"/>
    </row>
    <row r="405" spans="2:9" x14ac:dyDescent="0.25">
      <c r="F405" s="34">
        <f>F402*F385</f>
        <v>12.365388132445736</v>
      </c>
      <c r="H405" s="20" t="str">
        <f>[3]!EQS(F405,"Units= ; EqnPrefix=Valem  ; EqnNo= 0; Multiplication= 1; ShowWorking= 0; EqnStyle= 2; Eqp$G$24_0")</f>
        <v/>
      </c>
      <c r="I405" s="19" t="s">
        <v>118</v>
      </c>
    </row>
    <row r="408" spans="2:9" x14ac:dyDescent="0.25">
      <c r="F408" s="94">
        <f>COS(RADIANS(4))^2</f>
        <v>0.99513403437078507</v>
      </c>
      <c r="H408" s="20" t="str">
        <f>[3]!EQS(F408,"Units= ; EqnPrefix=Valem  ; EqnNo= 0; Multiplication= 1; ShowWorking= 0; EqnStyle= 2; Eqp$H$274_2")</f>
        <v/>
      </c>
      <c r="I408" s="19" t="s">
        <v>86</v>
      </c>
    </row>
    <row r="410" spans="2:9" x14ac:dyDescent="0.25">
      <c r="F410" s="34">
        <f>F405*F408</f>
        <v>12.305218578801352</v>
      </c>
      <c r="H410" s="20" t="str">
        <f>[3]!EQS(F410,"Units= ; EqnPrefix=Valem  ; EqnNo= 0; Multiplication= 1; ShowWorking= 0; EqnStyle= 2; Eqp$H$276_2")</f>
        <v/>
      </c>
      <c r="I410" s="19" t="s">
        <v>119</v>
      </c>
    </row>
    <row r="411" spans="2:9" x14ac:dyDescent="0.25">
      <c r="E411" s="51"/>
      <c r="F411" s="53"/>
      <c r="G411" s="52"/>
      <c r="H411" s="20"/>
      <c r="I411" s="19"/>
    </row>
    <row r="412" spans="2:9" x14ac:dyDescent="0.25">
      <c r="F412" s="53">
        <f>COS(RADIANS(4))*F410</f>
        <v>12.275243684801515</v>
      </c>
      <c r="H412" s="20" t="str">
        <f>[3]!EQS(F412,"Units= ; EqnPrefix=Valem  ; EqnNo= 0; Multiplication= 1; ShowWorking= 0; EqnStyle= 2; Eqp$H$277_2")</f>
        <v/>
      </c>
      <c r="I412" s="19" t="s">
        <v>120</v>
      </c>
    </row>
    <row r="413" spans="2:9" x14ac:dyDescent="0.25">
      <c r="F413" s="53">
        <f>SIN(RADIANS(4))*F410</f>
        <v>0.85836865670787932</v>
      </c>
      <c r="H413" s="20" t="str">
        <f>[3]!EQS(F413,"Units= ; EqnPrefix=Valem  ; EqnNo= 0; Multiplication= 1; ShowWorking= 0; EqnStyle=2; Eqp$H$278_2")</f>
        <v/>
      </c>
      <c r="I413" s="19" t="s">
        <v>121</v>
      </c>
    </row>
    <row r="415" spans="2:9" x14ac:dyDescent="0.25">
      <c r="F415" s="94">
        <f>COS(RADIANS(4))^2</f>
        <v>0.99513403437078507</v>
      </c>
      <c r="H415" s="20" t="str">
        <f>[3]!EQS(F415,"Units= ; EqnPrefix=Valem  ; EqnNo= 0; Multiplication= 1; ShowWorking= 0; EqnStyle= 2; Eqp$H$278_2")</f>
        <v/>
      </c>
      <c r="I415" s="19" t="s">
        <v>86</v>
      </c>
    </row>
    <row r="417" spans="5:9" x14ac:dyDescent="0.25">
      <c r="F417" s="34">
        <f>F405*F415</f>
        <v>12.305218578801352</v>
      </c>
      <c r="H417" s="20" t="str">
        <f>[3]!EQS(F417,"Units= ; EqnPrefix=Valem  ; EqnNo= 0; Multiplication= 1; ShowWorking= 0; EqnStyle= 2; Eqp$H$276_2")</f>
        <v/>
      </c>
      <c r="I417" s="19" t="s">
        <v>122</v>
      </c>
    </row>
    <row r="418" spans="5:9" x14ac:dyDescent="0.25">
      <c r="E418" s="51"/>
      <c r="F418" s="53"/>
      <c r="G418" s="52"/>
      <c r="H418" s="20"/>
      <c r="I418" s="19"/>
    </row>
    <row r="419" spans="5:9" x14ac:dyDescent="0.25">
      <c r="F419" s="53">
        <f>COS(RADIANS(4))*F417</f>
        <v>12.275243684801515</v>
      </c>
      <c r="H419" s="20" t="str">
        <f>[3]!EQS(F419,"Units= ; EqnPrefix=Valem  ; EqnNo= 0; Multiplication= 1; ShowWorking= 0; EqnStyle= 2; Eqp$H$277_2")</f>
        <v/>
      </c>
      <c r="I419" s="19" t="s">
        <v>123</v>
      </c>
    </row>
    <row r="420" spans="5:9" x14ac:dyDescent="0.25">
      <c r="F420" s="53">
        <f>SIN(RADIANS(4))*F417</f>
        <v>0.85836865670787932</v>
      </c>
      <c r="H420" s="20" t="str">
        <f>[3]!EQS(F420,"Units= ; EqnPrefix=Valem  ; EqnNo= 0; Multiplication= 1; ShowWorking= 0; EqnStyle=2; Eqp$H$278_2")</f>
        <v/>
      </c>
      <c r="I420" s="19" t="s">
        <v>124</v>
      </c>
    </row>
    <row r="421" spans="5:9" x14ac:dyDescent="0.25">
      <c r="E421" s="51"/>
      <c r="F421" s="53"/>
      <c r="G421" s="52"/>
      <c r="H421" s="20"/>
      <c r="I421" s="19"/>
    </row>
  </sheetData>
  <mergeCells count="1">
    <mergeCell ref="A2:R2"/>
  </mergeCells>
  <pageMargins left="0.7" right="0.48958333333333331" top="0.75" bottom="0.75" header="0.3" footer="0.3"/>
  <pageSetup paperSize="9" orientation="portrait" horizontalDpi="300" verticalDpi="300" r:id="rId1"/>
  <customProperties>
    <customPr name="SSCSheetTrackingNo" r:id="rId2"/>
  </customPropertie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R155"/>
  <sheetViews>
    <sheetView topLeftCell="A108" workbookViewId="0">
      <selection activeCell="O116" sqref="O116"/>
    </sheetView>
  </sheetViews>
  <sheetFormatPr defaultRowHeight="18" x14ac:dyDescent="0.25"/>
  <cols>
    <col min="1" max="1" width="1.375" style="54" customWidth="1"/>
    <col min="2" max="2" width="1.5" style="54" customWidth="1"/>
    <col min="3" max="4" width="1.5" style="23" customWidth="1"/>
    <col min="5" max="5" width="6.125" style="13" customWidth="1"/>
    <col min="6" max="6" width="8.5" style="13" customWidth="1"/>
    <col min="7" max="7" width="6.125" style="44" customWidth="1"/>
    <col min="8" max="8" width="0.875" style="13" customWidth="1"/>
    <col min="9" max="11" width="6.125" style="13" customWidth="1"/>
    <col min="12" max="20" width="6.25" style="13" customWidth="1"/>
    <col min="21" max="21" width="1.375" style="13" customWidth="1"/>
    <col min="22" max="22" width="6.25" style="13" customWidth="1"/>
    <col min="23" max="16384" width="9" style="13"/>
  </cols>
  <sheetData>
    <row r="2" spans="1:18" ht="31.5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x14ac:dyDescent="0.25">
      <c r="F3" s="13">
        <v>21</v>
      </c>
    </row>
    <row r="4" spans="1:18" x14ac:dyDescent="0.25">
      <c r="F4" s="13">
        <f>F3</f>
        <v>21</v>
      </c>
    </row>
    <row r="5" spans="1:18" x14ac:dyDescent="0.25">
      <c r="F5" s="13">
        <v>1.2250000000000001</v>
      </c>
    </row>
    <row r="6" spans="1:18" x14ac:dyDescent="0.25">
      <c r="F6" s="13">
        <v>0.19</v>
      </c>
    </row>
    <row r="7" spans="1:18" x14ac:dyDescent="0.25">
      <c r="F7" s="13">
        <v>0.05</v>
      </c>
    </row>
    <row r="8" spans="1:18" x14ac:dyDescent="0.25">
      <c r="F8" s="13">
        <v>10</v>
      </c>
    </row>
    <row r="9" spans="1:18" x14ac:dyDescent="0.25">
      <c r="F9" s="13">
        <v>0.01</v>
      </c>
    </row>
    <row r="10" spans="1:18" x14ac:dyDescent="0.25">
      <c r="F10" s="13">
        <f>900</f>
        <v>900</v>
      </c>
    </row>
    <row r="11" spans="1:18" x14ac:dyDescent="0.25">
      <c r="F11" s="13">
        <v>9.81</v>
      </c>
    </row>
    <row r="12" spans="1:18" x14ac:dyDescent="0.25">
      <c r="E12" s="14"/>
    </row>
    <row r="13" spans="1:18" x14ac:dyDescent="0.25">
      <c r="C13" s="24"/>
      <c r="D13" s="24"/>
      <c r="E13" s="18"/>
      <c r="F13" s="18"/>
      <c r="G13" s="46"/>
      <c r="H13" s="18"/>
      <c r="I13" s="18"/>
      <c r="J13" s="18"/>
      <c r="K13" s="18"/>
      <c r="L13" s="18"/>
    </row>
    <row r="14" spans="1:18" x14ac:dyDescent="0.25">
      <c r="D14" s="24"/>
      <c r="E14" s="18"/>
      <c r="F14" s="18"/>
      <c r="G14" s="46"/>
      <c r="H14" s="18"/>
      <c r="I14" s="18"/>
      <c r="J14" s="18"/>
      <c r="K14" s="18"/>
      <c r="L14" s="18"/>
    </row>
    <row r="15" spans="1:18" x14ac:dyDescent="0.25">
      <c r="E15" s="14"/>
      <c r="K15" s="26"/>
    </row>
    <row r="16" spans="1:18" x14ac:dyDescent="0.25">
      <c r="F16" s="22">
        <v>0.32400000000000001</v>
      </c>
    </row>
    <row r="17" spans="3:12" x14ac:dyDescent="0.25">
      <c r="E17" s="60"/>
      <c r="G17" s="45"/>
      <c r="I17" s="21"/>
    </row>
    <row r="18" spans="3:12" x14ac:dyDescent="0.25">
      <c r="F18" s="53">
        <f>PI()*F16</f>
        <v>1.0178760197630929</v>
      </c>
      <c r="H18" s="20" t="str">
        <f>[3]!EQS(F18,"Units= ; EqnPrefix=Valem  ; EqnNo= 0; Multiplication= 1; ShowWorking= 1; EqnStyle= 2; Eqp$H$17_2")</f>
        <v/>
      </c>
    </row>
    <row r="19" spans="3:12" x14ac:dyDescent="0.25">
      <c r="E19" s="60"/>
      <c r="G19" s="45"/>
      <c r="H19" s="20"/>
      <c r="I19" s="21"/>
    </row>
    <row r="20" spans="3:12" x14ac:dyDescent="0.25">
      <c r="F20" s="66">
        <f>F18*F9</f>
        <v>1.0178760197630929E-2</v>
      </c>
      <c r="H20" s="20" t="str">
        <f>[3]!EQS(F20,"Units= ; EqnPrefix=Valem  ; EqnNo= 0; Multiplication= 1; ShowWorking= 1; EqnStyle= 2; Eqp$H$17_2")</f>
        <v/>
      </c>
    </row>
    <row r="21" spans="3:12" x14ac:dyDescent="0.25">
      <c r="E21" s="60"/>
      <c r="G21" s="45"/>
      <c r="H21" s="20"/>
      <c r="I21" s="21"/>
    </row>
    <row r="22" spans="3:12" x14ac:dyDescent="0.25">
      <c r="F22" s="34">
        <f>F20*1*F10*F11</f>
        <v>89.868273784883485</v>
      </c>
      <c r="H22" s="20" t="str">
        <f>[3]!EQS(F22,"Units= ; EqnPrefix=Valem  ; EqnNo= 0; Multiplication= 1; ShowWorking= 1; EqnStyle= 2; Eqp$H$17_2")</f>
        <v/>
      </c>
    </row>
    <row r="23" spans="3:12" x14ac:dyDescent="0.25">
      <c r="E23" s="60"/>
      <c r="G23" s="45"/>
      <c r="I23" s="21"/>
    </row>
    <row r="25" spans="3:12" collapsed="1" x14ac:dyDescent="0.25">
      <c r="C25" s="24"/>
      <c r="D25" s="24"/>
      <c r="E25" s="18"/>
      <c r="F25" s="18"/>
      <c r="G25" s="46"/>
      <c r="H25" s="18"/>
      <c r="I25" s="18"/>
      <c r="J25" s="18"/>
      <c r="K25" s="18"/>
      <c r="L25" s="18"/>
    </row>
    <row r="26" spans="3:12" x14ac:dyDescent="0.25">
      <c r="E26" s="14"/>
    </row>
    <row r="27" spans="3:12" x14ac:dyDescent="0.25">
      <c r="F27" s="22">
        <v>0.27300000000000002</v>
      </c>
    </row>
    <row r="28" spans="3:12" x14ac:dyDescent="0.25">
      <c r="E28" s="60"/>
      <c r="G28" s="45"/>
      <c r="I28" s="21"/>
    </row>
    <row r="29" spans="3:12" x14ac:dyDescent="0.25">
      <c r="F29" s="53">
        <f>PI()*F27</f>
        <v>0.85765479443001358</v>
      </c>
      <c r="H29" s="20" t="str">
        <f>[3]!EQS(F29,"Units= ; EqnPrefix=Valem  ; EqnNo= 0; Multiplication= 1; ShowWorking= 1; EqnStyle= 2; Eqp$H$17_2")</f>
        <v/>
      </c>
    </row>
    <row r="30" spans="3:12" x14ac:dyDescent="0.25">
      <c r="E30" s="60"/>
      <c r="G30" s="45"/>
      <c r="H30" s="20"/>
      <c r="I30" s="21"/>
    </row>
    <row r="31" spans="3:12" x14ac:dyDescent="0.25">
      <c r="F31" s="66">
        <f>F29*F20</f>
        <v>8.7298624848515596E-3</v>
      </c>
      <c r="H31" s="20" t="str">
        <f>[3]!EQS(F31,"Units= ; EqnPrefix=Valem  ; EqnNo= 0; Multiplication= 1; ShowWorking= 1; EqnStyle= 2; Eqp$H$17_2")</f>
        <v/>
      </c>
    </row>
    <row r="32" spans="3:12" x14ac:dyDescent="0.25">
      <c r="E32" s="60"/>
      <c r="G32" s="45"/>
      <c r="H32" s="20"/>
      <c r="I32" s="21"/>
    </row>
    <row r="33" spans="3:12" x14ac:dyDescent="0.25">
      <c r="F33" s="34">
        <f>F31*1*$F$10*$F$11</f>
        <v>77.075955878754428</v>
      </c>
      <c r="H33" s="20" t="str">
        <f>[3]!EQS(F33,"Units= ; EqnPrefix=Valem  ; EqnNo= 0; Multiplication= 1; ShowWorking= 1; EqnStyle= 2; Eqp$H$17_2")</f>
        <v/>
      </c>
    </row>
    <row r="34" spans="3:12" x14ac:dyDescent="0.25">
      <c r="E34" s="60"/>
      <c r="G34" s="45"/>
      <c r="I34" s="26"/>
    </row>
    <row r="36" spans="3:12" collapsed="1" x14ac:dyDescent="0.25">
      <c r="C36" s="24"/>
      <c r="D36" s="24"/>
      <c r="E36" s="18"/>
      <c r="F36" s="18"/>
      <c r="G36" s="46"/>
      <c r="H36" s="18"/>
      <c r="I36" s="18"/>
      <c r="J36" s="18"/>
      <c r="K36" s="18"/>
      <c r="L36" s="18"/>
    </row>
    <row r="37" spans="3:12" x14ac:dyDescent="0.25">
      <c r="E37" s="14"/>
    </row>
    <row r="38" spans="3:12" x14ac:dyDescent="0.25">
      <c r="F38" s="22">
        <v>0.22</v>
      </c>
    </row>
    <row r="41" spans="3:12" x14ac:dyDescent="0.25">
      <c r="F41" s="13">
        <v>0.75600000000000001</v>
      </c>
    </row>
    <row r="43" spans="3:12" x14ac:dyDescent="0.25">
      <c r="F43" s="34">
        <f>2*F41*F9*F10*F11</f>
        <v>133.49448000000001</v>
      </c>
      <c r="H43" s="20" t="str">
        <f>[3]!EQS(F43,"Units= ; EqnPrefix=Valem  ; EqnNo= 0; Multiplication= 1; ShowWorking= 1; EqnStyle= 2; Eqp$H$17_2")</f>
        <v/>
      </c>
    </row>
    <row r="46" spans="3:12" x14ac:dyDescent="0.25">
      <c r="C46" s="24"/>
      <c r="D46" s="24"/>
      <c r="E46" s="18"/>
      <c r="F46" s="18"/>
      <c r="G46" s="46"/>
      <c r="H46" s="18"/>
      <c r="I46" s="18"/>
      <c r="J46" s="18"/>
      <c r="K46" s="18"/>
      <c r="L46" s="18"/>
    </row>
    <row r="47" spans="3:12" x14ac:dyDescent="0.25">
      <c r="E47" s="14"/>
    </row>
    <row r="48" spans="3:12" x14ac:dyDescent="0.25">
      <c r="F48" s="22">
        <v>0.25</v>
      </c>
    </row>
    <row r="49" spans="3:12" x14ac:dyDescent="0.25">
      <c r="F49" s="22">
        <v>0.25</v>
      </c>
    </row>
    <row r="50" spans="3:12" x14ac:dyDescent="0.25">
      <c r="E50" s="60"/>
      <c r="F50" s="41"/>
      <c r="G50" s="48"/>
      <c r="I50" s="41"/>
    </row>
    <row r="51" spans="3:12" x14ac:dyDescent="0.25">
      <c r="F51" s="41">
        <f>2*(F49+F48)</f>
        <v>1</v>
      </c>
      <c r="H51" s="20" t="str">
        <f>[3]!EQS(F51,"Units= ; EqnPrefix=Valem  ; EqnNo= 0; Multiplication= 1; ShowWorking= 1; EqnStyle= 2; Eqp$H$17_2")</f>
        <v/>
      </c>
    </row>
    <row r="52" spans="3:12" x14ac:dyDescent="0.25">
      <c r="E52" s="60"/>
      <c r="F52" s="41"/>
      <c r="G52" s="48"/>
      <c r="I52" s="41"/>
    </row>
    <row r="53" spans="3:12" x14ac:dyDescent="0.25">
      <c r="F53" s="41">
        <f>F51*$F$9*$F$10*$F$11</f>
        <v>88.29</v>
      </c>
      <c r="H53" s="20" t="str">
        <f>[3]!EQS(F53,"Units= ; EqnPrefix=Valem  ; EqnNo= 0; Multiplication= 1; ShowWorking= 1; EqnStyle= 2; Eqp$H$17_2")</f>
        <v/>
      </c>
    </row>
    <row r="54" spans="3:12" x14ac:dyDescent="0.25">
      <c r="E54" s="60"/>
      <c r="F54" s="41"/>
      <c r="G54" s="48"/>
      <c r="I54" s="41"/>
    </row>
    <row r="55" spans="3:12" x14ac:dyDescent="0.25">
      <c r="E55" s="60"/>
      <c r="F55" s="41"/>
      <c r="G55" s="48"/>
      <c r="I55" s="41"/>
    </row>
    <row r="56" spans="3:12" x14ac:dyDescent="0.25">
      <c r="E56" s="60"/>
      <c r="F56" s="41"/>
      <c r="G56" s="48"/>
      <c r="I56" s="41"/>
    </row>
    <row r="57" spans="3:12" x14ac:dyDescent="0.25">
      <c r="C57" s="24"/>
      <c r="D57" s="24"/>
      <c r="E57" s="18"/>
      <c r="F57" s="18"/>
      <c r="G57" s="46"/>
      <c r="H57" s="18"/>
      <c r="I57" s="18"/>
      <c r="J57" s="18"/>
      <c r="K57" s="18"/>
      <c r="L57" s="18"/>
    </row>
    <row r="58" spans="3:12" x14ac:dyDescent="0.25">
      <c r="E58" s="14"/>
    </row>
    <row r="59" spans="3:12" x14ac:dyDescent="0.25">
      <c r="F59" s="22">
        <v>0.25</v>
      </c>
    </row>
    <row r="60" spans="3:12" x14ac:dyDescent="0.25">
      <c r="F60" s="22">
        <v>0.15</v>
      </c>
    </row>
    <row r="61" spans="3:12" x14ac:dyDescent="0.25">
      <c r="E61" s="60"/>
      <c r="F61" s="41"/>
      <c r="G61" s="48"/>
      <c r="I61" s="41"/>
    </row>
    <row r="62" spans="3:12" x14ac:dyDescent="0.25">
      <c r="F62" s="41">
        <f>2*(F60+F59)</f>
        <v>0.8</v>
      </c>
      <c r="H62" s="20" t="str">
        <f>[3]!EQS(F62,"Units= ; EqnPrefix=Valem  ; EqnNo= 0; Multiplication= 1; ShowWorking= 1; EqnStyle= 2; Eqp$H$17_2")</f>
        <v/>
      </c>
    </row>
    <row r="63" spans="3:12" x14ac:dyDescent="0.25">
      <c r="E63" s="60"/>
      <c r="F63" s="41"/>
      <c r="G63" s="48"/>
      <c r="I63" s="41"/>
    </row>
    <row r="64" spans="3:12" x14ac:dyDescent="0.25">
      <c r="F64" s="67">
        <f>F62*$F$9*$F$10*$F$11</f>
        <v>70.632000000000005</v>
      </c>
      <c r="H64" s="20" t="str">
        <f>[3]!EQS(F64,"Units= ; EqnPrefix=Valem  ; EqnNo= 0; Multiplication= 1; ShowWorking= 0; EqnStyle= 2; Eqp$H$17_2")</f>
        <v/>
      </c>
    </row>
    <row r="65" spans="3:9" x14ac:dyDescent="0.25">
      <c r="F65" s="41"/>
      <c r="H65" s="13" t="str">
        <f>[3]!EQS(F64,"Units= ; EqnPrefix=Valem  ; EqnNo= 0; Multiplication= 1; ShowWorking= 1; EqnStyle= 2; Eqp$H$17_$H$65_3")</f>
        <v/>
      </c>
    </row>
    <row r="66" spans="3:9" x14ac:dyDescent="0.25">
      <c r="C66" s="24"/>
      <c r="D66" s="24"/>
      <c r="E66" s="18"/>
    </row>
    <row r="69" spans="3:9" x14ac:dyDescent="0.25">
      <c r="E69" s="14"/>
    </row>
    <row r="70" spans="3:9" x14ac:dyDescent="0.25">
      <c r="F70" s="22">
        <v>36</v>
      </c>
    </row>
    <row r="71" spans="3:9" x14ac:dyDescent="0.25">
      <c r="F71" s="22">
        <v>2.01E-2</v>
      </c>
    </row>
    <row r="72" spans="3:9" x14ac:dyDescent="0.25">
      <c r="F72" s="22">
        <v>40.590000000000003</v>
      </c>
    </row>
    <row r="73" spans="3:9" x14ac:dyDescent="0.25">
      <c r="F73" s="22">
        <v>1.4</v>
      </c>
      <c r="G73" s="52"/>
      <c r="I73" s="50"/>
    </row>
    <row r="74" spans="3:9" x14ac:dyDescent="0.25">
      <c r="F74" s="22">
        <v>0.9</v>
      </c>
      <c r="G74" s="52"/>
      <c r="I74" s="50"/>
    </row>
    <row r="75" spans="3:9" x14ac:dyDescent="0.25">
      <c r="E75" s="60"/>
      <c r="G75" s="52"/>
      <c r="I75" s="50"/>
    </row>
    <row r="76" spans="3:9" x14ac:dyDescent="0.25">
      <c r="F76" s="34">
        <f>PI()*F73*F74*F9*(F71+F73*F74*F9)*F10*F11</f>
        <v>11.428248816311019</v>
      </c>
      <c r="H76" s="20" t="str">
        <f>[3]!EQS(F76,"Units= ; EqnPrefix=Valem  ; EqnNo= 0; Multiplication= 1; ShowWorking= 0; EqnStyle= 2; Eqp$H$17_2")</f>
        <v/>
      </c>
    </row>
    <row r="77" spans="3:9" x14ac:dyDescent="0.25">
      <c r="E77" s="20" t="str">
        <f>[3]!EQS(F76,"Units= ; EqnPrefix=Valem  ; EqnNo= 0; Multiplication= 1; ShowWorking= 1; EqnStyle= 2; Eqp$H$17_$H$77_3")</f>
        <v/>
      </c>
      <c r="G77" s="52"/>
      <c r="I77" s="68"/>
    </row>
    <row r="78" spans="3:9" x14ac:dyDescent="0.25">
      <c r="E78" s="60"/>
      <c r="G78" s="52"/>
      <c r="I78" s="50"/>
    </row>
    <row r="79" spans="3:9" x14ac:dyDescent="0.25">
      <c r="E79" s="60"/>
      <c r="G79" s="52"/>
      <c r="I79" s="50"/>
    </row>
    <row r="80" spans="3:9" x14ac:dyDescent="0.25">
      <c r="E80" s="60"/>
      <c r="G80" s="52"/>
      <c r="I80" s="50"/>
    </row>
    <row r="82" spans="3:9" x14ac:dyDescent="0.25">
      <c r="C82" s="49"/>
    </row>
    <row r="84" spans="3:9" x14ac:dyDescent="0.25">
      <c r="F84" s="53">
        <v>1</v>
      </c>
      <c r="H84" s="20"/>
    </row>
    <row r="85" spans="3:9" x14ac:dyDescent="0.25">
      <c r="C85" s="49"/>
      <c r="F85" s="13">
        <v>0.88</v>
      </c>
    </row>
    <row r="86" spans="3:9" x14ac:dyDescent="0.25">
      <c r="F86" s="34">
        <v>10</v>
      </c>
      <c r="H86" s="20"/>
    </row>
    <row r="87" spans="3:9" x14ac:dyDescent="0.25">
      <c r="D87" s="49"/>
      <c r="F87" s="53">
        <v>21.8</v>
      </c>
      <c r="H87" s="20"/>
    </row>
    <row r="88" spans="3:9" x14ac:dyDescent="0.25">
      <c r="F88" s="53">
        <v>0.9</v>
      </c>
      <c r="H88" s="20"/>
    </row>
    <row r="89" spans="3:9" x14ac:dyDescent="0.25">
      <c r="F89" s="53">
        <v>9.81</v>
      </c>
      <c r="H89" s="20"/>
    </row>
    <row r="90" spans="3:9" x14ac:dyDescent="0.25">
      <c r="F90" s="53">
        <f>PI()</f>
        <v>3.1415926535897931</v>
      </c>
      <c r="G90" s="52"/>
      <c r="H90" s="20"/>
      <c r="I90" s="19"/>
    </row>
    <row r="91" spans="3:9" x14ac:dyDescent="0.25">
      <c r="C91" s="69"/>
    </row>
    <row r="92" spans="3:9" x14ac:dyDescent="0.25">
      <c r="F92" s="53">
        <f>F90*F84*F85*F86*(F87+F84*F85*F86)*F88*F89*10^(-3)</f>
        <v>7.4690520878992066</v>
      </c>
      <c r="H92" s="20" t="str">
        <f>[3]!EQS(F92,"Units= ; EqnPrefix=Valem  ; EqnNo= 0; Multiplication= 1; ShowWorking= 0; EqnStyle= 2; Eqp$H$92_2")</f>
        <v/>
      </c>
    </row>
    <row r="93" spans="3:9" x14ac:dyDescent="0.25">
      <c r="E93" s="73"/>
      <c r="F93" s="53"/>
      <c r="H93" s="20" t="str">
        <f>[3]!EQS(F92,"Units= ; EqnPrefix=Valem  ; EqnNo= 0; Multiplication= 1; ShowWorking= 1; EqnStyle= 2; Eqp$H$92_$H$93_3")</f>
        <v/>
      </c>
    </row>
    <row r="94" spans="3:9" x14ac:dyDescent="0.25">
      <c r="C94" s="49"/>
      <c r="F94" s="34">
        <f>2*F92</f>
        <v>14.938104175798413</v>
      </c>
      <c r="H94" s="20" t="str">
        <f>[3]!EQS(F94,"Units= ; EqnPrefix=Valem  ; EqnNo= 0; Multiplication= 1; ShowWorking= 0; EqnStyle= 2; Eqp$H$92_2")</f>
        <v/>
      </c>
    </row>
    <row r="95" spans="3:9" x14ac:dyDescent="0.25">
      <c r="E95" s="51"/>
      <c r="F95" s="53"/>
      <c r="G95" s="52"/>
      <c r="H95" s="20"/>
      <c r="I95" s="19"/>
    </row>
    <row r="96" spans="3:9" x14ac:dyDescent="0.25">
      <c r="E96" s="51"/>
      <c r="F96" s="53"/>
      <c r="G96" s="52"/>
      <c r="H96" s="20"/>
      <c r="I96" s="19"/>
    </row>
    <row r="97" spans="5:14" x14ac:dyDescent="0.25">
      <c r="E97" s="51"/>
      <c r="F97" s="53"/>
      <c r="G97" s="52"/>
      <c r="H97" s="20"/>
      <c r="I97" s="19"/>
    </row>
    <row r="98" spans="5:14" x14ac:dyDescent="0.25">
      <c r="F98" s="53">
        <v>50</v>
      </c>
      <c r="G98" s="52"/>
      <c r="H98" s="20" t="str">
        <f>[3]!EQS(F98,"Units= ; EqnPrefix=Valem  ; EqnNo= 0; Multiplication= 1; ShowWorking= 0; EqnStyle= 2; Eqp$H$92_2")</f>
        <v/>
      </c>
      <c r="I98" s="19"/>
    </row>
    <row r="99" spans="5:14" x14ac:dyDescent="0.25">
      <c r="F99" s="53">
        <v>100</v>
      </c>
      <c r="G99" s="52"/>
      <c r="H99" s="20" t="str">
        <f>[3]!EQS(F99,"Units= ; EqnPrefix=Valem  ; EqnNo= 0; Multiplication= 1; ShowWorking= 0; EqnStyle= 2; Eqp$H$92_2")</f>
        <v/>
      </c>
      <c r="I99" s="19"/>
    </row>
    <row r="100" spans="5:14" x14ac:dyDescent="0.25">
      <c r="F100" s="53">
        <v>400</v>
      </c>
      <c r="H100" s="20" t="str">
        <f>[3]!EQS(F100,"Units= ; EqnPrefix=Valem  ; EqnNo= 0; Multiplication= 1; ShowWorking= 0; EqnStyle= 2; Eqp$H$92_2")</f>
        <v/>
      </c>
      <c r="I100" s="19"/>
    </row>
    <row r="101" spans="5:14" x14ac:dyDescent="0.25">
      <c r="F101" s="53">
        <f>2*PI()*F98*F100/10^6</f>
        <v>0.12566370614359174</v>
      </c>
      <c r="H101" s="20" t="str">
        <f>[3]!EQS(F101,"Units= ; EqnPrefix=Valem  ; EqnNo= 0; Multiplication= 1; ShowWorking= 0; EqnStyle= 2; Eqp$H$92_2")</f>
        <v/>
      </c>
    </row>
    <row r="102" spans="5:14" x14ac:dyDescent="0.25">
      <c r="F102" s="53">
        <f>2*F101</f>
        <v>0.25132741228718347</v>
      </c>
      <c r="G102" s="52"/>
      <c r="H102" s="20" t="str">
        <f>[3]!EQS(F102,"Units= ; EqnPrefix=Valem  ; EqnNo= 0; Multiplication= 1; ShowWorking= 0; EqnStyle= 2; Eqp$H$92_2")</f>
        <v/>
      </c>
    </row>
    <row r="103" spans="5:14" x14ac:dyDescent="0.25">
      <c r="F103" s="53">
        <v>900</v>
      </c>
      <c r="H103" s="20" t="str">
        <f>[3]!EQS(F103,"Units= ; EqnPrefix=Valem  ; EqnNo= 0; Multiplication= 1; ShowWorking= 0; EqnStyle= 2; Eqp$H$92_2")</f>
        <v/>
      </c>
      <c r="I103" s="19"/>
    </row>
    <row r="104" spans="5:14" x14ac:dyDescent="0.25">
      <c r="F104" s="53">
        <f>F103*9.81/1000</f>
        <v>8.8290000000000006</v>
      </c>
      <c r="H104" s="20"/>
      <c r="I104" s="19"/>
    </row>
    <row r="105" spans="5:14" x14ac:dyDescent="0.25">
      <c r="F105" s="66">
        <f>F101*0.1</f>
        <v>1.2566370614359175E-2</v>
      </c>
      <c r="H105" s="20" t="str">
        <f>[3]!EQS(F105,"Units= ; EqnPrefix=Valem  ; EqnNo= 0; Multiplication= 1; ShowWorking= 0; EqnStyle= 2; Eqp$H$92_2")</f>
        <v/>
      </c>
    </row>
    <row r="106" spans="5:14" x14ac:dyDescent="0.25">
      <c r="F106" s="53">
        <f>F105*F104*2</f>
        <v>0.22189697230835434</v>
      </c>
      <c r="H106" s="20" t="str">
        <f>[3]!EQS(F106,"Units= ; EqnPrefix=Valem  ; EqnNo= 0; Multiplication= 1; ShowWorking= 0; EqnStyle= 2; Eqp$H$92_2")</f>
        <v/>
      </c>
    </row>
    <row r="107" spans="5:14" x14ac:dyDescent="0.25">
      <c r="E107" s="71"/>
      <c r="F107" s="53"/>
      <c r="G107" s="52"/>
      <c r="H107" s="20"/>
      <c r="I107" s="19"/>
      <c r="N107" s="70"/>
    </row>
    <row r="109" spans="5:14" x14ac:dyDescent="0.25">
      <c r="E109" s="71"/>
      <c r="F109" s="53"/>
      <c r="G109" s="52"/>
      <c r="H109" s="20"/>
      <c r="I109" s="19"/>
    </row>
    <row r="112" spans="5:14" x14ac:dyDescent="0.25">
      <c r="F112" s="53">
        <v>1.4</v>
      </c>
      <c r="H112" s="20"/>
    </row>
    <row r="113" spans="3:9" x14ac:dyDescent="0.25">
      <c r="C113" s="49"/>
      <c r="F113" s="13">
        <v>0.82</v>
      </c>
    </row>
    <row r="114" spans="3:9" x14ac:dyDescent="0.25">
      <c r="F114" s="34">
        <v>10</v>
      </c>
      <c r="H114" s="20"/>
    </row>
    <row r="115" spans="3:9" x14ac:dyDescent="0.25">
      <c r="D115" s="49"/>
      <c r="F115" s="53">
        <v>27.7</v>
      </c>
      <c r="H115" s="20"/>
    </row>
    <row r="116" spans="3:9" x14ac:dyDescent="0.25">
      <c r="F116" s="53">
        <v>0.9</v>
      </c>
      <c r="H116" s="20"/>
    </row>
    <row r="117" spans="3:9" x14ac:dyDescent="0.25">
      <c r="F117" s="53">
        <v>9.81</v>
      </c>
      <c r="H117" s="20"/>
    </row>
    <row r="118" spans="3:9" x14ac:dyDescent="0.25">
      <c r="F118" s="53">
        <f>PI()</f>
        <v>3.1415926535897931</v>
      </c>
      <c r="G118" s="52"/>
      <c r="H118" s="20"/>
      <c r="I118" s="19"/>
    </row>
    <row r="119" spans="3:9" x14ac:dyDescent="0.25">
      <c r="C119" s="69"/>
    </row>
    <row r="120" spans="3:9" x14ac:dyDescent="0.25">
      <c r="F120" s="53">
        <f>F118*F112*F113*F114*(F115+F112*F113*F114)*F116*F117*10^(-3)</f>
        <v>12.475780043184296</v>
      </c>
      <c r="H120" s="20" t="str">
        <f>[3]!EQS(F120,"Units= ; EqnPrefix=Valem  ; EqnNo= 0; Multiplication= 1; ShowWorking= 0; EqnStyle= 2; Eqp$H$92_2")</f>
        <v/>
      </c>
    </row>
    <row r="121" spans="3:9" x14ac:dyDescent="0.25">
      <c r="E121" s="73"/>
      <c r="F121" s="53"/>
      <c r="H121" s="20" t="str">
        <f>[3]!EQS(F120,"Units= ; EqnPrefix=Valem  ; EqnNo= 0; Multiplication= 1; ShowWorking= 1; EqnStyle= 2; Eqp$H$92_$H$121_3")</f>
        <v/>
      </c>
    </row>
    <row r="122" spans="3:9" x14ac:dyDescent="0.25">
      <c r="C122" s="49"/>
      <c r="F122" s="34">
        <f>3*F120</f>
        <v>37.427340129552888</v>
      </c>
      <c r="H122" s="20" t="str">
        <f>[3]!EQS(F122,"Units= ; EqnPrefix=Valem  ; EqnNo= 0; Multiplication= 1; ShowWorking= 0; EqnStyle= 2; Eqp$H$92_2")</f>
        <v/>
      </c>
    </row>
    <row r="123" spans="3:9" x14ac:dyDescent="0.25">
      <c r="E123" s="60"/>
      <c r="F123" s="61"/>
      <c r="H123" s="20"/>
      <c r="I123" s="19"/>
    </row>
    <row r="126" spans="3:9" x14ac:dyDescent="0.25">
      <c r="F126" s="53">
        <v>1.5</v>
      </c>
      <c r="H126" s="20"/>
    </row>
    <row r="127" spans="3:9" x14ac:dyDescent="0.25">
      <c r="C127" s="49"/>
      <c r="F127" s="13">
        <v>0.96</v>
      </c>
    </row>
    <row r="128" spans="3:9" x14ac:dyDescent="0.25">
      <c r="F128" s="76">
        <v>10</v>
      </c>
      <c r="H128" s="20"/>
    </row>
    <row r="129" spans="3:9" x14ac:dyDescent="0.25">
      <c r="D129" s="49"/>
      <c r="F129" s="77">
        <v>16</v>
      </c>
      <c r="H129" s="20"/>
    </row>
    <row r="130" spans="3:9" x14ac:dyDescent="0.25">
      <c r="F130" s="53">
        <v>0.9</v>
      </c>
      <c r="H130" s="20"/>
    </row>
    <row r="131" spans="3:9" x14ac:dyDescent="0.25">
      <c r="F131" s="53">
        <v>9.81</v>
      </c>
      <c r="H131" s="20"/>
    </row>
    <row r="132" spans="3:9" x14ac:dyDescent="0.25">
      <c r="F132" s="53">
        <f>PI()</f>
        <v>3.1415926535897931</v>
      </c>
      <c r="G132" s="52"/>
      <c r="H132" s="20"/>
      <c r="I132" s="19"/>
    </row>
    <row r="133" spans="3:9" x14ac:dyDescent="0.25">
      <c r="C133" s="69"/>
    </row>
    <row r="134" spans="3:9" x14ac:dyDescent="0.25">
      <c r="F134" s="53">
        <f>F132*F126*F127*F128*(F129+F126*F127*F128)*F130*F131*10^(-3)</f>
        <v>12.142202324713148</v>
      </c>
      <c r="H134" s="20" t="str">
        <f>[3]!EQS(F134,"Units= ; EqnPrefix=Valem  ; EqnNo= 0; Multiplication= 1; ShowWorking= 0; EqnStyle= 2; Eqp$H$92_2")</f>
        <v/>
      </c>
    </row>
    <row r="135" spans="3:9" x14ac:dyDescent="0.25">
      <c r="C135" s="49"/>
      <c r="E135" s="74"/>
      <c r="F135" s="34"/>
      <c r="G135" s="75"/>
      <c r="H135" s="20" t="str">
        <f>[3]!EQS(F134,"Units= ; EqnPrefix=Valem  ; EqnNo= 0; Multiplication= 1; ShowWorking= 1; EqnStyle= 2; Eqp$H$92_$H$133_3")</f>
        <v/>
      </c>
    </row>
    <row r="136" spans="3:9" x14ac:dyDescent="0.25">
      <c r="E136" s="51"/>
      <c r="F136" s="53"/>
      <c r="G136" s="52"/>
      <c r="H136" s="20"/>
      <c r="I136" s="19"/>
    </row>
    <row r="138" spans="3:9" x14ac:dyDescent="0.25">
      <c r="C138" s="49"/>
    </row>
    <row r="139" spans="3:9" x14ac:dyDescent="0.25">
      <c r="E139" s="60"/>
      <c r="F139" s="53"/>
      <c r="G139" s="52"/>
    </row>
    <row r="141" spans="3:9" x14ac:dyDescent="0.25">
      <c r="C141" s="49"/>
    </row>
    <row r="142" spans="3:9" x14ac:dyDescent="0.25">
      <c r="E142" s="60"/>
      <c r="F142" s="53"/>
      <c r="H142" s="20"/>
      <c r="I142" s="19"/>
    </row>
    <row r="143" spans="3:9" x14ac:dyDescent="0.25">
      <c r="C143" s="49"/>
    </row>
    <row r="144" spans="3:9" x14ac:dyDescent="0.25">
      <c r="E144" s="60"/>
      <c r="F144" s="34"/>
      <c r="G144" s="52"/>
      <c r="H144" s="20"/>
      <c r="I144" s="19"/>
    </row>
    <row r="145" spans="3:9" x14ac:dyDescent="0.25">
      <c r="D145" s="49"/>
      <c r="E145" s="51"/>
      <c r="F145" s="53"/>
      <c r="G145" s="52"/>
      <c r="H145" s="20"/>
      <c r="I145" s="19"/>
    </row>
    <row r="146" spans="3:9" x14ac:dyDescent="0.25">
      <c r="E146" s="60"/>
      <c r="F146" s="53"/>
      <c r="G146" s="52"/>
      <c r="H146" s="20"/>
      <c r="I146" s="19"/>
    </row>
    <row r="147" spans="3:9" x14ac:dyDescent="0.25">
      <c r="E147" s="60"/>
      <c r="F147" s="53"/>
      <c r="G147" s="52"/>
      <c r="H147" s="20"/>
      <c r="I147" s="19"/>
    </row>
    <row r="148" spans="3:9" x14ac:dyDescent="0.25">
      <c r="C148" s="49"/>
    </row>
    <row r="149" spans="3:9" x14ac:dyDescent="0.25">
      <c r="E149" s="60"/>
      <c r="F149" s="53"/>
      <c r="H149" s="20"/>
      <c r="I149" s="19"/>
    </row>
    <row r="150" spans="3:9" x14ac:dyDescent="0.25">
      <c r="C150" s="49"/>
    </row>
    <row r="151" spans="3:9" x14ac:dyDescent="0.25">
      <c r="E151" s="60"/>
      <c r="F151" s="34"/>
      <c r="G151" s="52"/>
      <c r="H151" s="20"/>
      <c r="I151" s="19"/>
    </row>
    <row r="152" spans="3:9" x14ac:dyDescent="0.25">
      <c r="D152" s="49"/>
      <c r="E152" s="51"/>
      <c r="F152" s="53"/>
      <c r="G152" s="52"/>
      <c r="H152" s="20"/>
      <c r="I152" s="19"/>
    </row>
    <row r="153" spans="3:9" x14ac:dyDescent="0.25">
      <c r="E153" s="60"/>
      <c r="F153" s="53"/>
      <c r="G153" s="52"/>
      <c r="H153" s="20"/>
      <c r="I153" s="19"/>
    </row>
    <row r="154" spans="3:9" x14ac:dyDescent="0.25">
      <c r="E154" s="60"/>
      <c r="F154" s="53"/>
      <c r="G154" s="52"/>
      <c r="H154" s="20"/>
      <c r="I154" s="19"/>
    </row>
    <row r="155" spans="3:9" x14ac:dyDescent="0.25">
      <c r="E155" s="51"/>
      <c r="F155" s="53"/>
      <c r="G155" s="52"/>
      <c r="H155" s="20"/>
      <c r="I155" s="19"/>
    </row>
  </sheetData>
  <mergeCells count="1">
    <mergeCell ref="A2:R2"/>
  </mergeCells>
  <pageMargins left="0.7" right="0.48958333333333331" top="0.75" bottom="0.75" header="0.3" footer="0.3"/>
  <pageSetup paperSize="9" orientation="portrait" horizontalDpi="300" verticalDpi="300" r:id="rId1"/>
  <customProperties>
    <customPr name="SSCSheetTrackingNo" r:id="rId2"/>
  </customProperties>
  <cellWatches>
    <cellWatch r="F92"/>
  </cellWatch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4:Q361"/>
  <sheetViews>
    <sheetView workbookViewId="0">
      <selection activeCell="A31" sqref="A31"/>
    </sheetView>
  </sheetViews>
  <sheetFormatPr defaultColWidth="5.5" defaultRowHeight="16.5" customHeight="1" outlineLevelRow="1" x14ac:dyDescent="0.3"/>
  <cols>
    <col min="1" max="1" width="2.875" style="88" customWidth="1"/>
    <col min="2" max="2" width="2.875" style="87" customWidth="1"/>
    <col min="3" max="3" width="2.875" customWidth="1"/>
    <col min="6" max="6" width="8" customWidth="1"/>
    <col min="8" max="8" width="1.75" customWidth="1"/>
  </cols>
  <sheetData>
    <row r="24" spans="1:10" s="13" customFormat="1" ht="20.25" x14ac:dyDescent="0.3">
      <c r="A24" s="89"/>
      <c r="C24" s="23"/>
      <c r="D24" s="23"/>
      <c r="E24" s="51"/>
      <c r="F24" s="53"/>
      <c r="G24" s="52"/>
      <c r="H24" s="20"/>
      <c r="I24" s="19"/>
    </row>
    <row r="25" spans="1:10" s="13" customFormat="1" ht="20.25" x14ac:dyDescent="0.3">
      <c r="A25" s="89"/>
      <c r="B25" s="54"/>
      <c r="D25" s="23"/>
      <c r="E25" s="51"/>
      <c r="F25" s="53"/>
      <c r="G25" s="52"/>
      <c r="H25" s="20"/>
      <c r="I25" s="19"/>
    </row>
    <row r="26" spans="1:10" s="13" customFormat="1" ht="20.25" x14ac:dyDescent="0.3">
      <c r="A26" s="89"/>
      <c r="B26" s="54"/>
      <c r="C26" s="69"/>
      <c r="E26" s="51"/>
      <c r="F26" s="53"/>
      <c r="G26" s="52"/>
      <c r="H26" s="20"/>
      <c r="I26" s="19"/>
    </row>
    <row r="27" spans="1:10" s="13" customFormat="1" ht="20.25" x14ac:dyDescent="0.3">
      <c r="A27" s="89"/>
      <c r="B27" s="54"/>
      <c r="C27" s="69"/>
      <c r="D27" s="23"/>
      <c r="F27" s="84">
        <f>Jäitekoormus!F92</f>
        <v>7.4690520878992066</v>
      </c>
      <c r="H27" s="20"/>
    </row>
    <row r="28" spans="1:10" s="13" customFormat="1" ht="20.25" x14ac:dyDescent="0.3">
      <c r="A28" s="89"/>
      <c r="B28" s="54"/>
      <c r="C28" s="69"/>
      <c r="D28" s="23"/>
      <c r="F28" s="85">
        <v>2.18E-2</v>
      </c>
      <c r="H28" s="20"/>
    </row>
    <row r="29" spans="1:10" s="13" customFormat="1" ht="20.25" x14ac:dyDescent="0.3">
      <c r="A29" s="89"/>
      <c r="B29" s="54"/>
      <c r="C29" s="69"/>
      <c r="D29" s="23"/>
      <c r="F29" s="53">
        <v>9.81</v>
      </c>
      <c r="H29" s="20"/>
    </row>
    <row r="30" spans="1:10" s="13" customFormat="1" ht="20.25" x14ac:dyDescent="0.3">
      <c r="A30" s="89"/>
      <c r="B30" s="54"/>
      <c r="C30" s="69"/>
      <c r="D30" s="23"/>
      <c r="F30" s="13">
        <v>3.1415999999999999</v>
      </c>
      <c r="G30" s="44"/>
    </row>
    <row r="31" spans="1:10" s="13" customFormat="1" ht="20.25" x14ac:dyDescent="0.3">
      <c r="A31" s="89"/>
      <c r="B31" s="54"/>
      <c r="C31" s="69"/>
      <c r="D31" s="23"/>
      <c r="F31" s="53">
        <v>900</v>
      </c>
      <c r="H31" s="20"/>
      <c r="I31" s="19"/>
    </row>
    <row r="32" spans="1:10" s="13" customFormat="1" ht="20.25" x14ac:dyDescent="0.3">
      <c r="A32" s="89"/>
      <c r="B32" s="54"/>
      <c r="C32" s="69"/>
      <c r="D32" s="23"/>
      <c r="F32" s="84">
        <f>'TUULEKOORMUS 1'!F279*'TUULEKOORMUS 1'!F282*'TUULEKOORMUS 1'!F287*1.2</f>
        <v>720.05845652879236</v>
      </c>
      <c r="H32" s="20"/>
      <c r="I32" s="19"/>
    </row>
    <row r="33" spans="1:9" s="13" customFormat="1" ht="20.25" x14ac:dyDescent="0.3">
      <c r="A33" s="89"/>
      <c r="B33" s="54"/>
      <c r="C33" s="69"/>
      <c r="D33" s="23"/>
      <c r="F33" s="84">
        <v>2</v>
      </c>
      <c r="G33" s="72"/>
      <c r="H33" s="20"/>
      <c r="I33" s="19"/>
    </row>
    <row r="34" spans="1:9" s="13" customFormat="1" ht="20.25" x14ac:dyDescent="0.3">
      <c r="A34" s="89"/>
      <c r="B34" s="54"/>
      <c r="C34" s="69"/>
      <c r="D34" s="23"/>
      <c r="E34" s="51"/>
      <c r="G34" s="52"/>
      <c r="H34" s="20"/>
      <c r="I34" s="19"/>
    </row>
    <row r="35" spans="1:9" s="13" customFormat="1" ht="20.25" x14ac:dyDescent="0.3">
      <c r="A35" s="89"/>
      <c r="B35" s="54"/>
      <c r="C35" s="23"/>
      <c r="E35" s="51"/>
      <c r="F35" s="53"/>
      <c r="G35" s="52"/>
      <c r="H35" s="20"/>
      <c r="I35" s="19"/>
    </row>
    <row r="36" spans="1:9" s="13" customFormat="1" ht="20.25" x14ac:dyDescent="0.3">
      <c r="A36" s="89"/>
      <c r="B36" s="54"/>
      <c r="C36" s="23"/>
      <c r="D36" s="69"/>
      <c r="F36" s="53">
        <f>1.5</f>
        <v>1.5</v>
      </c>
      <c r="G36" s="52"/>
      <c r="H36" s="20"/>
      <c r="I36" s="19"/>
    </row>
    <row r="37" spans="1:9" s="13" customFormat="1" ht="20.25" x14ac:dyDescent="0.3">
      <c r="A37" s="89"/>
      <c r="B37" s="54"/>
      <c r="C37" s="23"/>
      <c r="D37" s="23"/>
      <c r="F37" s="53">
        <f>F36*F27</f>
        <v>11.203578131848809</v>
      </c>
      <c r="H37" s="20"/>
      <c r="I37" s="19"/>
    </row>
    <row r="38" spans="1:9" s="13" customFormat="1" ht="20.25" x14ac:dyDescent="0.3">
      <c r="A38" s="89"/>
      <c r="B38" s="54"/>
      <c r="C38" s="23"/>
      <c r="E38" s="71"/>
      <c r="F38" s="53"/>
      <c r="G38" s="72"/>
      <c r="H38" s="20"/>
      <c r="I38" s="19"/>
    </row>
    <row r="39" spans="1:9" s="13" customFormat="1" ht="20.25" x14ac:dyDescent="0.3">
      <c r="A39" s="89"/>
      <c r="B39" s="54"/>
      <c r="C39" s="23"/>
      <c r="D39" s="23"/>
      <c r="F39" s="66">
        <f>SQRT(F28^2+((4*F37)/(F29*F30*F31)))</f>
        <v>4.572653739182729E-2</v>
      </c>
      <c r="H39" s="20" t="str">
        <f>[3]!EQS(F39,"Units= ; EqnPrefix=Valem  ; EqnNo= 0; Multiplication= 1; ShowWorking= 0; EqnStyle= 2; Eqp$H$303_2")</f>
        <v/>
      </c>
    </row>
    <row r="40" spans="1:9" s="13" customFormat="1" ht="20.25" x14ac:dyDescent="0.3">
      <c r="A40" s="89"/>
      <c r="B40" s="54"/>
      <c r="C40" s="23"/>
      <c r="D40" s="23"/>
      <c r="E40" s="71"/>
      <c r="F40" s="66"/>
      <c r="G40" s="72"/>
      <c r="H40" s="20" t="str">
        <f>[3]!EQS(F39,"Units= ; EqnPrefix=Valem  ; EqnNo= 0; Multiplication= 1; ShowWorking= 1; EqnStyle= 2; Eqp$H$303_$H$40_3")</f>
        <v/>
      </c>
    </row>
    <row r="41" spans="1:9" s="13" customFormat="1" ht="20.25" x14ac:dyDescent="0.3">
      <c r="A41" s="89"/>
      <c r="B41" s="54"/>
      <c r="C41" s="23"/>
      <c r="E41" s="71"/>
      <c r="F41" s="66"/>
      <c r="G41" s="72"/>
      <c r="H41" s="20"/>
      <c r="I41" s="19"/>
    </row>
    <row r="42" spans="1:9" s="13" customFormat="1" ht="20.25" x14ac:dyDescent="0.3">
      <c r="A42" s="89"/>
      <c r="B42" s="54"/>
      <c r="C42" s="23"/>
      <c r="D42" s="23"/>
      <c r="F42" s="53">
        <f>F32*F39</f>
        <v>32.925779936765267</v>
      </c>
      <c r="H42" s="20" t="str">
        <f>[3]!EQS(F42,"Units= ; EqnPrefix=Valem  ; EqnNo= 0; Multiplication= 1; ShowWorking= 0; EqnStyle= 2; Eqp$H$303_2")</f>
        <v/>
      </c>
    </row>
    <row r="43" spans="1:9" s="13" customFormat="1" ht="20.25" x14ac:dyDescent="0.3">
      <c r="A43" s="89"/>
      <c r="B43" s="54"/>
      <c r="C43" s="23"/>
      <c r="F43" s="53"/>
      <c r="G43" s="72"/>
      <c r="H43" s="20"/>
      <c r="I43" s="19"/>
    </row>
    <row r="44" spans="1:9" s="13" customFormat="1" ht="20.25" x14ac:dyDescent="0.3">
      <c r="A44" s="89"/>
      <c r="B44" s="54"/>
      <c r="C44" s="23"/>
      <c r="D44" s="23"/>
      <c r="F44" s="53">
        <f>F42*F33</f>
        <v>65.851559873530533</v>
      </c>
      <c r="H44" s="20" t="str">
        <f>[3]!EQS(F44,"Units= ; EqnPrefix=Valem  ; EqnNo= 0; Multiplication= 1; ShowWorking= 0; EqnStyle= 2; Eqp$H$303_2")</f>
        <v/>
      </c>
    </row>
    <row r="45" spans="1:9" s="13" customFormat="1" ht="20.25" x14ac:dyDescent="0.3">
      <c r="A45" s="89"/>
      <c r="B45" s="54"/>
      <c r="C45" s="23"/>
      <c r="D45" s="23"/>
      <c r="F45" s="84">
        <f>COS(RADIANS(0))^2</f>
        <v>1</v>
      </c>
      <c r="G45" s="52"/>
      <c r="H45" s="20"/>
      <c r="I45" s="70"/>
    </row>
    <row r="46" spans="1:9" s="13" customFormat="1" ht="20.25" x14ac:dyDescent="0.3">
      <c r="A46" s="89"/>
      <c r="B46" s="54"/>
      <c r="C46" s="24"/>
      <c r="D46" s="24"/>
      <c r="F46" s="34">
        <f>F44*F45</f>
        <v>65.851559873530533</v>
      </c>
      <c r="G46" s="52"/>
      <c r="H46" s="20"/>
      <c r="I46" s="70"/>
    </row>
    <row r="47" spans="1:9" s="13" customFormat="1" ht="20.25" x14ac:dyDescent="0.3">
      <c r="A47" s="89"/>
      <c r="B47" s="54"/>
      <c r="C47" s="23"/>
      <c r="D47" s="23"/>
      <c r="F47" s="84">
        <f>COS(RADIANS(8))^2</f>
        <v>0.98063084796915956</v>
      </c>
      <c r="G47" s="52"/>
      <c r="H47" s="20"/>
      <c r="I47" s="70"/>
    </row>
    <row r="48" spans="1:9" s="13" customFormat="1" ht="20.25" x14ac:dyDescent="0.3">
      <c r="A48" s="89"/>
      <c r="B48" s="54"/>
      <c r="C48" s="23"/>
      <c r="D48" s="23"/>
      <c r="F48" s="34">
        <f>F47*F44</f>
        <v>64.576070998872126</v>
      </c>
      <c r="G48" s="52"/>
      <c r="H48" s="20"/>
      <c r="I48" s="70"/>
    </row>
    <row r="49" spans="1:9" s="13" customFormat="1" ht="20.25" x14ac:dyDescent="0.3">
      <c r="A49" s="89"/>
      <c r="B49" s="54"/>
      <c r="C49" s="23"/>
      <c r="D49" s="23"/>
      <c r="E49" s="71"/>
      <c r="F49" s="53"/>
      <c r="G49" s="52"/>
      <c r="H49" s="20"/>
      <c r="I49" s="70"/>
    </row>
    <row r="50" spans="1:9" s="13" customFormat="1" ht="20.25" x14ac:dyDescent="0.3">
      <c r="A50" s="89"/>
      <c r="B50" s="54"/>
      <c r="C50" s="23"/>
      <c r="D50" s="23"/>
      <c r="E50" s="51"/>
      <c r="F50" s="53"/>
      <c r="G50" s="52"/>
      <c r="H50" s="20"/>
      <c r="I50" s="19"/>
    </row>
    <row r="51" spans="1:9" s="13" customFormat="1" ht="20.25" x14ac:dyDescent="0.3">
      <c r="A51" s="89"/>
      <c r="B51" s="54"/>
      <c r="C51" s="23"/>
      <c r="E51" s="51"/>
      <c r="F51" s="53"/>
      <c r="G51" s="52"/>
      <c r="H51" s="20"/>
      <c r="I51" s="19"/>
    </row>
    <row r="52" spans="1:9" s="13" customFormat="1" ht="20.25" x14ac:dyDescent="0.3">
      <c r="A52" s="89"/>
      <c r="B52" s="54"/>
      <c r="C52" s="23"/>
      <c r="D52" s="69"/>
      <c r="F52" s="53">
        <v>0.35</v>
      </c>
      <c r="G52" s="52"/>
      <c r="H52" s="20"/>
      <c r="I52" s="19"/>
    </row>
    <row r="53" spans="1:9" s="13" customFormat="1" ht="20.25" x14ac:dyDescent="0.3">
      <c r="A53" s="89"/>
      <c r="B53" s="54"/>
      <c r="C53" s="23"/>
      <c r="D53" s="69"/>
      <c r="F53" s="53">
        <f>F52*F27</f>
        <v>2.6141682307647223</v>
      </c>
      <c r="H53" s="20" t="str">
        <f>[3]!EQS(F53,"Units= ; EqnPrefix=Valem  ; EqnNo= 0; Multiplication= 1; ShowWorking= 0; EqnStyle= 2; Eqp$H$53_2")</f>
        <v/>
      </c>
    </row>
    <row r="54" spans="1:9" s="13" customFormat="1" ht="20.25" x14ac:dyDescent="0.3">
      <c r="A54" s="89"/>
      <c r="B54" s="54"/>
      <c r="C54" s="23"/>
      <c r="D54" s="69"/>
      <c r="F54" s="66">
        <f>SQRT(F28^2+(4*F53)/(F29*F30*F31))</f>
        <v>2.9192997763689416E-2</v>
      </c>
      <c r="H54" s="20" t="str">
        <f>[3]!EQS(F54,"Units= ; EqnPrefix=Valem  ; EqnNo= 0; Multiplication= 1; ShowWorking= 0; EqnStyle= 2; Eqp$H$53_2")</f>
        <v/>
      </c>
    </row>
    <row r="55" spans="1:9" s="13" customFormat="1" ht="20.25" x14ac:dyDescent="0.3">
      <c r="A55" s="89"/>
      <c r="B55" s="54"/>
      <c r="C55" s="23"/>
      <c r="E55" s="71"/>
      <c r="F55" s="66"/>
      <c r="G55" s="72"/>
      <c r="H55" s="20"/>
      <c r="I55" s="19"/>
    </row>
    <row r="56" spans="1:9" s="13" customFormat="1" ht="20.25" x14ac:dyDescent="0.3">
      <c r="A56" s="89"/>
      <c r="B56" s="54"/>
      <c r="C56" s="23"/>
      <c r="D56" s="23"/>
      <c r="F56" s="53">
        <f>F32*F54</f>
        <v>21.020664911170687</v>
      </c>
      <c r="H56" s="20" t="str">
        <f>[3]!EQS(F56,"Units= ; EqnPrefix=Valem  ; EqnNo= 0; Multiplication= 1; ShowWorking= 0; EqnStyle= 2; Eqp$H$303_2")</f>
        <v/>
      </c>
    </row>
    <row r="57" spans="1:9" s="13" customFormat="1" ht="20.25" x14ac:dyDescent="0.3">
      <c r="A57" s="89"/>
      <c r="B57" s="54"/>
      <c r="C57" s="23"/>
      <c r="F57" s="53"/>
      <c r="G57" s="72"/>
      <c r="H57" s="20"/>
      <c r="I57" s="19"/>
    </row>
    <row r="58" spans="1:9" s="13" customFormat="1" ht="20.25" x14ac:dyDescent="0.3">
      <c r="A58" s="89"/>
      <c r="B58" s="54"/>
      <c r="C58" s="23"/>
      <c r="D58" s="23"/>
      <c r="F58" s="53">
        <f>F56*F33</f>
        <v>42.041329822341375</v>
      </c>
      <c r="H58" s="20" t="str">
        <f>[3]!EQS(F58,"Units= ; EqnPrefix=Valem  ; EqnNo= 0; Multiplication= 1; ShowWorking= 0; EqnStyle= 2; Eqp$H$303_2")</f>
        <v/>
      </c>
    </row>
    <row r="59" spans="1:9" s="13" customFormat="1" ht="20.25" x14ac:dyDescent="0.3">
      <c r="A59" s="89"/>
      <c r="B59" s="54"/>
      <c r="C59" s="23"/>
      <c r="D59" s="23"/>
      <c r="F59" s="84">
        <f>COS(RADIANS(0))^2</f>
        <v>1</v>
      </c>
      <c r="G59" s="72"/>
      <c r="H59" s="20"/>
      <c r="I59" s="70"/>
    </row>
    <row r="60" spans="1:9" s="13" customFormat="1" ht="20.25" x14ac:dyDescent="0.3">
      <c r="A60" s="89"/>
      <c r="B60" s="54"/>
      <c r="C60" s="23"/>
      <c r="D60" s="23"/>
      <c r="F60" s="34">
        <f>F58*F59</f>
        <v>42.041329822341375</v>
      </c>
      <c r="H60" s="20"/>
      <c r="I60" s="70"/>
    </row>
    <row r="61" spans="1:9" s="13" customFormat="1" ht="20.25" x14ac:dyDescent="0.3">
      <c r="A61" s="89"/>
      <c r="B61" s="54"/>
      <c r="C61" s="23"/>
      <c r="D61" s="23"/>
      <c r="F61" s="84">
        <f>COS(RADIANS(8))^2</f>
        <v>0.98063084796915956</v>
      </c>
      <c r="G61" s="72"/>
      <c r="H61" s="20"/>
      <c r="I61" s="70"/>
    </row>
    <row r="62" spans="1:9" s="13" customFormat="1" ht="20.25" x14ac:dyDescent="0.3">
      <c r="A62" s="89"/>
      <c r="B62" s="54"/>
      <c r="C62" s="23"/>
      <c r="D62" s="23"/>
      <c r="F62" s="34">
        <f>F61*F58</f>
        <v>41.227024913433738</v>
      </c>
      <c r="H62" s="20"/>
      <c r="I62" s="70"/>
    </row>
    <row r="63" spans="1:9" s="13" customFormat="1" ht="20.25" x14ac:dyDescent="0.3">
      <c r="A63" s="89"/>
      <c r="B63" s="54"/>
      <c r="C63" s="23"/>
      <c r="D63" s="69"/>
      <c r="E63" s="71"/>
      <c r="F63" s="53"/>
      <c r="G63" s="52"/>
      <c r="H63" s="20"/>
      <c r="I63" s="19"/>
    </row>
    <row r="64" spans="1:9" s="13" customFormat="1" ht="20.25" x14ac:dyDescent="0.3">
      <c r="A64" s="89"/>
      <c r="C64" s="23"/>
      <c r="D64" s="23"/>
      <c r="E64" s="51"/>
      <c r="F64" s="53"/>
      <c r="G64" s="52"/>
      <c r="H64" s="20"/>
      <c r="I64" s="19"/>
    </row>
    <row r="65" spans="1:10" s="13" customFormat="1" ht="20.25" x14ac:dyDescent="0.3">
      <c r="A65" s="89"/>
      <c r="B65" s="54"/>
      <c r="D65" s="23"/>
      <c r="E65" s="51"/>
      <c r="F65" s="53"/>
      <c r="G65" s="52"/>
      <c r="H65" s="20"/>
      <c r="I65" s="19"/>
    </row>
    <row r="66" spans="1:10" s="13" customFormat="1" ht="20.25" x14ac:dyDescent="0.3">
      <c r="A66" s="89"/>
      <c r="B66" s="54"/>
      <c r="C66" s="69"/>
      <c r="E66" s="51"/>
      <c r="F66" s="53"/>
      <c r="G66" s="52"/>
      <c r="H66" s="20"/>
      <c r="I66" s="19"/>
    </row>
    <row r="67" spans="1:10" s="13" customFormat="1" ht="20.25" x14ac:dyDescent="0.3">
      <c r="A67" s="89"/>
      <c r="B67" s="54"/>
      <c r="C67" s="69"/>
      <c r="D67" s="23"/>
      <c r="F67" s="84">
        <f>Jäitekoormus!F120</f>
        <v>12.475780043184296</v>
      </c>
      <c r="H67" s="20"/>
    </row>
    <row r="68" spans="1:10" s="13" customFormat="1" ht="20.25" x14ac:dyDescent="0.3">
      <c r="A68" s="89"/>
      <c r="B68" s="54"/>
      <c r="C68" s="69"/>
      <c r="D68" s="23"/>
      <c r="F68" s="85">
        <f>Jäitekoormus!F115/1000</f>
        <v>2.7699999999999999E-2</v>
      </c>
      <c r="H68" s="20"/>
    </row>
    <row r="69" spans="1:10" s="13" customFormat="1" ht="20.25" x14ac:dyDescent="0.3">
      <c r="A69" s="89"/>
      <c r="B69" s="54"/>
      <c r="C69" s="69"/>
      <c r="D69" s="23"/>
      <c r="F69" s="53">
        <v>9.81</v>
      </c>
      <c r="H69" s="20"/>
    </row>
    <row r="70" spans="1:10" s="13" customFormat="1" ht="20.25" x14ac:dyDescent="0.3">
      <c r="A70" s="89"/>
      <c r="B70" s="54"/>
      <c r="C70" s="69"/>
      <c r="D70" s="23"/>
      <c r="F70" s="13">
        <v>3.1415999999999999</v>
      </c>
      <c r="G70" s="44"/>
    </row>
    <row r="71" spans="1:10" s="13" customFormat="1" ht="20.25" x14ac:dyDescent="0.3">
      <c r="A71" s="89"/>
      <c r="B71" s="54"/>
      <c r="C71" s="69"/>
      <c r="D71" s="23"/>
      <c r="F71" s="53">
        <v>900</v>
      </c>
      <c r="H71" s="20"/>
      <c r="I71" s="19"/>
    </row>
    <row r="72" spans="1:10" s="13" customFormat="1" ht="20.25" x14ac:dyDescent="0.3">
      <c r="A72" s="89"/>
      <c r="B72" s="54"/>
      <c r="C72" s="69"/>
      <c r="D72" s="23"/>
      <c r="F72" s="84">
        <f>'TUULEKOORMUS 1'!F334*'TUULEKOORMUS 1'!F337*'TUULEKOORMUS 1'!F342*1.2</f>
        <v>750.63642571246237</v>
      </c>
      <c r="H72" s="20"/>
      <c r="I72" s="19"/>
    </row>
    <row r="73" spans="1:10" s="13" customFormat="1" ht="20.25" x14ac:dyDescent="0.3">
      <c r="A73" s="89"/>
      <c r="B73" s="54"/>
      <c r="C73" s="69"/>
      <c r="D73" s="23"/>
      <c r="F73" s="86">
        <v>3</v>
      </c>
      <c r="G73" s="72"/>
      <c r="H73" s="20"/>
      <c r="I73" s="19"/>
    </row>
    <row r="74" spans="1:10" s="13" customFormat="1" ht="20.25" x14ac:dyDescent="0.3">
      <c r="A74" s="89"/>
      <c r="B74" s="54"/>
      <c r="C74" s="69"/>
      <c r="D74" s="23"/>
      <c r="E74" s="51"/>
      <c r="G74" s="52"/>
      <c r="H74" s="20"/>
      <c r="I74" s="19"/>
    </row>
    <row r="75" spans="1:10" s="13" customFormat="1" ht="20.25" x14ac:dyDescent="0.3">
      <c r="A75" s="89"/>
      <c r="B75" s="54"/>
      <c r="C75" s="23"/>
      <c r="E75" s="51"/>
      <c r="F75" s="53"/>
      <c r="G75" s="52"/>
      <c r="H75" s="20"/>
      <c r="I75" s="19"/>
    </row>
    <row r="76" spans="1:10" s="13" customFormat="1" ht="20.25" x14ac:dyDescent="0.3">
      <c r="A76" s="89"/>
      <c r="B76" s="54"/>
      <c r="C76" s="23"/>
      <c r="D76" s="69"/>
      <c r="F76" s="53">
        <f>1.5</f>
        <v>1.5</v>
      </c>
      <c r="G76" s="52"/>
      <c r="H76" s="20"/>
      <c r="I76" s="19"/>
    </row>
    <row r="77" spans="1:10" s="13" customFormat="1" ht="20.25" x14ac:dyDescent="0.3">
      <c r="A77" s="89"/>
      <c r="B77" s="54"/>
      <c r="C77" s="23"/>
      <c r="D77" s="23"/>
      <c r="F77" s="53">
        <f>F76*F67</f>
        <v>18.713670064776444</v>
      </c>
      <c r="H77" s="20"/>
      <c r="I77" s="19"/>
    </row>
    <row r="78" spans="1:10" s="13" customFormat="1" ht="20.25" x14ac:dyDescent="0.3">
      <c r="A78" s="89"/>
      <c r="B78" s="54"/>
      <c r="C78" s="23"/>
      <c r="E78" s="71"/>
      <c r="F78" s="53"/>
      <c r="G78" s="72"/>
      <c r="H78" s="20"/>
      <c r="I78" s="19"/>
    </row>
    <row r="79" spans="1:10" s="13" customFormat="1" ht="20.25" x14ac:dyDescent="0.3">
      <c r="A79" s="89"/>
      <c r="B79" s="54"/>
      <c r="C79" s="23"/>
      <c r="D79" s="23"/>
      <c r="F79" s="66">
        <f>SQRT(F68^2+((4*F77)/(F69*F70*F71)))</f>
        <v>5.8872761861808419E-2</v>
      </c>
      <c r="H79" s="20" t="str">
        <f>[3]!EQS(F79,"Units= ; EqnPrefix=Valem  ; EqnNo= 0; Multiplication= 1; ShowWorking= 0; EqnStyle= 2; Eqp$H$303_2")</f>
        <v/>
      </c>
    </row>
    <row r="80" spans="1:10" s="13" customFormat="1" ht="20.25" x14ac:dyDescent="0.3">
      <c r="A80" s="89"/>
      <c r="B80" s="54"/>
      <c r="C80" s="23"/>
      <c r="E80" s="71"/>
      <c r="F80" s="66"/>
      <c r="G80" s="72"/>
      <c r="H80" s="20"/>
      <c r="I80" s="19"/>
    </row>
    <row r="81" spans="1:9" s="13" customFormat="1" ht="20.25" x14ac:dyDescent="0.3">
      <c r="A81" s="89"/>
      <c r="B81" s="54"/>
      <c r="C81" s="23"/>
      <c r="D81" s="23"/>
      <c r="F81" s="53">
        <f>F72*F79</f>
        <v>44.192039535768842</v>
      </c>
      <c r="H81" s="20" t="str">
        <f>[3]!EQS(F81,"Units= ; EqnPrefix=Valem  ; EqnNo= 0; Multiplication= 1; ShowWorking= 0; EqnStyle= 2; Eqp$H$303_2")</f>
        <v/>
      </c>
    </row>
    <row r="82" spans="1:9" s="13" customFormat="1" ht="20.25" x14ac:dyDescent="0.3">
      <c r="A82" s="89"/>
      <c r="B82" s="54"/>
      <c r="C82" s="23"/>
      <c r="F82" s="53"/>
      <c r="G82" s="72"/>
      <c r="H82" s="20"/>
      <c r="I82" s="19"/>
    </row>
    <row r="83" spans="1:9" s="13" customFormat="1" ht="20.25" x14ac:dyDescent="0.3">
      <c r="A83" s="89"/>
      <c r="B83" s="54"/>
      <c r="C83" s="23"/>
      <c r="D83" s="23"/>
      <c r="F83" s="53">
        <f>F81*F73</f>
        <v>132.57611860730651</v>
      </c>
      <c r="H83" s="20" t="str">
        <f>[3]!EQS(F83,"Units= ; EqnPrefix=Valem  ; EqnNo= 0; Multiplication= 1; ShowWorking= 0; EqnStyle= 2; Eqp$H$303_2")</f>
        <v/>
      </c>
    </row>
    <row r="84" spans="1:9" s="13" customFormat="1" ht="20.25" x14ac:dyDescent="0.3">
      <c r="A84" s="89"/>
      <c r="B84" s="54"/>
      <c r="C84" s="23"/>
      <c r="D84" s="23"/>
      <c r="F84" s="84">
        <f>COS(RADIANS(0))^2</f>
        <v>1</v>
      </c>
      <c r="G84" s="52"/>
      <c r="H84" s="20"/>
      <c r="I84" s="70"/>
    </row>
    <row r="85" spans="1:9" s="13" customFormat="1" ht="20.25" x14ac:dyDescent="0.3">
      <c r="A85" s="89"/>
      <c r="B85" s="54"/>
      <c r="C85" s="24"/>
      <c r="D85" s="24"/>
      <c r="F85" s="34">
        <f>F83*F84</f>
        <v>132.57611860730651</v>
      </c>
      <c r="G85" s="52"/>
      <c r="H85" s="20"/>
      <c r="I85" s="70"/>
    </row>
    <row r="86" spans="1:9" s="13" customFormat="1" ht="20.25" x14ac:dyDescent="0.3">
      <c r="A86" s="89"/>
      <c r="B86" s="54"/>
      <c r="C86" s="23"/>
      <c r="D86" s="23"/>
      <c r="F86" s="84">
        <f>COS(RADIANS(8))^2</f>
        <v>0.98063084796915956</v>
      </c>
      <c r="G86" s="52"/>
      <c r="H86" s="20"/>
      <c r="I86" s="70"/>
    </row>
    <row r="87" spans="1:9" s="13" customFormat="1" ht="20.25" x14ac:dyDescent="0.3">
      <c r="A87" s="89"/>
      <c r="B87" s="54"/>
      <c r="C87" s="23"/>
      <c r="D87" s="23"/>
      <c r="F87" s="34">
        <f>F86*F83</f>
        <v>130.00823161034285</v>
      </c>
      <c r="G87" s="52"/>
      <c r="H87" s="20"/>
      <c r="I87" s="70"/>
    </row>
    <row r="88" spans="1:9" s="13" customFormat="1" ht="20.25" x14ac:dyDescent="0.3">
      <c r="A88" s="89"/>
      <c r="B88" s="54"/>
      <c r="C88" s="23"/>
      <c r="D88" s="23"/>
      <c r="E88" s="71"/>
      <c r="F88" s="53"/>
      <c r="G88" s="52"/>
      <c r="H88" s="20"/>
      <c r="I88" s="70"/>
    </row>
    <row r="89" spans="1:9" s="13" customFormat="1" ht="20.25" x14ac:dyDescent="0.3">
      <c r="A89" s="89"/>
      <c r="B89" s="54"/>
      <c r="C89" s="23"/>
      <c r="D89" s="23"/>
      <c r="E89" s="51"/>
      <c r="F89" s="53"/>
      <c r="G89" s="52"/>
      <c r="H89" s="20"/>
      <c r="I89" s="19"/>
    </row>
    <row r="90" spans="1:9" s="13" customFormat="1" ht="20.25" x14ac:dyDescent="0.3">
      <c r="A90" s="89"/>
      <c r="B90" s="54"/>
      <c r="C90" s="23"/>
      <c r="E90" s="51"/>
      <c r="F90" s="53"/>
      <c r="G90" s="52"/>
      <c r="H90" s="20"/>
      <c r="I90" s="19"/>
    </row>
    <row r="91" spans="1:9" s="13" customFormat="1" ht="20.25" x14ac:dyDescent="0.3">
      <c r="A91" s="89"/>
      <c r="B91" s="54"/>
      <c r="C91" s="23"/>
      <c r="D91" s="69"/>
      <c r="F91" s="53">
        <v>0.35</v>
      </c>
      <c r="G91" s="52"/>
      <c r="H91" s="20"/>
      <c r="I91" s="19"/>
    </row>
    <row r="92" spans="1:9" s="13" customFormat="1" ht="20.25" x14ac:dyDescent="0.3">
      <c r="A92" s="89"/>
      <c r="B92" s="54"/>
      <c r="C92" s="23"/>
      <c r="D92" s="69"/>
      <c r="F92" s="53">
        <f>F91*F67</f>
        <v>4.3665230151145034</v>
      </c>
      <c r="H92" s="20"/>
      <c r="I92" s="19"/>
    </row>
    <row r="93" spans="1:9" s="13" customFormat="1" ht="20.25" x14ac:dyDescent="0.3">
      <c r="A93" s="89"/>
      <c r="B93" s="54"/>
      <c r="C93" s="23"/>
      <c r="D93" s="69"/>
      <c r="F93" s="66">
        <f>SQRT(F68^2+(4*F92)/(F69*F70*F71))</f>
        <v>3.7376322551699502E-2</v>
      </c>
      <c r="H93" s="20"/>
      <c r="I93" s="19"/>
    </row>
    <row r="94" spans="1:9" s="13" customFormat="1" ht="20.25" x14ac:dyDescent="0.3">
      <c r="A94" s="89"/>
      <c r="B94" s="54"/>
      <c r="C94" s="23"/>
      <c r="E94" s="71"/>
      <c r="F94" s="66"/>
      <c r="G94" s="72"/>
      <c r="H94" s="20"/>
      <c r="I94" s="19"/>
    </row>
    <row r="95" spans="1:9" s="13" customFormat="1" ht="20.25" x14ac:dyDescent="0.3">
      <c r="A95" s="89"/>
      <c r="B95" s="54"/>
      <c r="C95" s="23"/>
      <c r="D95" s="23"/>
      <c r="F95" s="53">
        <f>F72*F93</f>
        <v>28.056029166483814</v>
      </c>
      <c r="H95" s="20" t="str">
        <f>[3]!EQS(F95,"Units= ; EqnPrefix=Valem  ; EqnNo= 0; Multiplication= 1; ShowWorking= 0; EqnStyle= 2; Eqp$H$303_2")</f>
        <v/>
      </c>
    </row>
    <row r="96" spans="1:9" s="13" customFormat="1" ht="20.25" x14ac:dyDescent="0.3">
      <c r="A96" s="89"/>
      <c r="B96" s="54"/>
      <c r="C96" s="23"/>
      <c r="F96" s="53"/>
      <c r="G96" s="72"/>
      <c r="H96" s="20"/>
      <c r="I96" s="19"/>
    </row>
    <row r="97" spans="1:10" s="13" customFormat="1" ht="20.25" x14ac:dyDescent="0.3">
      <c r="A97" s="89"/>
      <c r="B97" s="54"/>
      <c r="C97" s="23"/>
      <c r="D97" s="23"/>
      <c r="F97" s="53">
        <f>F95*F73</f>
        <v>84.168087499451445</v>
      </c>
      <c r="H97" s="20" t="str">
        <f>[3]!EQS(F97,"Units= ; EqnPrefix=Valem  ; EqnNo= 0; Multiplication= 1; ShowWorking= 0; EqnStyle= 2; Eqp$H$303_2")</f>
        <v/>
      </c>
    </row>
    <row r="98" spans="1:10" s="13" customFormat="1" ht="20.25" x14ac:dyDescent="0.3">
      <c r="A98" s="89"/>
      <c r="B98" s="54"/>
      <c r="C98" s="23"/>
      <c r="D98" s="23"/>
      <c r="F98" s="84">
        <f>COS(RADIANS(0))^2</f>
        <v>1</v>
      </c>
      <c r="G98" s="72"/>
      <c r="H98" s="20"/>
      <c r="I98" s="70"/>
    </row>
    <row r="99" spans="1:10" s="13" customFormat="1" ht="20.25" x14ac:dyDescent="0.3">
      <c r="A99" s="89"/>
      <c r="B99" s="54"/>
      <c r="C99" s="23"/>
      <c r="D99" s="23"/>
      <c r="F99" s="34">
        <f>F97*F98</f>
        <v>84.168087499451445</v>
      </c>
      <c r="H99" s="20"/>
      <c r="I99" s="70"/>
    </row>
    <row r="100" spans="1:10" s="13" customFormat="1" ht="20.25" x14ac:dyDescent="0.3">
      <c r="A100" s="89"/>
      <c r="B100" s="54"/>
      <c r="C100" s="23"/>
      <c r="D100" s="23"/>
      <c r="F100" s="84">
        <f>COS(RADIANS(8))^2</f>
        <v>0.98063084796915956</v>
      </c>
      <c r="G100" s="72"/>
      <c r="H100" s="20"/>
      <c r="I100" s="70"/>
    </row>
    <row r="101" spans="1:10" s="13" customFormat="1" ht="20.25" x14ac:dyDescent="0.3">
      <c r="A101" s="89"/>
      <c r="B101" s="54"/>
      <c r="C101" s="23"/>
      <c r="D101" s="23"/>
      <c r="F101" s="34">
        <f>F100*F97</f>
        <v>82.537823016529487</v>
      </c>
      <c r="H101" s="20"/>
      <c r="I101" s="70"/>
    </row>
    <row r="103" spans="1:10" s="13" customFormat="1" ht="20.25" x14ac:dyDescent="0.3">
      <c r="A103" s="89"/>
      <c r="C103" s="23"/>
      <c r="D103" s="23"/>
      <c r="E103" s="51"/>
      <c r="F103" s="53"/>
      <c r="G103" s="52"/>
      <c r="H103" s="20"/>
      <c r="I103" s="19"/>
    </row>
    <row r="104" spans="1:10" s="13" customFormat="1" ht="20.25" x14ac:dyDescent="0.3">
      <c r="A104" s="89"/>
      <c r="B104" s="54"/>
      <c r="D104" s="23"/>
      <c r="E104" s="51"/>
      <c r="F104" s="53"/>
      <c r="G104" s="52"/>
      <c r="H104" s="20"/>
      <c r="I104" s="19"/>
    </row>
    <row r="105" spans="1:10" s="13" customFormat="1" ht="20.25" x14ac:dyDescent="0.3">
      <c r="A105" s="89"/>
      <c r="B105" s="54"/>
      <c r="C105" s="69"/>
      <c r="E105" s="51"/>
      <c r="F105" s="53"/>
      <c r="G105" s="52"/>
      <c r="H105" s="20"/>
      <c r="I105" s="19"/>
    </row>
    <row r="106" spans="1:10" s="13" customFormat="1" ht="20.25" x14ac:dyDescent="0.3">
      <c r="A106" s="89"/>
      <c r="B106" s="54"/>
      <c r="C106" s="69"/>
      <c r="D106" s="23"/>
      <c r="F106" s="84">
        <f>Jäitekoormus!F134</f>
        <v>12.142202324713148</v>
      </c>
      <c r="H106" s="20"/>
    </row>
    <row r="107" spans="1:10" s="13" customFormat="1" ht="20.25" x14ac:dyDescent="0.3">
      <c r="A107" s="89"/>
      <c r="B107" s="54"/>
      <c r="C107" s="69"/>
      <c r="D107" s="23"/>
      <c r="F107" s="85">
        <f>Jäitekoormus!F129/1000</f>
        <v>1.6E-2</v>
      </c>
      <c r="H107" s="20"/>
    </row>
    <row r="108" spans="1:10" s="13" customFormat="1" ht="20.25" x14ac:dyDescent="0.3">
      <c r="A108" s="89"/>
      <c r="B108" s="54"/>
      <c r="C108" s="69"/>
      <c r="D108" s="23"/>
      <c r="F108" s="53">
        <v>9.81</v>
      </c>
      <c r="H108" s="20"/>
    </row>
    <row r="109" spans="1:10" s="13" customFormat="1" ht="20.25" x14ac:dyDescent="0.3">
      <c r="A109" s="89"/>
      <c r="B109" s="54"/>
      <c r="C109" s="69"/>
      <c r="D109" s="23"/>
      <c r="F109" s="13">
        <v>3.1415999999999999</v>
      </c>
      <c r="G109" s="44"/>
    </row>
    <row r="110" spans="1:10" s="13" customFormat="1" ht="20.25" x14ac:dyDescent="0.3">
      <c r="A110" s="89"/>
      <c r="B110" s="54"/>
      <c r="C110" s="69"/>
      <c r="D110" s="23"/>
      <c r="F110" s="53">
        <v>900</v>
      </c>
      <c r="H110" s="20"/>
      <c r="I110" s="19"/>
    </row>
    <row r="111" spans="1:10" s="13" customFormat="1" ht="20.25" x14ac:dyDescent="0.3">
      <c r="A111" s="89"/>
      <c r="B111" s="54"/>
      <c r="C111" s="69"/>
      <c r="D111" s="23"/>
      <c r="F111" s="84">
        <f>'TUULEKOORMUS 1'!F390*'TUULEKOORMUS 1'!F393*'TUULEKOORMUS 1'!F398*1.2</f>
        <v>772.83675827785851</v>
      </c>
      <c r="H111" s="20"/>
      <c r="I111" s="19"/>
    </row>
    <row r="112" spans="1:10" s="13" customFormat="1" ht="20.25" x14ac:dyDescent="0.3">
      <c r="A112" s="89"/>
      <c r="B112" s="54"/>
      <c r="C112" s="69"/>
      <c r="D112" s="23"/>
      <c r="F112" s="86">
        <v>1</v>
      </c>
      <c r="G112" s="72"/>
      <c r="H112" s="20"/>
      <c r="I112" s="19"/>
    </row>
    <row r="113" spans="1:9" s="13" customFormat="1" ht="20.25" x14ac:dyDescent="0.3">
      <c r="A113" s="89"/>
      <c r="B113" s="54"/>
      <c r="C113" s="69"/>
      <c r="D113" s="23"/>
      <c r="E113" s="51"/>
      <c r="G113" s="52"/>
      <c r="H113" s="20"/>
      <c r="I113" s="19"/>
    </row>
    <row r="114" spans="1:9" s="13" customFormat="1" ht="20.25" x14ac:dyDescent="0.3">
      <c r="A114" s="89"/>
      <c r="B114" s="54"/>
      <c r="C114" s="23"/>
      <c r="E114" s="51"/>
      <c r="F114" s="53"/>
      <c r="G114" s="52"/>
      <c r="H114" s="20"/>
      <c r="I114" s="19"/>
    </row>
    <row r="115" spans="1:9" s="13" customFormat="1" ht="20.25" x14ac:dyDescent="0.3">
      <c r="A115" s="89"/>
      <c r="B115" s="54"/>
      <c r="C115" s="23"/>
      <c r="D115" s="69"/>
      <c r="F115" s="53">
        <f>1.5</f>
        <v>1.5</v>
      </c>
      <c r="G115" s="52"/>
      <c r="H115" s="20"/>
      <c r="I115" s="19"/>
    </row>
    <row r="116" spans="1:9" s="13" customFormat="1" ht="20.25" x14ac:dyDescent="0.3">
      <c r="A116" s="89"/>
      <c r="B116" s="54"/>
      <c r="C116" s="23"/>
      <c r="D116" s="23"/>
      <c r="F116" s="53">
        <f>F115*F106</f>
        <v>18.213303487069723</v>
      </c>
      <c r="H116" s="20"/>
      <c r="I116" s="19"/>
    </row>
    <row r="117" spans="1:9" s="13" customFormat="1" ht="20.25" x14ac:dyDescent="0.3">
      <c r="A117" s="89"/>
      <c r="B117" s="54"/>
      <c r="C117" s="23"/>
      <c r="E117" s="71"/>
      <c r="F117" s="53"/>
      <c r="G117" s="72"/>
      <c r="H117" s="20"/>
      <c r="I117" s="19"/>
    </row>
    <row r="118" spans="1:9" s="13" customFormat="1" ht="20.25" x14ac:dyDescent="0.3">
      <c r="A118" s="89"/>
      <c r="B118" s="54"/>
      <c r="C118" s="23"/>
      <c r="D118" s="23"/>
      <c r="F118" s="66">
        <f>SQRT(F107^2+((4*F116)/(F108*F109*F110)))</f>
        <v>5.3689420354242401E-2</v>
      </c>
      <c r="H118" s="20" t="str">
        <f>[3]!EQS(F118,"Units= ; EqnPrefix=Valem  ; EqnNo= 0; Multiplication= 1; ShowWorking= 0; EqnStyle= 2; Eqp$H$303_2")</f>
        <v/>
      </c>
    </row>
    <row r="119" spans="1:9" s="13" customFormat="1" ht="20.25" x14ac:dyDescent="0.3">
      <c r="A119" s="89"/>
      <c r="B119" s="54"/>
      <c r="C119" s="23"/>
      <c r="E119" s="71"/>
      <c r="F119" s="66"/>
      <c r="G119" s="72"/>
      <c r="H119" s="20"/>
      <c r="I119" s="19"/>
    </row>
    <row r="120" spans="1:9" s="13" customFormat="1" ht="20.25" x14ac:dyDescent="0.3">
      <c r="A120" s="89"/>
      <c r="B120" s="54"/>
      <c r="C120" s="23"/>
      <c r="D120" s="23"/>
      <c r="F120" s="53">
        <f>F111*F118</f>
        <v>41.493157580389969</v>
      </c>
      <c r="H120" s="20" t="str">
        <f>[3]!EQS(F120,"Units= ; EqnPrefix=Valem  ; EqnNo= 0; Multiplication= 1; ShowWorking= 0; EqnStyle= 2; Eqp$H$303_2")</f>
        <v/>
      </c>
    </row>
    <row r="121" spans="1:9" s="13" customFormat="1" ht="20.25" x14ac:dyDescent="0.3">
      <c r="A121" s="89"/>
      <c r="B121" s="54"/>
      <c r="C121" s="23"/>
      <c r="F121" s="53"/>
      <c r="G121" s="72"/>
      <c r="H121" s="20"/>
      <c r="I121" s="19"/>
    </row>
    <row r="122" spans="1:9" s="13" customFormat="1" ht="20.25" x14ac:dyDescent="0.3">
      <c r="A122" s="89"/>
      <c r="B122" s="54"/>
      <c r="C122" s="23"/>
      <c r="D122" s="23"/>
      <c r="F122" s="53">
        <f>F120*F112</f>
        <v>41.493157580389969</v>
      </c>
      <c r="H122" s="20" t="str">
        <f>[3]!EQS(F122,"Units= ; EqnPrefix=Valem  ; EqnNo= 0; Multiplication= 1; ShowWorking= 0; EqnStyle= 2; Eqp$H$303_2")</f>
        <v/>
      </c>
    </row>
    <row r="123" spans="1:9" s="13" customFormat="1" ht="20.25" x14ac:dyDescent="0.3">
      <c r="A123" s="89"/>
      <c r="B123" s="54"/>
      <c r="C123" s="23"/>
      <c r="D123" s="23"/>
      <c r="F123" s="84">
        <f>COS(RADIANS(0))^2</f>
        <v>1</v>
      </c>
      <c r="G123" s="52"/>
      <c r="H123" s="20"/>
      <c r="I123" s="70"/>
    </row>
    <row r="124" spans="1:9" s="13" customFormat="1" ht="20.25" x14ac:dyDescent="0.3">
      <c r="A124" s="89"/>
      <c r="B124" s="54"/>
      <c r="C124" s="24"/>
      <c r="D124" s="24"/>
      <c r="F124" s="34">
        <f>F122*F123</f>
        <v>41.493157580389969</v>
      </c>
      <c r="G124" s="52"/>
      <c r="H124" s="20"/>
      <c r="I124" s="70"/>
    </row>
    <row r="125" spans="1:9" s="13" customFormat="1" ht="20.25" x14ac:dyDescent="0.3">
      <c r="A125" s="89"/>
      <c r="B125" s="54"/>
      <c r="C125" s="23"/>
      <c r="D125" s="23"/>
      <c r="F125" s="84">
        <f>COS(RADIANS(8))^2</f>
        <v>0.98063084796915956</v>
      </c>
      <c r="G125" s="52"/>
      <c r="H125" s="20"/>
      <c r="I125" s="70"/>
    </row>
    <row r="126" spans="1:9" s="13" customFormat="1" ht="20.25" x14ac:dyDescent="0.3">
      <c r="A126" s="89"/>
      <c r="B126" s="54"/>
      <c r="C126" s="23"/>
      <c r="D126" s="23"/>
      <c r="F126" s="34">
        <f>F125*F122</f>
        <v>40.689470302975778</v>
      </c>
      <c r="G126" s="52"/>
      <c r="H126" s="20"/>
      <c r="I126" s="70"/>
    </row>
    <row r="127" spans="1:9" s="13" customFormat="1" ht="20.25" x14ac:dyDescent="0.3">
      <c r="A127" s="89"/>
      <c r="B127" s="54"/>
      <c r="C127" s="23"/>
      <c r="D127" s="23"/>
      <c r="E127" s="71"/>
      <c r="F127" s="53"/>
      <c r="G127" s="52"/>
      <c r="H127" s="20"/>
      <c r="I127" s="70"/>
    </row>
    <row r="128" spans="1:9" s="13" customFormat="1" ht="20.25" x14ac:dyDescent="0.3">
      <c r="A128" s="89"/>
      <c r="B128" s="54"/>
      <c r="C128" s="23"/>
      <c r="D128" s="23"/>
      <c r="E128" s="51"/>
      <c r="F128" s="53"/>
      <c r="G128" s="52"/>
      <c r="H128" s="20"/>
      <c r="I128" s="19"/>
    </row>
    <row r="129" spans="1:10" s="13" customFormat="1" ht="20.25" x14ac:dyDescent="0.3">
      <c r="A129" s="89"/>
      <c r="B129" s="54"/>
      <c r="C129" s="23"/>
      <c r="E129" s="51"/>
      <c r="F129" s="53"/>
      <c r="G129" s="52"/>
      <c r="H129" s="20"/>
      <c r="I129" s="19"/>
    </row>
    <row r="130" spans="1:10" s="13" customFormat="1" ht="20.25" x14ac:dyDescent="0.3">
      <c r="A130" s="89"/>
      <c r="B130" s="54"/>
      <c r="C130" s="23"/>
      <c r="D130" s="69"/>
      <c r="F130" s="53">
        <v>0.35</v>
      </c>
      <c r="G130" s="52"/>
      <c r="H130" s="20"/>
      <c r="I130" s="19"/>
    </row>
    <row r="131" spans="1:10" s="13" customFormat="1" ht="20.25" x14ac:dyDescent="0.3">
      <c r="A131" s="89"/>
      <c r="B131" s="54"/>
      <c r="C131" s="23"/>
      <c r="D131" s="69"/>
      <c r="F131" s="53">
        <f>F130*F106</f>
        <v>4.2497708136496017</v>
      </c>
      <c r="H131" s="20"/>
      <c r="I131" s="19"/>
    </row>
    <row r="132" spans="1:10" s="13" customFormat="1" ht="20.25" x14ac:dyDescent="0.3">
      <c r="A132" s="89"/>
      <c r="B132" s="54"/>
      <c r="C132" s="23"/>
      <c r="D132" s="69"/>
      <c r="F132" s="66">
        <f>SQRT(F107^2+(4*F131)/(F108*F109*F110))</f>
        <v>2.9476474803828315E-2</v>
      </c>
      <c r="H132" s="20"/>
      <c r="I132" s="19"/>
    </row>
    <row r="133" spans="1:10" s="13" customFormat="1" ht="20.25" x14ac:dyDescent="0.3">
      <c r="A133" s="89"/>
      <c r="B133" s="54"/>
      <c r="C133" s="23"/>
      <c r="E133" s="71"/>
      <c r="F133" s="66"/>
      <c r="G133" s="72"/>
      <c r="H133" s="20"/>
      <c r="I133" s="19"/>
    </row>
    <row r="134" spans="1:10" s="13" customFormat="1" ht="20.25" x14ac:dyDescent="0.3">
      <c r="A134" s="89"/>
      <c r="B134" s="54"/>
      <c r="C134" s="23"/>
      <c r="D134" s="23"/>
      <c r="F134" s="53">
        <f>F111*F132</f>
        <v>22.78050323284965</v>
      </c>
      <c r="H134" s="20" t="str">
        <f>[3]!EQS(F134,"Units= ; EqnPrefix=Valem  ; EqnNo= 0; Multiplication= 1; ShowWorking= 0; EqnStyle= 2; Eqp$H$303_2")</f>
        <v/>
      </c>
    </row>
    <row r="135" spans="1:10" s="13" customFormat="1" ht="20.25" x14ac:dyDescent="0.3">
      <c r="A135" s="89"/>
      <c r="B135" s="54"/>
      <c r="C135" s="23"/>
      <c r="F135" s="53"/>
      <c r="G135" s="72"/>
      <c r="H135" s="20"/>
      <c r="I135" s="19"/>
    </row>
    <row r="136" spans="1:10" s="13" customFormat="1" ht="20.25" x14ac:dyDescent="0.3">
      <c r="A136" s="89"/>
      <c r="B136" s="54"/>
      <c r="C136" s="23"/>
      <c r="D136" s="23"/>
      <c r="F136" s="53">
        <f>F134*F112</f>
        <v>22.78050323284965</v>
      </c>
      <c r="H136" s="20" t="str">
        <f>[3]!EQS(F136,"Units= ; EqnPrefix=Valem  ; EqnNo= 0; Multiplication= 1; ShowWorking= 0; EqnStyle= 2; Eqp$H$303_2")</f>
        <v/>
      </c>
    </row>
    <row r="137" spans="1:10" s="13" customFormat="1" ht="20.25" x14ac:dyDescent="0.3">
      <c r="A137" s="89"/>
      <c r="B137" s="54"/>
      <c r="C137" s="23"/>
      <c r="D137" s="23"/>
      <c r="F137" s="84">
        <f>COS(RADIANS(0))^2</f>
        <v>1</v>
      </c>
      <c r="G137" s="72"/>
      <c r="H137" s="20"/>
      <c r="I137" s="70"/>
    </row>
    <row r="138" spans="1:10" s="13" customFormat="1" ht="20.25" x14ac:dyDescent="0.3">
      <c r="A138" s="89"/>
      <c r="B138" s="54"/>
      <c r="C138" s="23"/>
      <c r="D138" s="23"/>
      <c r="F138" s="34">
        <f>F136*F137</f>
        <v>22.78050323284965</v>
      </c>
      <c r="H138" s="20"/>
      <c r="I138" s="70"/>
    </row>
    <row r="139" spans="1:10" s="13" customFormat="1" ht="20.25" x14ac:dyDescent="0.3">
      <c r="A139" s="89"/>
      <c r="B139" s="54"/>
      <c r="C139" s="23"/>
      <c r="D139" s="23"/>
      <c r="F139" s="84">
        <f>COS(RADIANS(8))^2</f>
        <v>0.98063084796915956</v>
      </c>
      <c r="G139" s="72"/>
      <c r="H139" s="20"/>
      <c r="I139" s="70"/>
    </row>
    <row r="140" spans="1:10" s="13" customFormat="1" ht="20.25" x14ac:dyDescent="0.3">
      <c r="A140" s="89"/>
      <c r="B140" s="54"/>
      <c r="C140" s="23"/>
      <c r="D140" s="23"/>
      <c r="F140" s="34">
        <f>F139*F136</f>
        <v>22.339264202393533</v>
      </c>
      <c r="H140" s="20"/>
      <c r="I140" s="70"/>
    </row>
    <row r="141" spans="1:10" s="13" customFormat="1" ht="20.25" x14ac:dyDescent="0.3">
      <c r="A141" s="89"/>
      <c r="B141" s="54"/>
      <c r="C141" s="23"/>
      <c r="D141" s="23"/>
      <c r="E141" s="74"/>
      <c r="F141" s="34"/>
      <c r="G141" s="75"/>
      <c r="H141" s="20"/>
      <c r="I141" s="70"/>
      <c r="J141" s="70"/>
    </row>
    <row r="142" spans="1:10" s="13" customFormat="1" ht="20.25" x14ac:dyDescent="0.3">
      <c r="A142" s="89"/>
      <c r="B142" s="54"/>
      <c r="C142" s="23"/>
      <c r="D142" s="23"/>
      <c r="E142" s="74"/>
      <c r="F142" s="34"/>
      <c r="G142" s="75"/>
      <c r="H142" s="20"/>
      <c r="I142" s="70"/>
      <c r="J142" s="70"/>
    </row>
    <row r="143" spans="1:10" s="13" customFormat="1" ht="20.25" x14ac:dyDescent="0.3">
      <c r="A143" s="89"/>
      <c r="B143" s="54"/>
      <c r="C143" s="23"/>
      <c r="D143" s="23"/>
      <c r="E143" s="74"/>
      <c r="F143" s="34"/>
      <c r="G143" s="75"/>
      <c r="H143" s="20"/>
      <c r="I143" s="70"/>
      <c r="J143" s="70"/>
    </row>
    <row r="144" spans="1:10" s="13" customFormat="1" ht="20.25" x14ac:dyDescent="0.3">
      <c r="A144" s="89"/>
      <c r="B144" s="54"/>
      <c r="C144" s="23"/>
      <c r="D144" s="23"/>
      <c r="E144" s="74"/>
      <c r="F144" s="34"/>
      <c r="G144" s="75"/>
      <c r="H144" s="20"/>
      <c r="I144" s="70"/>
      <c r="J144" s="70"/>
    </row>
    <row r="145" spans="1:12" s="13" customFormat="1" ht="20.25" x14ac:dyDescent="0.3">
      <c r="A145" s="89"/>
      <c r="B145" s="54"/>
      <c r="C145" s="23"/>
      <c r="D145" s="23"/>
      <c r="E145" s="74"/>
      <c r="F145" s="34"/>
      <c r="G145" s="75"/>
      <c r="H145" s="20"/>
      <c r="I145" s="70"/>
      <c r="J145" s="70"/>
    </row>
    <row r="147" spans="1:12" s="13" customFormat="1" ht="18" outlineLevel="1" x14ac:dyDescent="0.25">
      <c r="A147" s="54"/>
      <c r="B147" s="54"/>
      <c r="C147" s="23"/>
      <c r="D147" s="23"/>
      <c r="F147" s="13">
        <v>21</v>
      </c>
    </row>
    <row r="148" spans="1:12" s="13" customFormat="1" ht="18" outlineLevel="1" x14ac:dyDescent="0.25">
      <c r="A148" s="54"/>
      <c r="B148" s="54"/>
      <c r="C148" s="23"/>
      <c r="D148" s="23"/>
      <c r="F148" s="13">
        <f>F147</f>
        <v>21</v>
      </c>
    </row>
    <row r="149" spans="1:12" s="13" customFormat="1" ht="18" outlineLevel="1" x14ac:dyDescent="0.25">
      <c r="A149" s="54"/>
      <c r="B149" s="54"/>
      <c r="C149" s="23"/>
      <c r="D149" s="23"/>
      <c r="F149" s="13">
        <v>1.2250000000000001</v>
      </c>
    </row>
    <row r="150" spans="1:12" s="13" customFormat="1" ht="18" outlineLevel="1" x14ac:dyDescent="0.25">
      <c r="A150" s="54"/>
      <c r="B150" s="54"/>
      <c r="C150" s="23"/>
      <c r="D150" s="23"/>
      <c r="F150" s="13">
        <v>0.19</v>
      </c>
      <c r="G150" s="44"/>
    </row>
    <row r="151" spans="1:12" s="13" customFormat="1" ht="18" outlineLevel="1" x14ac:dyDescent="0.25">
      <c r="A151" s="54"/>
      <c r="B151" s="54"/>
      <c r="C151" s="23"/>
      <c r="D151" s="23"/>
      <c r="F151" s="13">
        <v>0.05</v>
      </c>
    </row>
    <row r="152" spans="1:12" s="13" customFormat="1" ht="18" outlineLevel="1" x14ac:dyDescent="0.25">
      <c r="A152" s="54"/>
      <c r="B152" s="54"/>
      <c r="C152" s="23"/>
      <c r="D152" s="23"/>
      <c r="F152" s="13">
        <v>10</v>
      </c>
    </row>
    <row r="153" spans="1:12" s="13" customFormat="1" ht="18" outlineLevel="1" x14ac:dyDescent="0.25">
      <c r="A153" s="54"/>
      <c r="B153" s="54"/>
      <c r="C153" s="23"/>
      <c r="D153" s="23"/>
      <c r="F153" s="13">
        <v>1.1499999999999999</v>
      </c>
      <c r="G153" s="44"/>
    </row>
    <row r="154" spans="1:12" s="13" customFormat="1" ht="18" outlineLevel="1" x14ac:dyDescent="0.25">
      <c r="A154" s="54"/>
      <c r="B154" s="54"/>
      <c r="C154" s="23"/>
      <c r="D154" s="23"/>
      <c r="E154" s="14"/>
      <c r="G154" s="44"/>
    </row>
    <row r="155" spans="1:12" s="13" customFormat="1" ht="18" x14ac:dyDescent="0.25">
      <c r="A155" s="54"/>
      <c r="B155" s="54"/>
      <c r="C155" s="23"/>
      <c r="D155" s="23"/>
      <c r="E155" s="14"/>
      <c r="G155" s="44"/>
    </row>
    <row r="156" spans="1:12" s="13" customFormat="1" ht="18" x14ac:dyDescent="0.25">
      <c r="A156" s="54"/>
      <c r="C156" s="24"/>
      <c r="D156" s="24"/>
      <c r="E156" s="18"/>
      <c r="F156" s="18"/>
      <c r="G156" s="46"/>
      <c r="H156" s="18"/>
      <c r="I156" s="18"/>
      <c r="J156" s="18"/>
      <c r="K156" s="18"/>
      <c r="L156" s="18"/>
    </row>
    <row r="157" spans="1:12" s="13" customFormat="1" ht="18" outlineLevel="1" x14ac:dyDescent="0.25">
      <c r="A157" s="54"/>
      <c r="B157" s="55"/>
      <c r="D157" s="24"/>
      <c r="E157" s="18"/>
      <c r="F157" s="18"/>
      <c r="G157" s="46"/>
      <c r="H157" s="18"/>
      <c r="I157" s="18"/>
      <c r="J157" s="18"/>
      <c r="K157" s="18"/>
      <c r="L157" s="18"/>
    </row>
    <row r="158" spans="1:12" s="13" customFormat="1" ht="18" outlineLevel="1" x14ac:dyDescent="0.25">
      <c r="A158" s="54"/>
      <c r="B158" s="54"/>
      <c r="D158" s="23"/>
      <c r="E158" s="14"/>
      <c r="G158" s="44"/>
      <c r="K158" s="26"/>
    </row>
    <row r="159" spans="1:12" s="13" customFormat="1" ht="18" outlineLevel="1" x14ac:dyDescent="0.25">
      <c r="A159" s="54"/>
      <c r="B159" s="54"/>
      <c r="C159" s="23"/>
      <c r="D159" s="23"/>
      <c r="F159" s="22">
        <v>36</v>
      </c>
    </row>
    <row r="160" spans="1:12" s="13" customFormat="1" ht="18" outlineLevel="1" x14ac:dyDescent="0.25">
      <c r="A160" s="54"/>
      <c r="B160" s="54"/>
      <c r="C160" s="23"/>
      <c r="D160" s="23"/>
      <c r="F160" s="22">
        <f>0.324+0.02</f>
        <v>0.34400000000000003</v>
      </c>
    </row>
    <row r="161" spans="1:13" s="13" customFormat="1" ht="18" outlineLevel="1" x14ac:dyDescent="0.25">
      <c r="A161" s="54"/>
      <c r="B161" s="54"/>
      <c r="D161" s="26"/>
      <c r="E161" s="17"/>
      <c r="F161" s="16"/>
      <c r="G161" s="45"/>
      <c r="I161" s="21"/>
    </row>
    <row r="162" spans="1:13" s="13" customFormat="1" ht="18" outlineLevel="1" x14ac:dyDescent="0.25">
      <c r="A162" s="54"/>
      <c r="B162" s="54"/>
      <c r="C162" s="23"/>
      <c r="D162" s="23"/>
      <c r="F162" s="33">
        <f>F160*F159</f>
        <v>12.384</v>
      </c>
      <c r="H162" s="20" t="str">
        <f>[3]!EQS(F162,"Units= ; EqnPrefix=Valem  ; EqnNo= 0; Multiplication= 1; ShowWorking= 1; EqnStyle=2; Eqp$G$17_0")</f>
        <v/>
      </c>
      <c r="L162" s="15"/>
    </row>
    <row r="163" spans="1:13" s="13" customFormat="1" ht="18" outlineLevel="1" x14ac:dyDescent="0.25">
      <c r="A163" s="54"/>
      <c r="B163" s="54"/>
      <c r="D163" s="23"/>
      <c r="F163" s="16"/>
      <c r="G163" s="45"/>
      <c r="I163" s="21"/>
    </row>
    <row r="164" spans="1:13" s="13" customFormat="1" ht="16.5" customHeight="1" outlineLevel="1" x14ac:dyDescent="0.25">
      <c r="A164" s="54"/>
      <c r="B164" s="54"/>
      <c r="C164" s="23"/>
      <c r="D164" s="23"/>
      <c r="F164" s="30">
        <f>F150*LN(F159/F151)*F147</f>
        <v>26.251212335920307</v>
      </c>
      <c r="H164" s="20" t="str">
        <f>[3]!EQS(F164,"Units= ; EqnPrefix=Valem  ; EqnNo= 0; Multiplication= 1; ShowWorking= 0; EqnStyle= 2; Eqp$H$21_2")</f>
        <v/>
      </c>
      <c r="J164" s="20"/>
    </row>
    <row r="165" spans="1:13" s="13" customFormat="1" ht="12" customHeight="1" outlineLevel="1" x14ac:dyDescent="0.25">
      <c r="A165" s="54"/>
      <c r="B165" s="54"/>
      <c r="C165" s="23"/>
      <c r="D165" s="23"/>
      <c r="E165" s="17"/>
      <c r="F165" s="30"/>
      <c r="G165" s="45"/>
      <c r="H165" s="20" t="str">
        <f>[3]!EQS(F164,"Units= ; EqnPrefix=Valem  ; EqnNo= 0; Multiplication= 1; ShowWorking= 1; EqnStyle= 2; Eqp$H$21_$H$22_3")</f>
        <v/>
      </c>
      <c r="J165" s="20"/>
    </row>
    <row r="166" spans="1:13" s="13" customFormat="1" ht="18" outlineLevel="1" x14ac:dyDescent="0.25">
      <c r="A166" s="54"/>
      <c r="B166" s="54"/>
      <c r="D166" s="29"/>
      <c r="F166" s="30"/>
      <c r="G166" s="45"/>
      <c r="H166" s="20"/>
      <c r="I166" s="28"/>
      <c r="J166" s="20"/>
    </row>
    <row r="167" spans="1:13" s="13" customFormat="1" ht="18" outlineLevel="1" x14ac:dyDescent="0.25">
      <c r="A167" s="54"/>
      <c r="B167" s="54"/>
      <c r="C167" s="23"/>
      <c r="D167" s="23"/>
      <c r="F167" s="30">
        <f>1/2*F149*F164^2</f>
        <v>422.08976632716445</v>
      </c>
      <c r="H167" s="20" t="str">
        <f>[3]!EQS(F167,"Units= ; EqnPrefix=Valem  ; EqnNo= 0; Multiplication= 1; ShowWorking= 0; EqnStyle= 2; Eqp$G$21_0")</f>
        <v/>
      </c>
      <c r="J167" s="20"/>
      <c r="M167" s="28"/>
    </row>
    <row r="168" spans="1:13" s="13" customFormat="1" ht="18" outlineLevel="1" x14ac:dyDescent="0.25">
      <c r="A168" s="54"/>
      <c r="B168" s="54"/>
      <c r="C168" s="23"/>
      <c r="D168" s="23"/>
      <c r="E168" s="25"/>
      <c r="F168" s="30"/>
      <c r="G168" s="47"/>
      <c r="H168" s="20" t="str">
        <f>[3]!EQS(F167,"Units= ; EqnPrefix=Valem  ; EqnNo= 0; Multiplication= 1; ShowWorking= 1; EqnStyle= 2; Eqp$G$21_$G$25_1")</f>
        <v/>
      </c>
      <c r="J168" s="20"/>
    </row>
    <row r="169" spans="1:13" s="13" customFormat="1" ht="18" outlineLevel="1" x14ac:dyDescent="0.25">
      <c r="A169" s="54"/>
      <c r="B169" s="54"/>
      <c r="D169" s="23"/>
      <c r="E169" s="25"/>
      <c r="F169" s="30"/>
      <c r="G169" s="47"/>
      <c r="I169" s="28"/>
      <c r="J169" s="20"/>
    </row>
    <row r="170" spans="1:13" s="13" customFormat="1" ht="18" outlineLevel="1" x14ac:dyDescent="0.25">
      <c r="A170" s="54"/>
      <c r="B170" s="54"/>
      <c r="C170" s="23"/>
      <c r="D170" s="23"/>
      <c r="F170" s="30">
        <f>(1+2.28/LN(F159/F151))^2</f>
        <v>1.8131807308313552</v>
      </c>
      <c r="G170" s="47"/>
      <c r="H170" s="20" t="str">
        <f>[3]!EQS(F170,"Units= ; EqnPrefix=Valem  ; EqnNo= 0; Multiplication= 1; ShowWorking= 0; EqnStyle= 2; Eqp$G$24_0")</f>
        <v/>
      </c>
      <c r="J170" s="20"/>
    </row>
    <row r="171" spans="1:13" s="13" customFormat="1" ht="18" outlineLevel="1" x14ac:dyDescent="0.25">
      <c r="A171" s="54"/>
      <c r="B171" s="54"/>
      <c r="C171" s="23"/>
      <c r="D171" s="23"/>
      <c r="E171" s="25"/>
      <c r="F171" s="30"/>
      <c r="G171" s="47"/>
      <c r="H171" s="20" t="str">
        <f>[3]!EQS(F170,"Units= ; EqnPrefix=Valem  ; EqnNo= 0; Multiplication= 1; ShowWorking= 1; EqnStyle= 2; Eqp$G$24_$G$28_1")</f>
        <v/>
      </c>
      <c r="J171" s="20"/>
    </row>
    <row r="172" spans="1:13" s="13" customFormat="1" ht="18" outlineLevel="1" x14ac:dyDescent="0.25">
      <c r="A172" s="54"/>
      <c r="B172" s="54"/>
      <c r="E172" s="25"/>
      <c r="F172" s="30"/>
      <c r="G172" s="47"/>
      <c r="J172" s="20"/>
    </row>
    <row r="173" spans="1:13" s="13" customFormat="1" ht="18" outlineLevel="1" x14ac:dyDescent="0.25">
      <c r="A173" s="54"/>
      <c r="B173" s="54"/>
      <c r="C173" s="23"/>
      <c r="D173" s="23"/>
      <c r="F173" s="13">
        <v>1.1499999999999999</v>
      </c>
      <c r="G173" s="44"/>
      <c r="J173" s="20"/>
    </row>
    <row r="174" spans="1:13" s="13" customFormat="1" ht="18" outlineLevel="1" x14ac:dyDescent="0.25">
      <c r="A174" s="54"/>
      <c r="B174" s="54"/>
      <c r="E174" s="25"/>
      <c r="F174" s="32"/>
      <c r="G174" s="44"/>
      <c r="H174" s="20"/>
      <c r="I174" s="29"/>
      <c r="J174" s="20"/>
    </row>
    <row r="175" spans="1:13" s="13" customFormat="1" ht="18" outlineLevel="1" x14ac:dyDescent="0.25">
      <c r="A175" s="54"/>
      <c r="B175" s="54"/>
      <c r="D175" s="23"/>
      <c r="F175" s="30">
        <v>0.88</v>
      </c>
      <c r="G175" s="44"/>
      <c r="H175" s="20"/>
      <c r="J175" s="20"/>
    </row>
    <row r="176" spans="1:13" s="13" customFormat="1" ht="18" outlineLevel="1" x14ac:dyDescent="0.25">
      <c r="A176" s="54"/>
      <c r="B176" s="54"/>
      <c r="D176" s="23"/>
      <c r="E176" s="20"/>
      <c r="F176" s="20"/>
      <c r="G176" s="44"/>
      <c r="H176" s="20"/>
      <c r="I176" s="28"/>
      <c r="J176" s="20"/>
    </row>
    <row r="177" spans="1:12" s="13" customFormat="1" ht="18" x14ac:dyDescent="0.25">
      <c r="A177" s="54"/>
      <c r="B177" s="54"/>
      <c r="D177" s="23"/>
      <c r="G177" s="44"/>
    </row>
    <row r="178" spans="1:12" s="13" customFormat="1" ht="18" x14ac:dyDescent="0.25">
      <c r="A178" s="54"/>
      <c r="B178" s="54"/>
      <c r="C178" s="23"/>
      <c r="D178" s="23"/>
      <c r="F178" s="34">
        <f>F167*F170*F173*F175*F160</f>
        <v>266.43107238692852</v>
      </c>
      <c r="H178" s="20" t="str">
        <f>[3]!EQS(F178,"Units= ; EqnPrefix=Valem  ; EqnNo= 0; Multiplication= 1; ShowWorking= 0; EqnStyle= 2; Eqp$G$39_0")</f>
        <v/>
      </c>
    </row>
    <row r="179" spans="1:12" s="13" customFormat="1" ht="18" x14ac:dyDescent="0.25">
      <c r="A179" s="54"/>
      <c r="B179" s="54"/>
      <c r="C179" s="23"/>
      <c r="D179" s="23"/>
      <c r="G179" s="44"/>
      <c r="H179" s="13" t="str">
        <f>[3]!EQS(F178,"Units= ; EqnPrefix=Valem  ; EqnNo= 0; Multiplication= 1; ShowWorking= 1; EqnStyle= 2; Eqp$G$39_$G$40_1")</f>
        <v/>
      </c>
    </row>
    <row r="180" spans="1:12" s="13" customFormat="1" ht="18" x14ac:dyDescent="0.25">
      <c r="A180" s="54"/>
      <c r="B180" s="54"/>
      <c r="D180" s="23"/>
      <c r="G180" s="44"/>
    </row>
    <row r="181" spans="1:12" s="13" customFormat="1" ht="18" x14ac:dyDescent="0.25">
      <c r="A181" s="54"/>
      <c r="B181" s="54"/>
      <c r="C181" s="23"/>
      <c r="D181" s="23"/>
      <c r="F181" s="53">
        <f>COS(RADIANS(4))*F178</f>
        <v>265.78205968537281</v>
      </c>
    </row>
    <row r="182" spans="1:12" s="13" customFormat="1" ht="18" x14ac:dyDescent="0.25">
      <c r="A182" s="54"/>
      <c r="B182" s="54"/>
      <c r="C182" s="23"/>
      <c r="D182" s="23"/>
      <c r="F182" s="53">
        <f>SIN(RADIANS(4))*F178</f>
        <v>18.585292105577928</v>
      </c>
    </row>
    <row r="183" spans="1:12" s="13" customFormat="1" ht="18" x14ac:dyDescent="0.25">
      <c r="A183" s="54"/>
      <c r="B183" s="54"/>
      <c r="C183" s="23"/>
      <c r="D183" s="23"/>
      <c r="G183" s="44"/>
    </row>
    <row r="184" spans="1:12" s="13" customFormat="1" ht="18" x14ac:dyDescent="0.25">
      <c r="A184" s="54"/>
      <c r="C184" s="24"/>
      <c r="D184" s="24"/>
      <c r="E184" s="18"/>
      <c r="F184" s="18"/>
      <c r="G184" s="46"/>
      <c r="H184" s="18"/>
      <c r="I184" s="18"/>
      <c r="J184" s="18"/>
      <c r="K184" s="18"/>
      <c r="L184" s="18"/>
    </row>
    <row r="185" spans="1:12" s="13" customFormat="1" ht="18" outlineLevel="1" x14ac:dyDescent="0.25">
      <c r="A185" s="54"/>
      <c r="B185" s="54"/>
      <c r="D185" s="23"/>
      <c r="E185" s="14"/>
      <c r="G185" s="44"/>
    </row>
    <row r="186" spans="1:12" s="13" customFormat="1" ht="18" outlineLevel="1" x14ac:dyDescent="0.25">
      <c r="A186" s="54"/>
      <c r="B186" s="54"/>
      <c r="C186" s="23"/>
      <c r="D186" s="23"/>
      <c r="F186" s="22">
        <v>14</v>
      </c>
    </row>
    <row r="187" spans="1:12" s="13" customFormat="1" ht="18" outlineLevel="1" x14ac:dyDescent="0.25">
      <c r="A187" s="54"/>
      <c r="B187" s="54"/>
      <c r="C187" s="23"/>
      <c r="D187" s="23"/>
      <c r="F187" s="22">
        <f>0.273+0.02</f>
        <v>0.29300000000000004</v>
      </c>
    </row>
    <row r="188" spans="1:12" s="13" customFormat="1" ht="18" outlineLevel="1" x14ac:dyDescent="0.25">
      <c r="A188" s="54"/>
      <c r="B188" s="54"/>
      <c r="C188" s="23"/>
      <c r="D188" s="23"/>
      <c r="F188" s="22">
        <v>15.5</v>
      </c>
    </row>
    <row r="189" spans="1:12" s="13" customFormat="1" ht="18" outlineLevel="1" x14ac:dyDescent="0.25">
      <c r="A189" s="54"/>
      <c r="B189" s="54"/>
      <c r="D189" s="26"/>
      <c r="E189" s="17"/>
      <c r="F189" s="16"/>
      <c r="G189" s="45"/>
      <c r="I189" s="21"/>
    </row>
    <row r="190" spans="1:12" s="13" customFormat="1" ht="18" outlineLevel="1" x14ac:dyDescent="0.25">
      <c r="A190" s="54"/>
      <c r="B190" s="54"/>
      <c r="C190" s="23"/>
      <c r="D190" s="23"/>
      <c r="F190" s="33">
        <f>F187*F188</f>
        <v>4.541500000000001</v>
      </c>
      <c r="H190" s="20" t="str">
        <f>[3]!EQS(F190,"Units= ; EqnPrefix=Valem  ; EqnNo= 0; Multiplication= 1; ShowWorking= 1; EqnStyle=2; Eqp$G$17_0")</f>
        <v/>
      </c>
    </row>
    <row r="191" spans="1:12" s="13" customFormat="1" ht="18" outlineLevel="1" x14ac:dyDescent="0.25">
      <c r="A191" s="54"/>
      <c r="B191" s="54"/>
      <c r="D191" s="23"/>
      <c r="F191" s="16"/>
      <c r="G191" s="45"/>
      <c r="I191" s="21"/>
    </row>
    <row r="192" spans="1:12" s="13" customFormat="1" ht="18" outlineLevel="1" x14ac:dyDescent="0.25">
      <c r="A192" s="54"/>
      <c r="B192" s="54"/>
      <c r="C192" s="23"/>
      <c r="D192" s="23"/>
      <c r="E192" s="17"/>
      <c r="F192" s="16"/>
      <c r="G192" s="45"/>
      <c r="I192" s="21"/>
    </row>
    <row r="193" spans="1:10" s="13" customFormat="1" ht="18" outlineLevel="1" x14ac:dyDescent="0.25">
      <c r="A193" s="54"/>
      <c r="B193" s="54"/>
      <c r="C193" s="23"/>
      <c r="D193" s="23"/>
      <c r="G193" s="44"/>
    </row>
    <row r="194" spans="1:10" s="13" customFormat="1" ht="16.5" customHeight="1" outlineLevel="1" x14ac:dyDescent="0.25">
      <c r="A194" s="54"/>
      <c r="B194" s="54"/>
      <c r="C194" s="23"/>
      <c r="D194" s="23"/>
      <c r="F194" s="30">
        <f>F150*LN(F186/F151)*F147</f>
        <v>22.482810516645301</v>
      </c>
      <c r="H194" s="20" t="str">
        <f>[3]!EQS(F194,"Units= ; EqnPrefix=Valem  ; EqnNo= 0; Multiplication= 1; ShowWorking= 0; EqnStyle= 2; Eqp$H$54_2")</f>
        <v/>
      </c>
      <c r="J194" s="20"/>
    </row>
    <row r="195" spans="1:10" s="13" customFormat="1" ht="12" customHeight="1" outlineLevel="1" x14ac:dyDescent="0.25">
      <c r="A195" s="54"/>
      <c r="B195" s="54"/>
      <c r="C195" s="23"/>
      <c r="D195" s="23"/>
      <c r="E195" s="17"/>
      <c r="F195" s="30"/>
      <c r="G195" s="45"/>
      <c r="H195" s="20" t="str">
        <f>[3]!EQS(F194,"Units= ; EqnPrefix=Valem  ; EqnNo= 0; Multiplication= 1; ShowWorking= 1; EqnStyle= 2; Eqp$H$54_$H$55_3")</f>
        <v/>
      </c>
      <c r="J195" s="20"/>
    </row>
    <row r="196" spans="1:10" s="13" customFormat="1" ht="18" outlineLevel="1" x14ac:dyDescent="0.25">
      <c r="A196" s="54"/>
      <c r="B196" s="54"/>
      <c r="D196" s="29"/>
      <c r="F196" s="30"/>
      <c r="G196" s="45"/>
      <c r="H196" s="20"/>
      <c r="I196" s="28"/>
      <c r="J196" s="20"/>
    </row>
    <row r="197" spans="1:10" s="13" customFormat="1" ht="18" outlineLevel="1" x14ac:dyDescent="0.25">
      <c r="A197" s="54"/>
      <c r="B197" s="54"/>
      <c r="C197" s="23"/>
      <c r="D197" s="23"/>
      <c r="F197" s="30">
        <f>1/2*F149*F194^2</f>
        <v>309.60452084551815</v>
      </c>
      <c r="H197" s="20" t="str">
        <f>[3]!EQS(F197,"Units= ; EqnPrefix=Valem  ; EqnNo= 0; Multiplication= 1; ShowWorking= 0; EqnStyle= 2; Eqp$G$21_0")</f>
        <v/>
      </c>
      <c r="J197" s="20"/>
    </row>
    <row r="198" spans="1:10" s="13" customFormat="1" ht="18" outlineLevel="1" x14ac:dyDescent="0.25">
      <c r="A198" s="54"/>
      <c r="B198" s="54"/>
      <c r="C198" s="23"/>
      <c r="D198" s="23"/>
      <c r="E198" s="25"/>
      <c r="F198" s="30"/>
      <c r="G198" s="47"/>
      <c r="H198" s="20" t="str">
        <f>[3]!EQS(F197,"Units= ; EqnPrefix=Valem  ; EqnNo= 0; Multiplication= 1; ShowWorking= 1; EqnStyle= 2; Eqp$G$21_$G$25_1")</f>
        <v/>
      </c>
      <c r="J198" s="20"/>
    </row>
    <row r="199" spans="1:10" s="13" customFormat="1" ht="18" outlineLevel="1" x14ac:dyDescent="0.25">
      <c r="A199" s="54"/>
      <c r="B199" s="54"/>
      <c r="D199" s="23"/>
      <c r="E199" s="25"/>
      <c r="F199" s="30"/>
      <c r="G199" s="47"/>
      <c r="I199" s="28"/>
      <c r="J199" s="20"/>
    </row>
    <row r="200" spans="1:10" s="13" customFormat="1" ht="18" outlineLevel="1" x14ac:dyDescent="0.25">
      <c r="A200" s="54"/>
      <c r="B200" s="54"/>
      <c r="C200" s="23"/>
      <c r="D200" s="23"/>
      <c r="F200" s="30">
        <f>(1+2.28/LN(F186/F151))^2</f>
        <v>1.9729829854343099</v>
      </c>
      <c r="G200" s="47"/>
      <c r="H200" s="20" t="str">
        <f>[3]!EQS(F200,"Units= ; EqnPrefix=Valem  ; EqnNo= 0; Multiplication= 1; ShowWorking= 0; EqnStyle= 2; Eqp$G$24_0")</f>
        <v/>
      </c>
      <c r="J200" s="20"/>
    </row>
    <row r="201" spans="1:10" s="13" customFormat="1" ht="18" outlineLevel="1" x14ac:dyDescent="0.25">
      <c r="A201" s="54"/>
      <c r="B201" s="54"/>
      <c r="C201" s="23"/>
      <c r="D201" s="23"/>
      <c r="E201" s="25"/>
      <c r="F201" s="30"/>
      <c r="G201" s="47"/>
      <c r="H201" s="20" t="str">
        <f>[3]!EQS(F200,"Units= ; EqnPrefix=Valem  ; EqnNo= 0; Multiplication= 1; ShowWorking= 1; EqnStyle= 2; Eqp$G$24_$G$28_1")</f>
        <v/>
      </c>
      <c r="J201" s="20"/>
    </row>
    <row r="202" spans="1:10" s="13" customFormat="1" ht="18" outlineLevel="1" x14ac:dyDescent="0.25">
      <c r="A202" s="54"/>
      <c r="B202" s="54"/>
      <c r="E202" s="25"/>
      <c r="F202" s="30"/>
      <c r="G202" s="47"/>
      <c r="J202" s="20"/>
    </row>
    <row r="203" spans="1:10" s="13" customFormat="1" ht="18" outlineLevel="1" x14ac:dyDescent="0.25">
      <c r="A203" s="54"/>
      <c r="B203" s="54"/>
      <c r="C203" s="23"/>
      <c r="D203" s="23"/>
      <c r="F203" s="13">
        <v>1.1499999999999999</v>
      </c>
      <c r="G203" s="44"/>
      <c r="J203" s="20"/>
    </row>
    <row r="204" spans="1:10" s="13" customFormat="1" ht="18" outlineLevel="1" x14ac:dyDescent="0.25">
      <c r="A204" s="54"/>
      <c r="B204" s="54"/>
      <c r="E204" s="25"/>
      <c r="F204" s="32"/>
      <c r="G204" s="44"/>
      <c r="H204" s="20"/>
      <c r="I204" s="29"/>
      <c r="J204" s="20"/>
    </row>
    <row r="205" spans="1:10" s="13" customFormat="1" ht="18" outlineLevel="1" x14ac:dyDescent="0.25">
      <c r="A205" s="54"/>
      <c r="B205" s="54"/>
      <c r="C205" s="23"/>
      <c r="D205" s="23"/>
      <c r="F205" s="93">
        <v>1.88</v>
      </c>
      <c r="G205" s="44"/>
      <c r="H205" s="20"/>
      <c r="J205" s="20"/>
    </row>
    <row r="206" spans="1:10" s="13" customFormat="1" ht="18" outlineLevel="1" x14ac:dyDescent="0.25">
      <c r="A206" s="54"/>
      <c r="B206" s="54"/>
      <c r="C206" s="23"/>
      <c r="D206" s="23"/>
      <c r="E206" s="20"/>
      <c r="F206" s="20"/>
      <c r="G206" s="44"/>
      <c r="H206" s="20"/>
      <c r="I206" s="28"/>
      <c r="J206" s="20"/>
    </row>
    <row r="207" spans="1:10" s="13" customFormat="1" ht="18" outlineLevel="1" x14ac:dyDescent="0.25">
      <c r="A207" s="54"/>
      <c r="B207" s="54"/>
      <c r="D207" s="23"/>
      <c r="E207" s="20"/>
      <c r="F207" s="20"/>
      <c r="G207" s="44"/>
      <c r="H207" s="20"/>
      <c r="I207" s="28"/>
      <c r="J207" s="20"/>
    </row>
    <row r="208" spans="1:10" s="13" customFormat="1" ht="18" outlineLevel="1" x14ac:dyDescent="0.25">
      <c r="A208" s="54"/>
      <c r="B208" s="54"/>
      <c r="C208" s="23"/>
      <c r="D208" s="23"/>
      <c r="F208" s="95">
        <f>COS(RADIANS(86))^2</f>
        <v>4.8659656292148329E-3</v>
      </c>
      <c r="G208" s="44"/>
      <c r="H208" s="20" t="str">
        <f>[3]!EQS(F208,"Units= ; EqnPrefix=Valem  ; EqnNo= 0; Multiplication= 1; ShowWorking= 0; EqnStyle= 2; Eqp$H$75_2")</f>
        <v/>
      </c>
      <c r="J208" s="20"/>
    </row>
    <row r="209" spans="1:12" s="13" customFormat="1" ht="18" x14ac:dyDescent="0.25">
      <c r="A209" s="54"/>
      <c r="B209" s="54"/>
      <c r="D209" s="23"/>
      <c r="G209" s="44"/>
    </row>
    <row r="210" spans="1:12" s="13" customFormat="1" ht="18" x14ac:dyDescent="0.25">
      <c r="A210" s="54"/>
      <c r="B210" s="54"/>
      <c r="C210" s="23"/>
      <c r="D210" s="23"/>
      <c r="F210" s="34">
        <f>F197*F200*F203*F205*F187*F208</f>
        <v>1.8828814662393241</v>
      </c>
      <c r="H210" s="20" t="str">
        <f>[3]!EQS(F210,"Units= ; EqnPrefix=Valem  ; EqnNo= 0; Multiplication= 1; ShowWorking= 0; EqnStyle= 2; Eqp$G$39_0")</f>
        <v/>
      </c>
    </row>
    <row r="211" spans="1:12" s="13" customFormat="1" ht="18" x14ac:dyDescent="0.25">
      <c r="A211" s="54"/>
      <c r="B211" s="54"/>
      <c r="C211" s="23"/>
      <c r="D211" s="23"/>
      <c r="G211" s="44"/>
      <c r="H211" s="13" t="str">
        <f>[3]!EQS(F210,"Units= ; EqnPrefix=Valem  ; EqnNo= 0; Multiplication= 1; ShowWorking= 1; EqnStyle= 2; Eqp$G$39_$G$40_1")</f>
        <v/>
      </c>
    </row>
    <row r="212" spans="1:12" s="13" customFormat="1" ht="18" x14ac:dyDescent="0.25">
      <c r="A212" s="54"/>
      <c r="B212" s="54"/>
      <c r="C212" s="23"/>
      <c r="D212" s="23"/>
      <c r="G212" s="44"/>
    </row>
    <row r="213" spans="1:12" s="13" customFormat="1" ht="18" x14ac:dyDescent="0.25">
      <c r="A213" s="54"/>
      <c r="B213" s="54"/>
      <c r="C213" s="23"/>
      <c r="D213" s="23"/>
      <c r="G213" s="44"/>
    </row>
    <row r="214" spans="1:12" s="13" customFormat="1" ht="18" x14ac:dyDescent="0.25">
      <c r="A214" s="54"/>
      <c r="C214" s="24"/>
      <c r="D214" s="24"/>
      <c r="E214" s="18"/>
      <c r="F214" s="18"/>
      <c r="G214" s="46"/>
      <c r="H214" s="18"/>
      <c r="I214" s="18"/>
      <c r="J214" s="18"/>
      <c r="K214" s="18"/>
      <c r="L214" s="18"/>
    </row>
    <row r="215" spans="1:12" s="13" customFormat="1" ht="18" outlineLevel="1" x14ac:dyDescent="0.25">
      <c r="A215" s="54"/>
      <c r="B215" s="54"/>
      <c r="D215" s="23"/>
      <c r="E215" s="14"/>
      <c r="G215" s="44"/>
    </row>
    <row r="216" spans="1:12" s="13" customFormat="1" ht="18" outlineLevel="1" x14ac:dyDescent="0.25">
      <c r="A216" s="54"/>
      <c r="B216" s="54"/>
      <c r="C216" s="23"/>
      <c r="D216" s="23"/>
      <c r="F216" s="22">
        <v>28</v>
      </c>
    </row>
    <row r="217" spans="1:12" s="13" customFormat="1" ht="18" outlineLevel="1" x14ac:dyDescent="0.25">
      <c r="A217" s="54"/>
      <c r="B217" s="54"/>
      <c r="C217" s="23"/>
      <c r="D217" s="23"/>
      <c r="F217" s="22">
        <f>0.22+0.02</f>
        <v>0.24</v>
      </c>
    </row>
    <row r="218" spans="1:12" s="13" customFormat="1" ht="18" outlineLevel="1" x14ac:dyDescent="0.25">
      <c r="A218" s="54"/>
      <c r="B218" s="54"/>
      <c r="C218" s="23"/>
      <c r="D218" s="23"/>
      <c r="F218" s="22">
        <v>23</v>
      </c>
    </row>
    <row r="219" spans="1:12" s="13" customFormat="1" ht="18" outlineLevel="1" x14ac:dyDescent="0.25">
      <c r="A219" s="54"/>
      <c r="B219" s="54"/>
      <c r="D219" s="26"/>
      <c r="E219" s="17"/>
      <c r="F219" s="16"/>
      <c r="G219" s="45"/>
      <c r="I219" s="21"/>
    </row>
    <row r="220" spans="1:12" s="13" customFormat="1" ht="18" outlineLevel="1" x14ac:dyDescent="0.25">
      <c r="A220" s="54"/>
      <c r="B220" s="54"/>
      <c r="C220" s="23"/>
      <c r="D220" s="23"/>
      <c r="F220" s="33">
        <f>F217*F218</f>
        <v>5.52</v>
      </c>
      <c r="H220" s="20" t="str">
        <f>[3]!EQS(F220,"Units= ; EqnPrefix=Valem  ; EqnNo= 0; Multiplication= 1; ShowWorking= 1; EqnStyle=2; Eqp$G$17_0")</f>
        <v/>
      </c>
    </row>
    <row r="221" spans="1:12" s="13" customFormat="1" ht="18" outlineLevel="1" x14ac:dyDescent="0.25">
      <c r="A221" s="54"/>
      <c r="B221" s="54"/>
      <c r="D221" s="23"/>
      <c r="E221" s="25"/>
      <c r="F221" s="33"/>
      <c r="G221" s="47"/>
      <c r="H221" s="20"/>
      <c r="I221" s="19"/>
    </row>
    <row r="222" spans="1:12" s="13" customFormat="1" ht="18" outlineLevel="1" x14ac:dyDescent="0.25">
      <c r="A222" s="54"/>
      <c r="B222" s="54"/>
      <c r="D222" s="23"/>
      <c r="F222" s="16"/>
      <c r="G222" s="45"/>
      <c r="I222" s="21"/>
    </row>
    <row r="223" spans="1:12" s="13" customFormat="1" ht="18" outlineLevel="1" x14ac:dyDescent="0.25">
      <c r="A223" s="54"/>
      <c r="B223" s="54"/>
      <c r="C223" s="23"/>
      <c r="D223" s="23"/>
      <c r="E223" s="17"/>
      <c r="F223" s="16"/>
      <c r="G223" s="45"/>
      <c r="I223" s="21"/>
    </row>
    <row r="224" spans="1:12" s="13" customFormat="1" ht="18" outlineLevel="1" x14ac:dyDescent="0.25">
      <c r="A224" s="54"/>
      <c r="B224" s="54"/>
      <c r="C224" s="23"/>
      <c r="D224" s="23"/>
      <c r="G224" s="44"/>
    </row>
    <row r="225" spans="1:17" s="13" customFormat="1" ht="16.5" customHeight="1" outlineLevel="1" x14ac:dyDescent="0.25">
      <c r="A225" s="54"/>
      <c r="B225" s="54"/>
      <c r="C225" s="23"/>
      <c r="D225" s="23"/>
      <c r="F225" s="30">
        <f>F150*LN(F216/F151)*F147</f>
        <v>25.248467767079489</v>
      </c>
      <c r="H225" s="20" t="str">
        <f>[3]!EQS(F225,"Units= ; EqnPrefix=Valem  ; EqnNo= 0; Multiplication= 1; ShowWorking= 0; EqnStyle= 2; Eqp$H$54_2")</f>
        <v/>
      </c>
      <c r="J225" s="20"/>
    </row>
    <row r="226" spans="1:17" s="13" customFormat="1" ht="12" customHeight="1" outlineLevel="1" x14ac:dyDescent="0.25">
      <c r="A226" s="54"/>
      <c r="B226" s="54"/>
      <c r="C226" s="23"/>
      <c r="D226" s="23"/>
      <c r="E226" s="17"/>
      <c r="F226" s="30"/>
      <c r="G226" s="45"/>
      <c r="H226" s="20" t="str">
        <f>[3]!EQS(F225,"Units= ; EqnPrefix=Valem  ; EqnNo= 0; Multiplication= 1; ShowWorking= 1; EqnStyle= 2; Eqp$H$54_$H$55_3")</f>
        <v/>
      </c>
      <c r="J226" s="20"/>
    </row>
    <row r="227" spans="1:17" s="13" customFormat="1" ht="18" outlineLevel="1" x14ac:dyDescent="0.25">
      <c r="A227" s="54"/>
      <c r="B227" s="54"/>
      <c r="D227" s="29"/>
      <c r="F227" s="30"/>
      <c r="G227" s="45"/>
      <c r="H227" s="20"/>
      <c r="I227" s="28"/>
      <c r="J227" s="20"/>
    </row>
    <row r="228" spans="1:17" s="13" customFormat="1" ht="18" outlineLevel="1" x14ac:dyDescent="0.25">
      <c r="A228" s="54"/>
      <c r="B228" s="54"/>
      <c r="C228" s="23"/>
      <c r="D228" s="23"/>
      <c r="F228" s="30">
        <f>1/2*F149*F225^2</f>
        <v>390.45963880846682</v>
      </c>
      <c r="H228" s="20" t="str">
        <f>[3]!EQS(F228,"Units= ; EqnPrefix=Valem  ; EqnNo= 0; Multiplication= 1; ShowWorking= 0; EqnStyle= 2; Eqp$G$21_0")</f>
        <v/>
      </c>
      <c r="J228" s="20"/>
    </row>
    <row r="229" spans="1:17" s="13" customFormat="1" ht="18" outlineLevel="1" x14ac:dyDescent="0.25">
      <c r="A229" s="54"/>
      <c r="B229" s="54"/>
      <c r="C229" s="23"/>
      <c r="D229" s="23"/>
      <c r="E229" s="25"/>
      <c r="F229" s="30"/>
      <c r="G229" s="47"/>
      <c r="H229" s="20" t="str">
        <f>[3]!EQS(F228,"Units= ; EqnPrefix=Valem  ; EqnNo= 0; Multiplication= 1; ShowWorking= 1; EqnStyle= 2; Eqp$G$21_$G$25_1")</f>
        <v/>
      </c>
      <c r="J229" s="20"/>
    </row>
    <row r="230" spans="1:17" s="13" customFormat="1" ht="18" outlineLevel="1" x14ac:dyDescent="0.25">
      <c r="A230" s="54"/>
      <c r="B230" s="54"/>
      <c r="D230" s="23"/>
      <c r="E230" s="25"/>
      <c r="F230" s="30"/>
      <c r="G230" s="47"/>
      <c r="I230" s="28"/>
      <c r="J230" s="20"/>
    </row>
    <row r="231" spans="1:17" s="13" customFormat="1" ht="18" outlineLevel="1" x14ac:dyDescent="0.25">
      <c r="A231" s="54"/>
      <c r="B231" s="54"/>
      <c r="C231" s="23"/>
      <c r="D231" s="23"/>
      <c r="F231" s="30">
        <f>(1+2.28/LN(F216/F151))^2</f>
        <v>1.8504351691877789</v>
      </c>
      <c r="G231" s="47"/>
      <c r="H231" s="20" t="str">
        <f>[3]!EQS(F231,"Units= ; EqnPrefix=Valem  ; EqnNo= 0; Multiplication= 1; ShowWorking= 0; EqnStyle= 2; Eqp$G$24_0")</f>
        <v/>
      </c>
      <c r="J231" s="20"/>
    </row>
    <row r="232" spans="1:17" s="13" customFormat="1" ht="18" outlineLevel="1" x14ac:dyDescent="0.25">
      <c r="A232" s="54"/>
      <c r="B232" s="54"/>
      <c r="C232" s="23"/>
      <c r="D232" s="23"/>
      <c r="E232" s="25"/>
      <c r="F232" s="30"/>
      <c r="G232" s="47"/>
      <c r="H232" s="20" t="str">
        <f>[3]!EQS(F231,"Units= ; EqnPrefix=Valem  ; EqnNo= 0; Multiplication= 1; ShowWorking= 1; EqnStyle= 2; Eqp$G$24_$G$28_1")</f>
        <v/>
      </c>
      <c r="J232" s="20"/>
    </row>
    <row r="233" spans="1:17" s="13" customFormat="1" ht="18" outlineLevel="1" x14ac:dyDescent="0.25">
      <c r="A233" s="54"/>
      <c r="B233" s="54"/>
      <c r="E233" s="25"/>
      <c r="F233" s="30"/>
      <c r="G233" s="47"/>
      <c r="J233" s="20"/>
    </row>
    <row r="234" spans="1:17" s="13" customFormat="1" ht="18" outlineLevel="1" x14ac:dyDescent="0.25">
      <c r="A234" s="54"/>
      <c r="B234" s="54"/>
      <c r="C234" s="23"/>
      <c r="D234" s="23"/>
      <c r="F234" s="13">
        <v>1.1499999999999999</v>
      </c>
      <c r="G234" s="44"/>
      <c r="J234" s="20"/>
    </row>
    <row r="235" spans="1:17" s="13" customFormat="1" ht="18" outlineLevel="1" x14ac:dyDescent="0.25">
      <c r="A235" s="54"/>
      <c r="B235" s="54"/>
      <c r="D235" s="23"/>
      <c r="E235" s="20"/>
      <c r="F235" s="37"/>
      <c r="G235" s="44"/>
      <c r="H235" s="20"/>
      <c r="I235" s="28"/>
      <c r="J235" s="20"/>
    </row>
    <row r="236" spans="1:17" s="13" customFormat="1" ht="18" outlineLevel="1" x14ac:dyDescent="0.25">
      <c r="A236" s="54"/>
      <c r="B236" s="54"/>
      <c r="C236" s="23"/>
      <c r="D236" s="23"/>
      <c r="F236" s="96">
        <v>1.75</v>
      </c>
      <c r="G236" s="44"/>
      <c r="H236" s="20"/>
      <c r="I236" s="13">
        <v>1.75</v>
      </c>
      <c r="J236" s="13">
        <v>1.84</v>
      </c>
      <c r="K236" s="13">
        <v>2</v>
      </c>
    </row>
    <row r="237" spans="1:17" s="13" customFormat="1" ht="18" outlineLevel="1" x14ac:dyDescent="0.25">
      <c r="A237" s="54"/>
      <c r="B237" s="54"/>
      <c r="C237" s="23"/>
      <c r="D237" s="23"/>
      <c r="E237" s="20"/>
      <c r="F237" s="37"/>
      <c r="G237" s="44"/>
      <c r="H237" s="20"/>
      <c r="I237" s="13">
        <v>1.68</v>
      </c>
      <c r="J237" s="34">
        <f>(J236-I236)/(K236-I236)*(K237-I237)+I237</f>
        <v>1.752</v>
      </c>
      <c r="K237" s="13">
        <v>1.88</v>
      </c>
      <c r="Q237" s="53"/>
    </row>
    <row r="238" spans="1:17" s="13" customFormat="1" ht="18" outlineLevel="1" x14ac:dyDescent="0.25">
      <c r="A238" s="54"/>
      <c r="B238" s="54"/>
      <c r="D238" s="23"/>
      <c r="E238" s="20"/>
      <c r="F238" s="20"/>
      <c r="G238" s="44"/>
      <c r="H238" s="20"/>
      <c r="I238" s="28"/>
      <c r="J238" s="20"/>
    </row>
    <row r="239" spans="1:17" s="13" customFormat="1" ht="18" outlineLevel="1" x14ac:dyDescent="0.25">
      <c r="A239" s="54"/>
      <c r="B239" s="54"/>
      <c r="C239" s="23"/>
      <c r="D239" s="23"/>
      <c r="F239" s="91">
        <f>COS(RADIANS(86))^2</f>
        <v>4.8659656292148329E-3</v>
      </c>
      <c r="G239" s="44"/>
      <c r="H239" s="20" t="str">
        <f>[3]!EQS(F239,"Units= ; EqnPrefix=Valem  ; EqnNo= 0; Multiplication= 1; ShowWorking= 0; EqnStyle= 2; Eqp$H$75_2")</f>
        <v/>
      </c>
      <c r="J239" s="20"/>
    </row>
    <row r="240" spans="1:17" s="13" customFormat="1" ht="18" outlineLevel="1" x14ac:dyDescent="0.25">
      <c r="A240" s="54"/>
      <c r="B240" s="54"/>
      <c r="D240" s="23"/>
      <c r="G240" s="44"/>
    </row>
    <row r="241" spans="1:12" s="13" customFormat="1" ht="18" x14ac:dyDescent="0.25">
      <c r="A241" s="54"/>
      <c r="B241" s="54"/>
      <c r="C241" s="23"/>
      <c r="D241" s="23"/>
      <c r="F241" s="34">
        <f>F228*F231*F234*F236*F217*F239</f>
        <v>1.6981114483347088</v>
      </c>
      <c r="H241" s="20" t="str">
        <f>[3]!EQS(F241,"Units= ; EqnPrefix=Valem  ; EqnNo= 0; Multiplication= 1; ShowWorking= 0; EqnStyle= 2; Eqp$G$39_0")</f>
        <v/>
      </c>
    </row>
    <row r="242" spans="1:12" s="13" customFormat="1" ht="18" x14ac:dyDescent="0.25">
      <c r="A242" s="54"/>
      <c r="B242" s="54"/>
      <c r="C242" s="23"/>
      <c r="D242" s="23"/>
      <c r="G242" s="44"/>
      <c r="H242" s="13" t="str">
        <f>[3]!EQS(F241,"Units= ; EqnPrefix=Valem  ; EqnNo= 0; Multiplication= 1; ShowWorking= 1; EqnStyle= 2; Eqp$G$39_$G$40_1")</f>
        <v/>
      </c>
    </row>
    <row r="243" spans="1:12" s="13" customFormat="1" ht="18" x14ac:dyDescent="0.25">
      <c r="A243" s="54"/>
      <c r="B243" s="54"/>
      <c r="C243" s="23"/>
      <c r="D243" s="23"/>
      <c r="G243" s="44"/>
    </row>
    <row r="244" spans="1:12" s="13" customFormat="1" ht="18" x14ac:dyDescent="0.25">
      <c r="A244" s="54"/>
      <c r="B244" s="54"/>
      <c r="C244" s="23"/>
      <c r="D244" s="23"/>
      <c r="G244" s="44"/>
    </row>
    <row r="245" spans="1:12" s="13" customFormat="1" ht="18" x14ac:dyDescent="0.25">
      <c r="A245" s="54"/>
      <c r="C245" s="24"/>
      <c r="D245" s="24"/>
      <c r="E245" s="18"/>
      <c r="F245" s="18"/>
      <c r="G245" s="46"/>
      <c r="H245" s="18"/>
      <c r="I245" s="18"/>
      <c r="J245" s="18"/>
      <c r="K245" s="18"/>
      <c r="L245" s="18"/>
    </row>
    <row r="246" spans="1:12" s="13" customFormat="1" ht="18" outlineLevel="1" x14ac:dyDescent="0.25">
      <c r="A246" s="54"/>
      <c r="B246" s="54"/>
      <c r="D246" s="23"/>
      <c r="E246" s="14"/>
      <c r="G246" s="44"/>
    </row>
    <row r="247" spans="1:12" s="13" customFormat="1" ht="18" outlineLevel="1" x14ac:dyDescent="0.25">
      <c r="A247" s="54"/>
      <c r="B247" s="54"/>
      <c r="C247" s="23"/>
      <c r="D247" s="23"/>
      <c r="F247" s="22">
        <v>36</v>
      </c>
    </row>
    <row r="248" spans="1:12" s="13" customFormat="1" ht="18" outlineLevel="1" x14ac:dyDescent="0.25">
      <c r="A248" s="54"/>
      <c r="B248" s="54"/>
      <c r="C248" s="23"/>
      <c r="D248" s="23"/>
      <c r="F248" s="22">
        <v>0.25</v>
      </c>
    </row>
    <row r="249" spans="1:12" s="13" customFormat="1" ht="18" outlineLevel="1" x14ac:dyDescent="0.25">
      <c r="A249" s="54"/>
      <c r="B249" s="54"/>
      <c r="C249" s="23"/>
      <c r="D249" s="23"/>
      <c r="F249" s="22">
        <v>0.25</v>
      </c>
    </row>
    <row r="250" spans="1:12" s="13" customFormat="1" ht="18" outlineLevel="1" x14ac:dyDescent="0.25">
      <c r="A250" s="54"/>
      <c r="B250" s="54"/>
      <c r="C250" s="23"/>
      <c r="D250" s="23"/>
      <c r="F250" s="22">
        <v>23</v>
      </c>
    </row>
    <row r="251" spans="1:12" s="13" customFormat="1" ht="18" outlineLevel="1" x14ac:dyDescent="0.25">
      <c r="A251" s="54"/>
      <c r="B251" s="54"/>
      <c r="D251" s="26"/>
      <c r="E251" s="17"/>
      <c r="F251" s="16"/>
      <c r="G251" s="45"/>
      <c r="I251" s="21"/>
    </row>
    <row r="252" spans="1:12" s="13" customFormat="1" ht="18" outlineLevel="1" x14ac:dyDescent="0.25">
      <c r="A252" s="54"/>
      <c r="B252" s="54"/>
      <c r="C252" s="23"/>
      <c r="D252" s="23"/>
      <c r="F252" s="33">
        <f>F248*F250</f>
        <v>5.75</v>
      </c>
      <c r="H252" s="20" t="str">
        <f>[3]!EQS(F252,"Units= ; EqnPrefix=Valem  ; EqnNo= 0; Multiplication= 1; ShowWorking= 1; EqnStyle=2; Eqp$G$17_0")</f>
        <v/>
      </c>
    </row>
    <row r="253" spans="1:12" s="13" customFormat="1" ht="18" outlineLevel="1" x14ac:dyDescent="0.25">
      <c r="A253" s="54"/>
      <c r="B253" s="54"/>
      <c r="D253" s="23"/>
      <c r="E253" s="25"/>
      <c r="F253" s="33"/>
      <c r="G253" s="47"/>
      <c r="H253" s="20"/>
      <c r="I253" s="19"/>
    </row>
    <row r="254" spans="1:12" s="13" customFormat="1" ht="18" outlineLevel="1" x14ac:dyDescent="0.25">
      <c r="A254" s="54"/>
      <c r="B254" s="54"/>
      <c r="C254" s="36"/>
      <c r="D254" s="23"/>
      <c r="F254" s="33">
        <f>F249*F248</f>
        <v>6.25E-2</v>
      </c>
      <c r="H254" s="20" t="str">
        <f>[3]!EQS(F254,"Units= ; EqnPrefix=Valem  ; EqnNo= 0; Multiplication= 1; ShowWorking= 1; EqnStyle= 2; Eqp$H$137_2")</f>
        <v/>
      </c>
    </row>
    <row r="255" spans="1:12" s="13" customFormat="1" ht="18" outlineLevel="1" x14ac:dyDescent="0.25">
      <c r="A255" s="54"/>
      <c r="B255" s="54"/>
      <c r="D255" s="23"/>
      <c r="F255" s="16"/>
      <c r="G255" s="45"/>
      <c r="I255" s="21"/>
    </row>
    <row r="256" spans="1:12" s="13" customFormat="1" ht="18" outlineLevel="1" x14ac:dyDescent="0.25">
      <c r="A256" s="54"/>
      <c r="B256" s="54"/>
      <c r="C256" s="23"/>
      <c r="D256" s="23"/>
      <c r="E256" s="17"/>
      <c r="F256" s="16"/>
      <c r="G256" s="45"/>
      <c r="I256" s="21"/>
    </row>
    <row r="257" spans="1:12" s="13" customFormat="1" ht="18" outlineLevel="1" x14ac:dyDescent="0.25">
      <c r="A257" s="54"/>
      <c r="B257" s="54"/>
      <c r="C257" s="23"/>
      <c r="D257" s="23"/>
      <c r="G257" s="44"/>
    </row>
    <row r="258" spans="1:12" s="13" customFormat="1" ht="18" outlineLevel="1" x14ac:dyDescent="0.25">
      <c r="A258" s="54"/>
      <c r="B258" s="54"/>
      <c r="C258" s="23"/>
      <c r="D258" s="23"/>
      <c r="F258" s="30">
        <f>F150*LN(F247/F151)*F147</f>
        <v>26.251212335920307</v>
      </c>
      <c r="H258" s="20" t="str">
        <f>[3]!EQS(F258,"Units= ; EqnPrefix=Valem  ; EqnNo= 0; Multiplication= 1; ShowWorking= 0; EqnStyle= 2; Eqp$H$54_2")</f>
        <v/>
      </c>
      <c r="J258" s="20"/>
    </row>
    <row r="259" spans="1:12" s="13" customFormat="1" ht="18" outlineLevel="1" x14ac:dyDescent="0.25">
      <c r="A259" s="54"/>
      <c r="B259" s="54"/>
      <c r="C259" s="23"/>
      <c r="D259" s="23"/>
      <c r="E259" s="17"/>
      <c r="F259" s="30"/>
      <c r="G259" s="45"/>
      <c r="H259" s="20" t="str">
        <f>[3]!EQS(F258,"Units= ; EqnPrefix=Valem  ; EqnNo= 0; Multiplication= 1; ShowWorking= 1; EqnStyle= 2; Eqp$H$54_$H$55_3")</f>
        <v/>
      </c>
      <c r="J259" s="20"/>
    </row>
    <row r="260" spans="1:12" s="13" customFormat="1" ht="18" outlineLevel="1" x14ac:dyDescent="0.25">
      <c r="A260" s="54"/>
      <c r="B260" s="54"/>
      <c r="D260" s="29"/>
      <c r="F260" s="30"/>
      <c r="G260" s="45"/>
      <c r="H260" s="20"/>
      <c r="I260" s="28"/>
      <c r="J260" s="20"/>
    </row>
    <row r="261" spans="1:12" s="13" customFormat="1" ht="18" outlineLevel="1" x14ac:dyDescent="0.25">
      <c r="A261" s="54"/>
      <c r="B261" s="54"/>
      <c r="C261" s="23"/>
      <c r="D261" s="23"/>
      <c r="F261" s="30">
        <f>1/2*F149*F258^2</f>
        <v>422.08976632716445</v>
      </c>
      <c r="H261" s="20" t="str">
        <f>[3]!EQS(F261,"Units= ; EqnPrefix=Valem  ; EqnNo= 0; Multiplication= 1; ShowWorking= 0; EqnStyle= 2; Eqp$G$21_0")</f>
        <v/>
      </c>
      <c r="J261" s="20"/>
    </row>
    <row r="262" spans="1:12" s="13" customFormat="1" ht="18" outlineLevel="1" x14ac:dyDescent="0.25">
      <c r="A262" s="54"/>
      <c r="B262" s="54"/>
      <c r="C262" s="23"/>
      <c r="D262" s="23"/>
      <c r="E262" s="25"/>
      <c r="F262" s="30"/>
      <c r="G262" s="47"/>
      <c r="H262" s="20" t="str">
        <f>[3]!EQS(F261,"Units= ; EqnPrefix=Valem  ; EqnNo= 0; Multiplication= 1; ShowWorking= 1; EqnStyle= 2; Eqp$G$21_$G$25_1")</f>
        <v/>
      </c>
      <c r="J262" s="20"/>
    </row>
    <row r="263" spans="1:12" s="13" customFormat="1" ht="18" outlineLevel="1" x14ac:dyDescent="0.25">
      <c r="A263" s="54"/>
      <c r="B263" s="54"/>
      <c r="D263" s="23"/>
      <c r="E263" s="25"/>
      <c r="F263" s="30"/>
      <c r="G263" s="47"/>
      <c r="I263" s="28"/>
      <c r="J263" s="20"/>
    </row>
    <row r="264" spans="1:12" s="13" customFormat="1" ht="18" outlineLevel="1" x14ac:dyDescent="0.25">
      <c r="A264" s="54"/>
      <c r="B264" s="54"/>
      <c r="C264" s="23"/>
      <c r="D264" s="23"/>
      <c r="F264" s="30">
        <f>(1+2.28/LN(F247/F151))^2</f>
        <v>1.8131807308313552</v>
      </c>
      <c r="G264" s="47"/>
      <c r="H264" s="20" t="str">
        <f>[3]!EQS(F264,"Units= ; EqnPrefix=Valem  ; EqnNo= 0; Multiplication= 1; ShowWorking= 0; EqnStyle= 2; Eqp$G$24_0")</f>
        <v/>
      </c>
      <c r="J264" s="20"/>
    </row>
    <row r="265" spans="1:12" s="13" customFormat="1" ht="18" outlineLevel="1" x14ac:dyDescent="0.25">
      <c r="A265" s="54"/>
      <c r="B265" s="54"/>
      <c r="C265" s="23"/>
      <c r="D265" s="23"/>
      <c r="E265" s="25"/>
      <c r="F265" s="30"/>
      <c r="G265" s="47"/>
      <c r="H265" s="20" t="str">
        <f>[3]!EQS(F264,"Units= ; EqnPrefix=Valem  ; EqnNo= 0; Multiplication= 1; ShowWorking= 1; EqnStyle= 2; Eqp$G$24_$G$28_1")</f>
        <v/>
      </c>
      <c r="J265" s="20"/>
    </row>
    <row r="266" spans="1:12" s="13" customFormat="1" ht="18" outlineLevel="1" x14ac:dyDescent="0.25">
      <c r="A266" s="54"/>
      <c r="B266" s="54"/>
      <c r="E266" s="25"/>
      <c r="F266" s="30"/>
      <c r="G266" s="47"/>
      <c r="J266" s="20"/>
    </row>
    <row r="267" spans="1:12" s="13" customFormat="1" ht="18" outlineLevel="1" x14ac:dyDescent="0.25">
      <c r="A267" s="54"/>
      <c r="B267" s="54"/>
      <c r="C267" s="23"/>
      <c r="D267" s="23"/>
      <c r="F267" s="13">
        <v>1.1499999999999999</v>
      </c>
      <c r="G267" s="44"/>
      <c r="J267" s="20"/>
    </row>
    <row r="268" spans="1:12" s="13" customFormat="1" ht="18" outlineLevel="1" x14ac:dyDescent="0.25">
      <c r="A268" s="54"/>
      <c r="B268" s="54"/>
      <c r="D268" s="23"/>
      <c r="E268" s="20"/>
      <c r="F268" s="37"/>
      <c r="G268" s="44"/>
      <c r="H268" s="20"/>
      <c r="I268" s="28"/>
      <c r="J268" s="20"/>
    </row>
    <row r="269" spans="1:12" s="13" customFormat="1" ht="18" outlineLevel="1" x14ac:dyDescent="0.25">
      <c r="A269" s="54"/>
      <c r="B269" s="54"/>
      <c r="C269" s="23"/>
      <c r="D269" s="23"/>
      <c r="F269" s="96">
        <v>1.58</v>
      </c>
      <c r="G269" s="44"/>
      <c r="H269" s="20"/>
      <c r="J269" s="13">
        <v>1.5</v>
      </c>
      <c r="K269" s="13">
        <v>1.62</v>
      </c>
      <c r="L269" s="13">
        <v>1.75</v>
      </c>
    </row>
    <row r="270" spans="1:12" s="13" customFormat="1" ht="18" outlineLevel="1" x14ac:dyDescent="0.25">
      <c r="A270" s="54"/>
      <c r="B270" s="54"/>
      <c r="C270" s="23"/>
      <c r="D270" s="23"/>
      <c r="E270" s="20"/>
      <c r="F270" s="37"/>
      <c r="G270" s="44"/>
      <c r="H270" s="20"/>
      <c r="J270" s="13">
        <v>1.48</v>
      </c>
      <c r="K270" s="34">
        <f>(K269-J269)/(L269-J269)*(L270-J270)+J270</f>
        <v>1.5760000000000001</v>
      </c>
      <c r="L270" s="13">
        <v>1.68</v>
      </c>
    </row>
    <row r="271" spans="1:12" s="13" customFormat="1" ht="18" outlineLevel="1" x14ac:dyDescent="0.25">
      <c r="A271" s="54"/>
      <c r="B271" s="54"/>
      <c r="D271" s="23"/>
      <c r="E271" s="20"/>
      <c r="F271" s="37"/>
      <c r="G271" s="44"/>
      <c r="H271" s="20"/>
      <c r="J271" s="28"/>
      <c r="K271" s="20"/>
    </row>
    <row r="272" spans="1:12" s="13" customFormat="1" ht="18" outlineLevel="1" x14ac:dyDescent="0.25">
      <c r="A272" s="54"/>
      <c r="B272" s="54"/>
      <c r="C272" s="43"/>
      <c r="D272" s="23"/>
      <c r="F272" s="96">
        <v>1.75</v>
      </c>
      <c r="G272" s="44"/>
      <c r="H272" s="20"/>
      <c r="J272" s="13">
        <v>1.75</v>
      </c>
      <c r="K272" s="13">
        <v>1.84</v>
      </c>
      <c r="L272" s="13">
        <v>2</v>
      </c>
    </row>
    <row r="273" spans="1:12" s="13" customFormat="1" ht="18" outlineLevel="1" x14ac:dyDescent="0.25">
      <c r="A273" s="54"/>
      <c r="B273" s="54"/>
      <c r="C273" s="23"/>
      <c r="D273" s="23"/>
      <c r="E273" s="20"/>
      <c r="F273" s="37"/>
      <c r="G273" s="44"/>
      <c r="H273" s="20"/>
      <c r="J273" s="13">
        <v>1.68</v>
      </c>
      <c r="K273" s="34">
        <f>(K272-J272)/(L272-J272)*(L273-J273)+J273</f>
        <v>1.752</v>
      </c>
      <c r="L273" s="13">
        <v>1.88</v>
      </c>
    </row>
    <row r="274" spans="1:12" s="13" customFormat="1" ht="18" outlineLevel="1" x14ac:dyDescent="0.25">
      <c r="A274" s="54"/>
      <c r="B274" s="54"/>
      <c r="D274" s="23"/>
      <c r="E274" s="20"/>
      <c r="F274" s="20"/>
      <c r="G274" s="44"/>
      <c r="H274" s="20"/>
      <c r="I274" s="28"/>
      <c r="J274" s="20"/>
    </row>
    <row r="275" spans="1:12" s="13" customFormat="1" ht="18" outlineLevel="1" x14ac:dyDescent="0.25">
      <c r="A275" s="54"/>
      <c r="B275" s="54"/>
      <c r="C275" s="23"/>
      <c r="D275" s="23"/>
      <c r="F275" s="91">
        <f>COS(RADIANS(86))^2</f>
        <v>4.8659656292148329E-3</v>
      </c>
      <c r="G275" s="44"/>
      <c r="H275" s="20" t="str">
        <f>[3]!EQS(F275,"Units= ; EqnPrefix=Valem  ; EqnNo= 0; Multiplication= 1; ShowWorking= 0; EqnStyle= 2; Eqp$H$75_2")</f>
        <v/>
      </c>
      <c r="J275" s="20"/>
    </row>
    <row r="276" spans="1:12" s="13" customFormat="1" ht="18" outlineLevel="1" x14ac:dyDescent="0.25">
      <c r="A276" s="54"/>
      <c r="B276" s="54"/>
      <c r="D276" s="23"/>
      <c r="E276" s="42"/>
      <c r="F276" s="40"/>
      <c r="G276" s="44"/>
      <c r="H276" s="20"/>
      <c r="I276" s="28"/>
      <c r="J276" s="20"/>
    </row>
    <row r="277" spans="1:12" s="13" customFormat="1" ht="18" outlineLevel="1" x14ac:dyDescent="0.25">
      <c r="A277" s="54"/>
      <c r="B277" s="54"/>
      <c r="C277" s="23"/>
      <c r="D277" s="23"/>
      <c r="F277" s="91">
        <f>COS(RADIANS(4))^2</f>
        <v>0.99513403437078507</v>
      </c>
      <c r="G277" s="44"/>
      <c r="H277" s="20" t="str">
        <f>[3]!EQS(F277,"Units= ; EqnPrefix=Valem  ; EqnNo= 0; Multiplication= 1; ShowWorking= 0; EqnStyle= 2; Eqp$H$75_2")</f>
        <v/>
      </c>
      <c r="J277" s="20"/>
    </row>
    <row r="278" spans="1:12" s="13" customFormat="1" ht="18" x14ac:dyDescent="0.25">
      <c r="A278" s="54"/>
      <c r="B278" s="54"/>
      <c r="D278" s="23"/>
      <c r="G278" s="44"/>
    </row>
    <row r="279" spans="1:12" s="13" customFormat="1" ht="18" x14ac:dyDescent="0.25">
      <c r="A279" s="54"/>
      <c r="B279" s="54"/>
      <c r="C279" s="23"/>
      <c r="D279" s="23"/>
      <c r="F279" s="34">
        <f>F261*F264*F267*F269*F248*F275</f>
        <v>1.6916475756868032</v>
      </c>
      <c r="H279" s="20" t="str">
        <f>[3]!EQS(F279,"Units= ; EqnPrefix=Valem  ; EqnNo= 0; Multiplication= 1; ShowWorking= 0; EqnStyle= 2; Eqp$G$39_0")</f>
        <v/>
      </c>
    </row>
    <row r="280" spans="1:12" s="13" customFormat="1" ht="18" x14ac:dyDescent="0.25">
      <c r="A280" s="54"/>
      <c r="B280" s="54"/>
      <c r="C280" s="23"/>
      <c r="D280" s="23"/>
      <c r="G280" s="44"/>
      <c r="H280" s="13" t="str">
        <f>[3]!EQS(F279,"Units= ; EqnPrefix=Valem  ; EqnNo= 0; Multiplication= 1; ShowWorking= 1; EqnStyle= 2; Eqp$G$39_$G$40_1")</f>
        <v/>
      </c>
    </row>
    <row r="281" spans="1:12" s="13" customFormat="1" ht="18" x14ac:dyDescent="0.25">
      <c r="A281" s="54"/>
      <c r="B281" s="54"/>
      <c r="D281" s="23"/>
      <c r="G281" s="44"/>
    </row>
    <row r="282" spans="1:12" s="13" customFormat="1" ht="18" x14ac:dyDescent="0.25">
      <c r="A282" s="54"/>
      <c r="B282" s="54"/>
      <c r="C282" s="23"/>
      <c r="D282" s="23"/>
      <c r="F282" s="34">
        <f>F261*F264*F267*F272*F249*F248*F277</f>
        <v>95.795123981266286</v>
      </c>
      <c r="H282" s="20" t="str">
        <f>[3]!EQS(F282,"Units= ; EqnPrefix=Valem  ; EqnNo= 0; Multiplication= 1; ShowWorking= 0; EqnStyle= 2; Eqp$G$39_0")</f>
        <v/>
      </c>
    </row>
    <row r="283" spans="1:12" s="13" customFormat="1" ht="18" x14ac:dyDescent="0.25">
      <c r="A283" s="54"/>
      <c r="B283" s="54"/>
      <c r="C283" s="23"/>
      <c r="D283" s="23"/>
      <c r="G283" s="44"/>
      <c r="H283" s="13" t="str">
        <f>[3]!EQS(F282,"Units= ; EqnPrefix=Valem  ; EqnNo= 0; Multiplication= 1; ShowWorking= 1; EqnStyle= 2; Eqp$G$39_$G$40_1")</f>
        <v/>
      </c>
    </row>
    <row r="284" spans="1:12" s="13" customFormat="1" ht="18" x14ac:dyDescent="0.25">
      <c r="A284" s="54"/>
      <c r="C284" s="24"/>
      <c r="D284" s="24"/>
      <c r="E284" s="18"/>
      <c r="F284" s="18"/>
      <c r="G284" s="46"/>
      <c r="H284" s="18"/>
      <c r="I284" s="18"/>
      <c r="J284" s="18"/>
      <c r="K284" s="18"/>
      <c r="L284" s="18"/>
    </row>
    <row r="285" spans="1:12" s="13" customFormat="1" ht="18" outlineLevel="1" x14ac:dyDescent="0.25">
      <c r="A285" s="54"/>
      <c r="B285" s="54"/>
      <c r="D285" s="23"/>
      <c r="E285" s="14"/>
      <c r="G285" s="44"/>
    </row>
    <row r="286" spans="1:12" s="13" customFormat="1" ht="18" outlineLevel="1" x14ac:dyDescent="0.25">
      <c r="A286" s="54"/>
      <c r="B286" s="54"/>
      <c r="C286" s="23"/>
      <c r="D286" s="23"/>
      <c r="F286" s="22">
        <v>41</v>
      </c>
    </row>
    <row r="287" spans="1:12" s="13" customFormat="1" ht="18" outlineLevel="1" x14ac:dyDescent="0.25">
      <c r="A287" s="54"/>
      <c r="B287" s="54"/>
      <c r="C287" s="23"/>
      <c r="D287" s="23"/>
      <c r="F287" s="22">
        <f>0.25+0.02</f>
        <v>0.27</v>
      </c>
    </row>
    <row r="288" spans="1:12" s="13" customFormat="1" ht="18" outlineLevel="1" x14ac:dyDescent="0.25">
      <c r="A288" s="54"/>
      <c r="B288" s="54"/>
      <c r="C288" s="23"/>
      <c r="D288" s="23"/>
      <c r="F288" s="22">
        <f>0.15+0.2</f>
        <v>0.35</v>
      </c>
    </row>
    <row r="289" spans="1:10" s="13" customFormat="1" ht="18" outlineLevel="1" x14ac:dyDescent="0.25">
      <c r="A289" s="54"/>
      <c r="B289" s="54"/>
      <c r="C289" s="23"/>
      <c r="D289" s="23"/>
      <c r="F289" s="22">
        <v>5</v>
      </c>
    </row>
    <row r="290" spans="1:10" s="13" customFormat="1" ht="18" outlineLevel="1" x14ac:dyDescent="0.25">
      <c r="A290" s="54"/>
      <c r="B290" s="54"/>
      <c r="D290" s="26"/>
      <c r="E290" s="17"/>
      <c r="F290" s="16"/>
      <c r="G290" s="45"/>
      <c r="I290" s="21"/>
    </row>
    <row r="291" spans="1:10" s="13" customFormat="1" ht="18" outlineLevel="1" x14ac:dyDescent="0.25">
      <c r="A291" s="54"/>
      <c r="B291" s="54"/>
      <c r="C291" s="23"/>
      <c r="D291" s="23"/>
      <c r="F291" s="33">
        <f>F288*F289</f>
        <v>1.75</v>
      </c>
      <c r="H291" s="20" t="str">
        <f>[3]!EQS(F291,"Units= ; EqnPrefix=Valem  ; EqnNo= 0; Multiplication= 1; ShowWorking= 1; EqnStyle=2; Eqp$G$17_0")</f>
        <v/>
      </c>
    </row>
    <row r="292" spans="1:10" s="13" customFormat="1" ht="18" outlineLevel="1" x14ac:dyDescent="0.25">
      <c r="A292" s="54"/>
      <c r="B292" s="54"/>
      <c r="D292" s="23"/>
      <c r="E292" s="25"/>
      <c r="F292" s="33"/>
      <c r="G292" s="47"/>
      <c r="H292" s="20"/>
      <c r="I292" s="19"/>
    </row>
    <row r="293" spans="1:10" s="13" customFormat="1" ht="18" outlineLevel="1" x14ac:dyDescent="0.25">
      <c r="A293" s="54"/>
      <c r="B293" s="54"/>
      <c r="C293" s="36"/>
      <c r="D293" s="23"/>
      <c r="F293" s="33">
        <f>F289*F287</f>
        <v>1.35</v>
      </c>
      <c r="H293" s="20" t="str">
        <f>[3]!EQS(F293,"Units= ; EqnPrefix=Valem  ; EqnNo= 0; Multiplication= 1; ShowWorking= 1; EqnStyle= 2; Eqp$H$137_2")</f>
        <v/>
      </c>
    </row>
    <row r="294" spans="1:10" s="13" customFormat="1" ht="18" outlineLevel="1" x14ac:dyDescent="0.25">
      <c r="A294" s="54"/>
      <c r="B294" s="54"/>
      <c r="D294" s="23"/>
      <c r="F294" s="16"/>
      <c r="G294" s="45"/>
      <c r="I294" s="21"/>
    </row>
    <row r="295" spans="1:10" s="13" customFormat="1" ht="18" outlineLevel="1" x14ac:dyDescent="0.25">
      <c r="A295" s="54"/>
      <c r="B295" s="54"/>
      <c r="C295" s="23"/>
      <c r="D295" s="23"/>
      <c r="E295" s="17"/>
      <c r="F295" s="16"/>
      <c r="G295" s="45"/>
      <c r="I295" s="21"/>
    </row>
    <row r="296" spans="1:10" s="13" customFormat="1" ht="18" outlineLevel="1" x14ac:dyDescent="0.25">
      <c r="A296" s="54"/>
      <c r="B296" s="54"/>
      <c r="C296" s="23"/>
      <c r="D296" s="23"/>
      <c r="G296" s="44"/>
    </row>
    <row r="297" spans="1:10" s="13" customFormat="1" ht="18" outlineLevel="1" x14ac:dyDescent="0.25">
      <c r="A297" s="54"/>
      <c r="B297" s="54"/>
      <c r="C297" s="23"/>
      <c r="D297" s="23"/>
      <c r="F297" s="30">
        <f>F150*LN(F286/F151)*F147</f>
        <v>26.770124317630611</v>
      </c>
      <c r="H297" s="20" t="str">
        <f>[3]!EQS(F297,"Units= ; EqnPrefix=Valem  ; EqnNo= 0; Multiplication= 1; ShowWorking= 0; EqnStyle= 2; Eqp$H$54_2")</f>
        <v/>
      </c>
      <c r="J297" s="20"/>
    </row>
    <row r="298" spans="1:10" s="13" customFormat="1" ht="18" outlineLevel="1" x14ac:dyDescent="0.25">
      <c r="A298" s="54"/>
      <c r="B298" s="54"/>
      <c r="C298" s="23"/>
      <c r="D298" s="23"/>
      <c r="E298" s="17"/>
      <c r="F298" s="30"/>
      <c r="G298" s="45"/>
      <c r="H298" s="20" t="str">
        <f>[3]!EQS(F297,"Units= ; EqnPrefix=Valem  ; EqnNo= 0; Multiplication= 1; ShowWorking= 1; EqnStyle= 2; Eqp$H$54_$H$55_3")</f>
        <v/>
      </c>
      <c r="J298" s="20"/>
    </row>
    <row r="299" spans="1:10" s="13" customFormat="1" ht="18" outlineLevel="1" x14ac:dyDescent="0.25">
      <c r="A299" s="54"/>
      <c r="B299" s="54"/>
      <c r="D299" s="29"/>
      <c r="F299" s="30"/>
      <c r="G299" s="45"/>
      <c r="H299" s="20"/>
      <c r="I299" s="28"/>
      <c r="J299" s="20"/>
    </row>
    <row r="300" spans="1:10" s="13" customFormat="1" ht="18" outlineLevel="1" x14ac:dyDescent="0.25">
      <c r="A300" s="54"/>
      <c r="B300" s="54"/>
      <c r="C300" s="23"/>
      <c r="D300" s="23"/>
      <c r="F300" s="30">
        <f>1/2*F149*F297^2</f>
        <v>438.94172803860613</v>
      </c>
      <c r="H300" s="20" t="str">
        <f>[3]!EQS(F300,"Units= ; EqnPrefix=Valem  ; EqnNo= 0; Multiplication= 1; ShowWorking= 0; EqnStyle= 2; Eqp$G$21_0")</f>
        <v/>
      </c>
      <c r="J300" s="20"/>
    </row>
    <row r="301" spans="1:10" s="13" customFormat="1" ht="18" outlineLevel="1" x14ac:dyDescent="0.25">
      <c r="A301" s="54"/>
      <c r="B301" s="54"/>
      <c r="C301" s="23"/>
      <c r="D301" s="23"/>
      <c r="E301" s="25"/>
      <c r="F301" s="30"/>
      <c r="G301" s="47"/>
      <c r="H301" s="20" t="str">
        <f>[3]!EQS(F300,"Units= ; EqnPrefix=Valem  ; EqnNo= 0; Multiplication= 1; ShowWorking= 1; EqnStyle= 2; Eqp$G$21_$G$25_1")</f>
        <v/>
      </c>
      <c r="J301" s="20"/>
    </row>
    <row r="302" spans="1:10" s="13" customFormat="1" ht="18" outlineLevel="1" x14ac:dyDescent="0.25">
      <c r="A302" s="54"/>
      <c r="B302" s="54"/>
      <c r="D302" s="23"/>
      <c r="E302" s="25"/>
      <c r="F302" s="30"/>
      <c r="G302" s="47"/>
      <c r="I302" s="28"/>
      <c r="J302" s="20"/>
    </row>
    <row r="303" spans="1:10" s="13" customFormat="1" ht="18" outlineLevel="1" x14ac:dyDescent="0.25">
      <c r="A303" s="54"/>
      <c r="B303" s="54"/>
      <c r="C303" s="23"/>
      <c r="D303" s="23"/>
      <c r="F303" s="30">
        <f>(1+2.28/LN(F286/F151))^2</f>
        <v>1.7951352851913878</v>
      </c>
      <c r="G303" s="47"/>
      <c r="H303" s="20" t="str">
        <f>[3]!EQS(F303,"Units= ; EqnPrefix=Valem  ; EqnNo= 0; Multiplication= 1; ShowWorking= 0; EqnStyle= 2; Eqp$G$24_0")</f>
        <v/>
      </c>
      <c r="J303" s="20"/>
    </row>
    <row r="304" spans="1:10" s="13" customFormat="1" ht="18" outlineLevel="1" x14ac:dyDescent="0.25">
      <c r="A304" s="54"/>
      <c r="B304" s="54"/>
      <c r="C304" s="23"/>
      <c r="D304" s="23"/>
      <c r="E304" s="25"/>
      <c r="F304" s="30"/>
      <c r="G304" s="47"/>
      <c r="H304" s="20" t="str">
        <f>[3]!EQS(F303,"Units= ; EqnPrefix=Valem  ; EqnNo= 0; Multiplication= 1; ShowWorking= 1; EqnStyle= 2; Eqp$G$24_$G$28_1")</f>
        <v/>
      </c>
      <c r="J304" s="20"/>
    </row>
    <row r="305" spans="1:12" s="13" customFormat="1" ht="18" outlineLevel="1" x14ac:dyDescent="0.25">
      <c r="A305" s="54"/>
      <c r="B305" s="54"/>
      <c r="E305" s="25"/>
      <c r="F305" s="30"/>
      <c r="G305" s="47"/>
      <c r="J305" s="20"/>
    </row>
    <row r="306" spans="1:12" s="13" customFormat="1" ht="18" outlineLevel="1" x14ac:dyDescent="0.25">
      <c r="A306" s="54"/>
      <c r="B306" s="54"/>
      <c r="C306" s="23"/>
      <c r="D306" s="23"/>
      <c r="F306" s="13">
        <v>1.1499999999999999</v>
      </c>
      <c r="G306" s="44"/>
      <c r="J306" s="20"/>
    </row>
    <row r="307" spans="1:12" s="13" customFormat="1" ht="18" outlineLevel="1" x14ac:dyDescent="0.25">
      <c r="A307" s="54"/>
      <c r="B307" s="54"/>
      <c r="D307" s="23"/>
      <c r="E307" s="20"/>
      <c r="F307" s="37"/>
      <c r="G307" s="44"/>
      <c r="H307" s="20"/>
      <c r="I307" s="28"/>
      <c r="J307" s="20"/>
    </row>
    <row r="308" spans="1:12" s="13" customFormat="1" ht="18" outlineLevel="1" x14ac:dyDescent="0.25">
      <c r="A308" s="54"/>
      <c r="B308" s="54"/>
      <c r="C308" s="23"/>
      <c r="D308" s="23"/>
      <c r="F308" s="96">
        <v>1.5</v>
      </c>
      <c r="G308" s="44"/>
      <c r="H308" s="20"/>
      <c r="J308" s="13">
        <v>1.5</v>
      </c>
      <c r="K308" s="13">
        <v>1.53</v>
      </c>
      <c r="L308" s="13">
        <v>1.75</v>
      </c>
    </row>
    <row r="309" spans="1:12" s="13" customFormat="1" ht="18" outlineLevel="1" x14ac:dyDescent="0.25">
      <c r="A309" s="54"/>
      <c r="B309" s="54"/>
      <c r="C309" s="23"/>
      <c r="D309" s="23"/>
      <c r="E309" s="20"/>
      <c r="F309" s="37"/>
      <c r="G309" s="44"/>
      <c r="H309" s="20"/>
      <c r="J309" s="13">
        <v>1.48</v>
      </c>
      <c r="K309" s="34">
        <f>(K308-J308)/(L308-J308)*(L309-J309)+J309</f>
        <v>1.504</v>
      </c>
      <c r="L309" s="13">
        <v>1.68</v>
      </c>
    </row>
    <row r="310" spans="1:12" s="13" customFormat="1" ht="18" outlineLevel="1" x14ac:dyDescent="0.25">
      <c r="A310" s="54"/>
      <c r="B310" s="54"/>
      <c r="D310" s="23"/>
      <c r="E310" s="20"/>
      <c r="F310" s="37"/>
      <c r="G310" s="44"/>
      <c r="H310" s="20"/>
      <c r="J310" s="28"/>
      <c r="K310" s="20"/>
    </row>
    <row r="311" spans="1:12" s="13" customFormat="1" ht="18" outlineLevel="1" x14ac:dyDescent="0.25">
      <c r="A311" s="54"/>
      <c r="B311" s="54"/>
      <c r="C311" s="43"/>
      <c r="D311" s="23"/>
      <c r="F311" s="96">
        <v>1.5</v>
      </c>
      <c r="G311" s="44"/>
      <c r="H311" s="20"/>
      <c r="J311" s="13">
        <v>1.75</v>
      </c>
      <c r="K311" s="13">
        <v>1.53</v>
      </c>
      <c r="L311" s="13">
        <v>2</v>
      </c>
    </row>
    <row r="312" spans="1:12" s="13" customFormat="1" ht="18" outlineLevel="1" x14ac:dyDescent="0.25">
      <c r="A312" s="54"/>
      <c r="B312" s="54"/>
      <c r="C312" s="23"/>
      <c r="D312" s="23"/>
      <c r="E312" s="20"/>
      <c r="F312" s="37"/>
      <c r="G312" s="44"/>
      <c r="H312" s="20"/>
      <c r="J312" s="13">
        <v>1.68</v>
      </c>
      <c r="K312" s="34">
        <f>(K311-J311)/(L311-J311)*(L312-J312)+J312</f>
        <v>1.504</v>
      </c>
      <c r="L312" s="13">
        <v>1.88</v>
      </c>
    </row>
    <row r="313" spans="1:12" s="13" customFormat="1" ht="18" outlineLevel="1" x14ac:dyDescent="0.25">
      <c r="A313" s="54"/>
      <c r="B313" s="54"/>
      <c r="D313" s="23"/>
      <c r="E313" s="20"/>
      <c r="F313" s="20"/>
      <c r="G313" s="44"/>
      <c r="H313" s="20"/>
      <c r="I313" s="28"/>
      <c r="J313" s="20"/>
    </row>
    <row r="314" spans="1:12" s="13" customFormat="1" ht="18" outlineLevel="1" x14ac:dyDescent="0.25">
      <c r="A314" s="54"/>
      <c r="B314" s="54"/>
      <c r="C314" s="23"/>
      <c r="D314" s="23"/>
      <c r="F314" s="91">
        <f>COS(RADIANS(86))^2</f>
        <v>4.8659656292148329E-3</v>
      </c>
      <c r="G314" s="44"/>
      <c r="H314" s="20" t="str">
        <f>[3]!EQS(F314,"Units= ; EqnPrefix=Valem  ; EqnNo= 0; Multiplication= 1; ShowWorking= 0; EqnStyle= 2; Eqp$H$75_2")</f>
        <v/>
      </c>
      <c r="J314" s="20"/>
    </row>
    <row r="315" spans="1:12" s="13" customFormat="1" ht="18" outlineLevel="1" x14ac:dyDescent="0.25">
      <c r="A315" s="54"/>
      <c r="B315" s="54"/>
      <c r="D315" s="23"/>
      <c r="E315" s="42"/>
      <c r="F315" s="40"/>
      <c r="G315" s="44"/>
      <c r="H315" s="20"/>
      <c r="I315" s="28"/>
      <c r="J315" s="20"/>
    </row>
    <row r="316" spans="1:12" s="13" customFormat="1" ht="18" outlineLevel="1" x14ac:dyDescent="0.25">
      <c r="A316" s="54"/>
      <c r="B316" s="54"/>
      <c r="C316" s="23"/>
      <c r="D316" s="23"/>
      <c r="F316" s="91">
        <f>COS(RADIANS(4))^2</f>
        <v>0.99513403437078507</v>
      </c>
      <c r="G316" s="44"/>
      <c r="H316" s="20" t="str">
        <f>[3]!EQS(F316,"Units= ; EqnPrefix=Valem  ; EqnNo= 0; Multiplication= 1; ShowWorking= 0; EqnStyle= 2; Eqp$H$75_2")</f>
        <v/>
      </c>
      <c r="J316" s="20"/>
    </row>
    <row r="317" spans="1:12" s="13" customFormat="1" ht="18" x14ac:dyDescent="0.25">
      <c r="A317" s="54"/>
      <c r="B317" s="54"/>
      <c r="D317" s="23"/>
      <c r="G317" s="44"/>
    </row>
    <row r="318" spans="1:12" s="13" customFormat="1" ht="18" x14ac:dyDescent="0.25">
      <c r="A318" s="54"/>
      <c r="B318" s="54"/>
      <c r="C318" s="23"/>
      <c r="D318" s="23"/>
      <c r="F318" s="34">
        <f>F300*F303*F306*F308*F288*F314</f>
        <v>2.3148893307125165</v>
      </c>
      <c r="H318" s="20" t="str">
        <f>[3]!EQS(F318,"Units= ; EqnPrefix=Valem  ; EqnNo= 0; Multiplication= 1; ShowWorking= 0; EqnStyle= 2; Eqp$G$39_0")</f>
        <v/>
      </c>
    </row>
    <row r="319" spans="1:12" s="13" customFormat="1" ht="18" x14ac:dyDescent="0.25">
      <c r="A319" s="54"/>
      <c r="B319" s="54"/>
      <c r="C319" s="23"/>
      <c r="D319" s="23"/>
      <c r="G319" s="44"/>
      <c r="H319" s="13" t="str">
        <f>[3]!EQS(F318,"Units= ; EqnPrefix=Valem  ; EqnNo= 0; Multiplication= 1; ShowWorking= 1; EqnStyle= 2; Eqp$G$39_$G$40_1")</f>
        <v/>
      </c>
    </row>
    <row r="320" spans="1:12" s="13" customFormat="1" ht="18" x14ac:dyDescent="0.25">
      <c r="A320" s="54"/>
      <c r="B320" s="54"/>
      <c r="D320" s="23"/>
      <c r="G320" s="44"/>
    </row>
    <row r="321" spans="1:10" s="13" customFormat="1" ht="18" x14ac:dyDescent="0.25">
      <c r="A321" s="54"/>
      <c r="B321" s="54"/>
      <c r="C321" s="23"/>
      <c r="D321" s="23"/>
      <c r="F321" s="34">
        <f>F300*F303*F306*F311*F287*F316</f>
        <v>365.20649769611936</v>
      </c>
      <c r="H321" s="20" t="str">
        <f>[3]!EQS(F321,"Units= ; EqnPrefix=Valem  ; EqnNo= 0; Multiplication= 1; ShowWorking= 0; EqnStyle= 2; Eqp$G$39_0")</f>
        <v/>
      </c>
    </row>
    <row r="322" spans="1:10" s="13" customFormat="1" ht="18" x14ac:dyDescent="0.25">
      <c r="A322" s="54"/>
      <c r="B322" s="54"/>
      <c r="C322" s="23"/>
      <c r="D322" s="23"/>
      <c r="G322" s="44"/>
      <c r="H322" s="13" t="str">
        <f>[3]!EQS(F321,"Units= ; EqnPrefix=Valem  ; EqnNo= 0; Multiplication= 1; ShowWorking= 1; EqnStyle= 2; Eqp$G$39_$G$40_1")</f>
        <v/>
      </c>
    </row>
    <row r="323" spans="1:10" s="13" customFormat="1" ht="18" x14ac:dyDescent="0.25">
      <c r="A323" s="54"/>
      <c r="B323" s="54"/>
      <c r="C323" s="23"/>
      <c r="D323" s="23"/>
      <c r="G323" s="44"/>
    </row>
    <row r="324" spans="1:10" s="13" customFormat="1" ht="20.25" x14ac:dyDescent="0.3">
      <c r="A324" s="89"/>
      <c r="C324" s="23"/>
      <c r="D324" s="23"/>
      <c r="E324" s="51"/>
      <c r="F324" s="53"/>
      <c r="G324" s="52"/>
      <c r="H324" s="20"/>
      <c r="I324" s="19"/>
    </row>
    <row r="325" spans="1:10" s="13" customFormat="1" ht="20.25" x14ac:dyDescent="0.3">
      <c r="A325" s="89"/>
      <c r="B325" s="54"/>
      <c r="D325" s="23"/>
      <c r="E325" s="51"/>
      <c r="F325" s="53"/>
      <c r="G325" s="52"/>
      <c r="H325" s="20"/>
      <c r="I325" s="19"/>
    </row>
    <row r="326" spans="1:10" s="13" customFormat="1" ht="20.25" x14ac:dyDescent="0.3">
      <c r="A326" s="89"/>
      <c r="B326" s="54"/>
      <c r="C326" s="69"/>
      <c r="E326" s="51"/>
      <c r="F326" s="53"/>
      <c r="G326" s="52"/>
      <c r="H326" s="20"/>
      <c r="I326" s="19"/>
    </row>
    <row r="327" spans="1:10" s="13" customFormat="1" ht="20.25" x14ac:dyDescent="0.3">
      <c r="A327" s="89"/>
      <c r="B327" s="54"/>
      <c r="C327" s="69"/>
      <c r="D327" s="23"/>
      <c r="F327" s="84">
        <f>Jäitekoormus!F76</f>
        <v>11.428248816311019</v>
      </c>
      <c r="H327" s="20"/>
    </row>
    <row r="328" spans="1:10" s="13" customFormat="1" ht="20.25" x14ac:dyDescent="0.3">
      <c r="A328" s="89"/>
      <c r="B328" s="54"/>
      <c r="C328" s="69"/>
      <c r="D328" s="23"/>
      <c r="F328" s="85">
        <f>Jäitekoormus!F71</f>
        <v>2.01E-2</v>
      </c>
      <c r="H328" s="20"/>
    </row>
    <row r="329" spans="1:10" s="13" customFormat="1" ht="20.25" x14ac:dyDescent="0.3">
      <c r="A329" s="89"/>
      <c r="B329" s="54"/>
      <c r="C329" s="69"/>
      <c r="D329" s="23"/>
      <c r="F329" s="53">
        <v>9.81</v>
      </c>
      <c r="H329" s="20"/>
    </row>
    <row r="330" spans="1:10" s="13" customFormat="1" ht="20.25" x14ac:dyDescent="0.3">
      <c r="A330" s="89"/>
      <c r="B330" s="54"/>
      <c r="C330" s="69"/>
      <c r="D330" s="23"/>
      <c r="F330" s="13">
        <v>3.1415999999999999</v>
      </c>
      <c r="G330" s="44"/>
    </row>
    <row r="331" spans="1:10" s="13" customFormat="1" ht="20.25" x14ac:dyDescent="0.3">
      <c r="A331" s="89"/>
      <c r="B331" s="54"/>
      <c r="C331" s="69"/>
      <c r="D331" s="23"/>
      <c r="F331" s="53">
        <v>900</v>
      </c>
      <c r="H331" s="20"/>
      <c r="I331" s="19"/>
    </row>
    <row r="332" spans="1:10" s="13" customFormat="1" ht="20.25" x14ac:dyDescent="0.3">
      <c r="A332" s="89"/>
      <c r="B332" s="54"/>
      <c r="C332" s="69"/>
      <c r="D332" s="23"/>
      <c r="F332" s="84">
        <f>'TUULEKOORMUS 1'!F240*'TUULEKOORMUS 1'!F243*'TUULEKOORMUS 1'!F246*1.2</f>
        <v>1056.148542760023</v>
      </c>
      <c r="H332" s="20"/>
      <c r="I332" s="19"/>
    </row>
    <row r="333" spans="1:10" s="13" customFormat="1" ht="20.25" x14ac:dyDescent="0.3">
      <c r="A333" s="89"/>
      <c r="B333" s="54"/>
      <c r="C333" s="69"/>
      <c r="D333" s="23"/>
      <c r="F333" s="86">
        <v>1</v>
      </c>
      <c r="G333" s="72"/>
      <c r="H333" s="20"/>
      <c r="I333" s="19"/>
    </row>
    <row r="334" spans="1:10" s="13" customFormat="1" ht="20.25" x14ac:dyDescent="0.3">
      <c r="A334" s="89"/>
      <c r="B334" s="54"/>
      <c r="C334" s="69"/>
      <c r="D334" s="23"/>
      <c r="E334" s="51"/>
      <c r="G334" s="52"/>
      <c r="H334" s="20"/>
      <c r="I334" s="19"/>
    </row>
    <row r="335" spans="1:10" s="13" customFormat="1" ht="20.25" x14ac:dyDescent="0.3">
      <c r="A335" s="89"/>
      <c r="B335" s="54"/>
      <c r="C335" s="23"/>
      <c r="E335" s="51"/>
      <c r="F335" s="53"/>
      <c r="G335" s="52"/>
      <c r="H335" s="20"/>
      <c r="I335" s="19"/>
    </row>
    <row r="336" spans="1:10" s="13" customFormat="1" ht="20.25" x14ac:dyDescent="0.3">
      <c r="A336" s="89"/>
      <c r="B336" s="54"/>
      <c r="C336" s="23"/>
      <c r="D336" s="69"/>
      <c r="F336" s="53">
        <f>1.5</f>
        <v>1.5</v>
      </c>
      <c r="G336" s="52"/>
      <c r="H336" s="20"/>
      <c r="I336" s="19"/>
    </row>
    <row r="337" spans="1:9" s="13" customFormat="1" ht="20.25" x14ac:dyDescent="0.3">
      <c r="A337" s="89"/>
      <c r="B337" s="54"/>
      <c r="C337" s="23"/>
      <c r="D337" s="23"/>
      <c r="F337" s="53">
        <f>F336*F327</f>
        <v>17.142373224466528</v>
      </c>
      <c r="H337" s="20"/>
      <c r="I337" s="19"/>
    </row>
    <row r="338" spans="1:9" s="13" customFormat="1" ht="20.25" x14ac:dyDescent="0.3">
      <c r="A338" s="89"/>
      <c r="B338" s="54"/>
      <c r="C338" s="23"/>
      <c r="E338" s="71"/>
      <c r="F338" s="53"/>
      <c r="G338" s="72"/>
      <c r="H338" s="20"/>
      <c r="I338" s="19"/>
    </row>
    <row r="339" spans="1:9" s="13" customFormat="1" ht="20.25" x14ac:dyDescent="0.3">
      <c r="A339" s="89"/>
      <c r="B339" s="54"/>
      <c r="C339" s="23"/>
      <c r="D339" s="23"/>
      <c r="F339" s="66">
        <f>SQRT(F328^2+((4*F337)/(F329*F330*F331)))</f>
        <v>5.3629508846544494E-2</v>
      </c>
      <c r="H339" s="20" t="str">
        <f>[3]!EQS(F339,"Units= ; EqnPrefix=Valem  ; EqnNo= 0; Multiplication= 1; ShowWorking= 0; EqnStyle= 2; Eqp$H$303_2")</f>
        <v/>
      </c>
    </row>
    <row r="340" spans="1:9" s="13" customFormat="1" ht="20.25" x14ac:dyDescent="0.3">
      <c r="A340" s="89"/>
      <c r="B340" s="54"/>
      <c r="C340" s="23"/>
      <c r="E340" s="71"/>
      <c r="F340" s="66"/>
      <c r="G340" s="72"/>
      <c r="H340" s="20"/>
      <c r="I340" s="19"/>
    </row>
    <row r="341" spans="1:9" s="13" customFormat="1" ht="20.25" x14ac:dyDescent="0.3">
      <c r="A341" s="89"/>
      <c r="B341" s="54"/>
      <c r="C341" s="23"/>
      <c r="D341" s="23"/>
      <c r="F341" s="53">
        <f>F332*F339</f>
        <v>56.640727617213727</v>
      </c>
      <c r="H341" s="20" t="str">
        <f>[3]!EQS(F341,"Units= ; EqnPrefix=Valem  ; EqnNo= 0; Multiplication= 1; ShowWorking= 0; EqnStyle= 2; Eqp$H$303_2")</f>
        <v/>
      </c>
    </row>
    <row r="342" spans="1:9" s="13" customFormat="1" ht="20.25" x14ac:dyDescent="0.3">
      <c r="A342" s="89"/>
      <c r="B342" s="54"/>
      <c r="C342" s="23"/>
      <c r="F342" s="53"/>
      <c r="G342" s="72"/>
      <c r="H342" s="20"/>
      <c r="I342" s="19"/>
    </row>
    <row r="343" spans="1:9" s="13" customFormat="1" ht="20.25" x14ac:dyDescent="0.3">
      <c r="A343" s="89"/>
      <c r="B343" s="54"/>
      <c r="C343" s="23"/>
      <c r="D343" s="23"/>
      <c r="F343" s="53">
        <f>F341*F333</f>
        <v>56.640727617213727</v>
      </c>
      <c r="H343" s="20" t="str">
        <f>[3]!EQS(F343,"Units= ; EqnPrefix=Valem  ; EqnNo= 0; Multiplication= 1; ShowWorking= 0; EqnStyle= 2; Eqp$H$303_2")</f>
        <v/>
      </c>
    </row>
    <row r="344" spans="1:9" s="13" customFormat="1" ht="20.25" x14ac:dyDescent="0.3">
      <c r="A344" s="89"/>
      <c r="B344" s="54"/>
      <c r="C344" s="23"/>
      <c r="D344" s="23"/>
      <c r="F344" s="84">
        <f>'TUULEKOORMUS 1'!F255</f>
        <v>0.43041344951996724</v>
      </c>
      <c r="G344" s="52"/>
      <c r="H344" s="20"/>
      <c r="I344" s="70"/>
    </row>
    <row r="345" spans="1:9" s="13" customFormat="1" ht="20.25" x14ac:dyDescent="0.3">
      <c r="A345" s="89"/>
      <c r="B345" s="54"/>
      <c r="C345" s="24"/>
      <c r="D345" s="24"/>
      <c r="F345" s="34">
        <f>F343*F344</f>
        <v>24.378930957045835</v>
      </c>
      <c r="G345" s="52"/>
      <c r="H345" s="20"/>
      <c r="I345" s="70"/>
    </row>
    <row r="346" spans="1:9" s="13" customFormat="1" ht="20.25" x14ac:dyDescent="0.3">
      <c r="A346" s="89"/>
      <c r="B346" s="54"/>
      <c r="C346" s="23"/>
      <c r="D346" s="23"/>
      <c r="F346" s="84">
        <f>'TUULEKOORMUS 1'!F257</f>
        <v>0.56958655048003271</v>
      </c>
      <c r="G346" s="52"/>
      <c r="H346" s="20"/>
      <c r="I346" s="70"/>
    </row>
    <row r="347" spans="1:9" s="13" customFormat="1" ht="20.25" x14ac:dyDescent="0.3">
      <c r="A347" s="89"/>
      <c r="B347" s="54"/>
      <c r="C347" s="23"/>
      <c r="D347" s="23"/>
      <c r="F347" s="34">
        <f>F346*F343</f>
        <v>32.261796660167889</v>
      </c>
      <c r="G347" s="52"/>
      <c r="H347" s="20"/>
      <c r="I347" s="70"/>
    </row>
    <row r="348" spans="1:9" s="13" customFormat="1" ht="20.25" x14ac:dyDescent="0.3">
      <c r="A348" s="89"/>
      <c r="B348" s="54"/>
      <c r="C348" s="23"/>
      <c r="D348" s="23"/>
      <c r="E348" s="71"/>
      <c r="F348" s="53"/>
      <c r="G348" s="52"/>
      <c r="H348" s="20"/>
      <c r="I348" s="70"/>
    </row>
    <row r="349" spans="1:9" s="13" customFormat="1" ht="20.25" x14ac:dyDescent="0.3">
      <c r="A349" s="89"/>
      <c r="B349" s="54"/>
      <c r="C349" s="23"/>
      <c r="D349" s="23"/>
      <c r="E349" s="51"/>
      <c r="F349" s="53"/>
      <c r="G349" s="52"/>
      <c r="H349" s="20"/>
      <c r="I349" s="19"/>
    </row>
    <row r="350" spans="1:9" s="13" customFormat="1" ht="20.25" x14ac:dyDescent="0.3">
      <c r="A350" s="89"/>
      <c r="B350" s="54"/>
      <c r="C350" s="23"/>
      <c r="E350" s="51"/>
      <c r="F350" s="53"/>
      <c r="G350" s="52"/>
      <c r="H350" s="20"/>
      <c r="I350" s="19"/>
    </row>
    <row r="351" spans="1:9" s="13" customFormat="1" ht="20.25" x14ac:dyDescent="0.3">
      <c r="A351" s="89"/>
      <c r="B351" s="54"/>
      <c r="C351" s="23"/>
      <c r="D351" s="69"/>
      <c r="F351" s="53">
        <v>0.35</v>
      </c>
      <c r="G351" s="52"/>
      <c r="H351" s="20"/>
      <c r="I351" s="19"/>
    </row>
    <row r="352" spans="1:9" s="13" customFormat="1" ht="20.25" x14ac:dyDescent="0.3">
      <c r="A352" s="89"/>
      <c r="B352" s="54"/>
      <c r="C352" s="23"/>
      <c r="D352" s="69"/>
      <c r="F352" s="53">
        <f>F351*F327</f>
        <v>3.9998870857088562</v>
      </c>
      <c r="H352" s="20"/>
      <c r="I352" s="19"/>
    </row>
    <row r="353" spans="1:9" s="13" customFormat="1" ht="20.25" x14ac:dyDescent="0.3">
      <c r="A353" s="89"/>
      <c r="B353" s="54"/>
      <c r="C353" s="23"/>
      <c r="D353" s="69"/>
      <c r="F353" s="66">
        <f>SQRT(F328^2+(4*F352)/(F329*F330*F331))</f>
        <v>3.1318311754121933E-2</v>
      </c>
      <c r="H353" s="20"/>
      <c r="I353" s="19"/>
    </row>
    <row r="354" spans="1:9" s="13" customFormat="1" ht="20.25" x14ac:dyDescent="0.3">
      <c r="A354" s="89"/>
      <c r="B354" s="54"/>
      <c r="C354" s="23"/>
      <c r="E354" s="71"/>
      <c r="F354" s="66"/>
      <c r="G354" s="72"/>
      <c r="H354" s="20"/>
      <c r="I354" s="19"/>
    </row>
    <row r="355" spans="1:9" s="13" customFormat="1" ht="20.25" x14ac:dyDescent="0.3">
      <c r="A355" s="89"/>
      <c r="B355" s="54"/>
      <c r="C355" s="23"/>
      <c r="D355" s="23"/>
      <c r="F355" s="53">
        <f>F332*F353</f>
        <v>33.076789320819977</v>
      </c>
      <c r="H355" s="20" t="str">
        <f>[3]!EQS(F355,"Units= ; EqnPrefix=Valem  ; EqnNo= 0; Multiplication= 1; ShowWorking= 0; EqnStyle= 2; Eqp$H$303_2")</f>
        <v/>
      </c>
    </row>
    <row r="356" spans="1:9" s="13" customFormat="1" ht="20.25" x14ac:dyDescent="0.3">
      <c r="A356" s="89"/>
      <c r="B356" s="54"/>
      <c r="C356" s="23"/>
      <c r="F356" s="53"/>
      <c r="G356" s="72"/>
      <c r="H356" s="20"/>
      <c r="I356" s="19"/>
    </row>
    <row r="357" spans="1:9" s="13" customFormat="1" ht="20.25" x14ac:dyDescent="0.3">
      <c r="A357" s="89"/>
      <c r="B357" s="54"/>
      <c r="C357" s="23"/>
      <c r="D357" s="23"/>
      <c r="F357" s="53">
        <f>F355*F333</f>
        <v>33.076789320819977</v>
      </c>
      <c r="H357" s="20" t="str">
        <f>[3]!EQS(F357,"Units= ; EqnPrefix=Valem  ; EqnNo= 0; Multiplication= 1; ShowWorking= 0; EqnStyle= 2; Eqp$H$303_2")</f>
        <v/>
      </c>
    </row>
    <row r="358" spans="1:9" s="13" customFormat="1" ht="20.25" x14ac:dyDescent="0.3">
      <c r="A358" s="89"/>
      <c r="B358" s="54"/>
      <c r="C358" s="23"/>
      <c r="D358" s="23"/>
      <c r="F358" s="84">
        <f>'TUULEKOORMUS 1'!F255</f>
        <v>0.43041344951996724</v>
      </c>
      <c r="G358" s="72"/>
      <c r="H358" s="20"/>
      <c r="I358" s="70"/>
    </row>
    <row r="359" spans="1:9" s="13" customFormat="1" ht="20.25" x14ac:dyDescent="0.3">
      <c r="A359" s="89"/>
      <c r="B359" s="54"/>
      <c r="C359" s="23"/>
      <c r="D359" s="23"/>
      <c r="F359" s="34">
        <f>F357*F358</f>
        <v>14.236694990619341</v>
      </c>
      <c r="H359" s="20"/>
      <c r="I359" s="70"/>
    </row>
    <row r="360" spans="1:9" s="13" customFormat="1" ht="20.25" x14ac:dyDescent="0.3">
      <c r="A360" s="89"/>
      <c r="B360" s="54"/>
      <c r="C360" s="23"/>
      <c r="D360" s="23"/>
      <c r="F360" s="84">
        <f>'TUULEKOORMUS 1'!F257</f>
        <v>0.56958655048003271</v>
      </c>
      <c r="G360" s="72"/>
      <c r="H360" s="20"/>
      <c r="I360" s="70"/>
    </row>
    <row r="361" spans="1:9" s="13" customFormat="1" ht="20.25" x14ac:dyDescent="0.3">
      <c r="A361" s="89"/>
      <c r="B361" s="54"/>
      <c r="C361" s="23"/>
      <c r="D361" s="23"/>
      <c r="F361" s="34">
        <f>F360*F357</f>
        <v>18.840094330200635</v>
      </c>
      <c r="H361" s="20"/>
      <c r="I361" s="70"/>
    </row>
  </sheetData>
  <pageMargins left="0.7" right="0.7" top="0.75" bottom="0.75" header="0.3" footer="0.3"/>
  <pageSetup paperSize="9" orientation="portrait" horizontalDpi="300" verticalDpi="0" copies="0" r:id="rId1"/>
  <customProperties>
    <customPr name="SSCSheetTrackingNo" r:id="rId2"/>
  </customPropertie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4:Q358"/>
  <sheetViews>
    <sheetView workbookViewId="0"/>
  </sheetViews>
  <sheetFormatPr defaultColWidth="5.5" defaultRowHeight="16.5" customHeight="1" outlineLevelRow="1" x14ac:dyDescent="0.3"/>
  <cols>
    <col min="1" max="1" width="2.875" style="88" customWidth="1"/>
    <col min="2" max="2" width="2.875" style="87" customWidth="1"/>
    <col min="3" max="3" width="2.875" customWidth="1"/>
    <col min="6" max="6" width="7.625" customWidth="1"/>
    <col min="8" max="8" width="1.75" customWidth="1"/>
  </cols>
  <sheetData>
    <row r="24" spans="1:10" s="13" customFormat="1" ht="20.25" x14ac:dyDescent="0.3">
      <c r="A24" s="89"/>
      <c r="C24" s="23"/>
      <c r="D24" s="23"/>
      <c r="E24" s="51"/>
      <c r="F24" s="53"/>
      <c r="G24" s="52"/>
      <c r="H24" s="20"/>
      <c r="I24" s="19"/>
    </row>
    <row r="25" spans="1:10" s="13" customFormat="1" ht="20.25" x14ac:dyDescent="0.3">
      <c r="A25" s="89"/>
      <c r="B25" s="54"/>
      <c r="D25" s="23"/>
      <c r="E25" s="51"/>
      <c r="F25" s="53"/>
      <c r="G25" s="52"/>
      <c r="H25" s="20"/>
      <c r="I25" s="19"/>
    </row>
    <row r="26" spans="1:10" s="13" customFormat="1" ht="20.25" x14ac:dyDescent="0.3">
      <c r="A26" s="89"/>
      <c r="B26" s="54"/>
      <c r="C26" s="69"/>
      <c r="E26" s="51"/>
      <c r="F26" s="53"/>
      <c r="G26" s="52"/>
      <c r="H26" s="20"/>
      <c r="I26" s="19"/>
    </row>
    <row r="27" spans="1:10" s="13" customFormat="1" ht="20.25" x14ac:dyDescent="0.3">
      <c r="A27" s="89"/>
      <c r="B27" s="54"/>
      <c r="C27" s="69"/>
      <c r="D27" s="23"/>
      <c r="F27" s="84">
        <f>Jäitekoormus!F92</f>
        <v>7.4690520878992066</v>
      </c>
      <c r="H27" s="20"/>
    </row>
    <row r="28" spans="1:10" s="13" customFormat="1" ht="20.25" x14ac:dyDescent="0.3">
      <c r="A28" s="89"/>
      <c r="B28" s="54"/>
      <c r="C28" s="69"/>
      <c r="D28" s="23"/>
      <c r="F28" s="85">
        <v>2.18E-2</v>
      </c>
      <c r="H28" s="20"/>
    </row>
    <row r="29" spans="1:10" s="13" customFormat="1" ht="20.25" x14ac:dyDescent="0.3">
      <c r="A29" s="89"/>
      <c r="B29" s="54"/>
      <c r="C29" s="69"/>
      <c r="D29" s="23"/>
      <c r="F29" s="53">
        <v>9.81</v>
      </c>
      <c r="H29" s="20"/>
    </row>
    <row r="30" spans="1:10" s="13" customFormat="1" ht="20.25" x14ac:dyDescent="0.3">
      <c r="A30" s="89"/>
      <c r="B30" s="54"/>
      <c r="C30" s="69"/>
      <c r="D30" s="23"/>
      <c r="F30" s="13">
        <v>3.1415999999999999</v>
      </c>
      <c r="G30" s="44"/>
    </row>
    <row r="31" spans="1:10" s="13" customFormat="1" ht="20.25" x14ac:dyDescent="0.3">
      <c r="A31" s="89"/>
      <c r="B31" s="54"/>
      <c r="C31" s="69"/>
      <c r="D31" s="23"/>
      <c r="F31" s="53">
        <v>900</v>
      </c>
      <c r="H31" s="20"/>
      <c r="I31" s="19"/>
    </row>
    <row r="32" spans="1:10" s="13" customFormat="1" ht="20.25" x14ac:dyDescent="0.3">
      <c r="A32" s="89"/>
      <c r="B32" s="54"/>
      <c r="C32" s="69"/>
      <c r="D32" s="23"/>
      <c r="F32" s="84">
        <f>'TUULEKOORMUS 1'!F279*'TUULEKOORMUS 1'!F282*'TUULEKOORMUS 1'!F287*1.2</f>
        <v>720.05845652879236</v>
      </c>
      <c r="H32" s="20"/>
      <c r="I32" s="19"/>
    </row>
    <row r="33" spans="1:9" s="13" customFormat="1" ht="20.25" x14ac:dyDescent="0.3">
      <c r="A33" s="89"/>
      <c r="B33" s="54"/>
      <c r="C33" s="69"/>
      <c r="D33" s="23"/>
      <c r="F33" s="84">
        <v>2</v>
      </c>
      <c r="G33" s="72"/>
      <c r="H33" s="20"/>
      <c r="I33" s="19"/>
    </row>
    <row r="34" spans="1:9" s="13" customFormat="1" ht="20.25" x14ac:dyDescent="0.3">
      <c r="A34" s="89"/>
      <c r="B34" s="54"/>
      <c r="C34" s="69"/>
      <c r="D34" s="23"/>
      <c r="E34" s="51"/>
      <c r="G34" s="52"/>
      <c r="H34" s="20"/>
      <c r="I34" s="19"/>
    </row>
    <row r="35" spans="1:9" s="13" customFormat="1" ht="20.25" x14ac:dyDescent="0.3">
      <c r="A35" s="89"/>
      <c r="B35" s="54"/>
      <c r="C35" s="23"/>
      <c r="E35" s="51"/>
      <c r="F35" s="53"/>
      <c r="G35" s="52"/>
      <c r="H35" s="20"/>
      <c r="I35" s="19"/>
    </row>
    <row r="36" spans="1:9" s="13" customFormat="1" ht="20.25" x14ac:dyDescent="0.3">
      <c r="A36" s="89"/>
      <c r="B36" s="54"/>
      <c r="C36" s="23"/>
      <c r="D36" s="69"/>
      <c r="F36" s="53">
        <f>1.5</f>
        <v>1.5</v>
      </c>
      <c r="G36" s="52"/>
      <c r="H36" s="20"/>
      <c r="I36" s="19"/>
    </row>
    <row r="37" spans="1:9" s="13" customFormat="1" ht="20.25" x14ac:dyDescent="0.3">
      <c r="A37" s="89"/>
      <c r="B37" s="54"/>
      <c r="C37" s="23"/>
      <c r="D37" s="23"/>
      <c r="F37" s="53">
        <f>F36*F27</f>
        <v>11.203578131848809</v>
      </c>
      <c r="H37" s="20"/>
      <c r="I37" s="19"/>
    </row>
    <row r="38" spans="1:9" s="13" customFormat="1" ht="20.25" x14ac:dyDescent="0.3">
      <c r="A38" s="89"/>
      <c r="B38" s="54"/>
      <c r="C38" s="23"/>
      <c r="E38" s="71"/>
      <c r="F38" s="53"/>
      <c r="G38" s="72"/>
      <c r="H38" s="20"/>
      <c r="I38" s="19"/>
    </row>
    <row r="39" spans="1:9" s="13" customFormat="1" ht="20.25" x14ac:dyDescent="0.3">
      <c r="A39" s="89"/>
      <c r="B39" s="54"/>
      <c r="C39" s="23"/>
      <c r="D39" s="23"/>
      <c r="F39" s="66">
        <f>SQRT(F28^2+((4*F37)/(F29*F30*F31)))</f>
        <v>4.572653739182729E-2</v>
      </c>
      <c r="H39" s="20" t="str">
        <f>[3]!EQS(F39,"Units= ; EqnPrefix=Valem  ; EqnNo= 0; Multiplication= 1; ShowWorking= 0; EqnStyle= 2; Eqp$H$303_2")</f>
        <v/>
      </c>
    </row>
    <row r="40" spans="1:9" s="13" customFormat="1" ht="20.25" x14ac:dyDescent="0.3">
      <c r="A40" s="89"/>
      <c r="B40" s="54"/>
      <c r="C40" s="23"/>
      <c r="E40" s="71"/>
      <c r="F40" s="66"/>
      <c r="G40" s="72"/>
      <c r="H40" s="20"/>
      <c r="I40" s="19"/>
    </row>
    <row r="41" spans="1:9" s="13" customFormat="1" ht="20.25" x14ac:dyDescent="0.3">
      <c r="A41" s="89"/>
      <c r="B41" s="54"/>
      <c r="C41" s="23"/>
      <c r="D41" s="23"/>
      <c r="F41" s="53">
        <f>F32*F39</f>
        <v>32.925779936765267</v>
      </c>
      <c r="H41" s="20" t="str">
        <f>[3]!EQS(F41,"Units= ; EqnPrefix=Valem  ; EqnNo= 0; Multiplication= 1; ShowWorking= 0; EqnStyle= 2; Eqp$H$303_2")</f>
        <v/>
      </c>
    </row>
    <row r="42" spans="1:9" s="13" customFormat="1" ht="20.25" x14ac:dyDescent="0.3">
      <c r="A42" s="89"/>
      <c r="B42" s="54"/>
      <c r="C42" s="23"/>
      <c r="F42" s="53"/>
      <c r="G42" s="72"/>
      <c r="H42" s="20"/>
      <c r="I42" s="19"/>
    </row>
    <row r="43" spans="1:9" s="13" customFormat="1" ht="20.25" x14ac:dyDescent="0.3">
      <c r="A43" s="89"/>
      <c r="B43" s="54"/>
      <c r="C43" s="23"/>
      <c r="D43" s="23"/>
      <c r="F43" s="53">
        <f>F41*F33</f>
        <v>65.851559873530533</v>
      </c>
      <c r="H43" s="20" t="str">
        <f>[3]!EQS(F43,"Units= ; EqnPrefix=Valem  ; EqnNo= 0; Multiplication= 1; ShowWorking= 0; EqnStyle= 2; Eqp$H$303_2")</f>
        <v/>
      </c>
    </row>
    <row r="44" spans="1:9" s="13" customFormat="1" ht="20.25" x14ac:dyDescent="0.3">
      <c r="A44" s="89"/>
      <c r="B44" s="54"/>
      <c r="C44" s="23"/>
      <c r="D44" s="23"/>
      <c r="F44" s="84">
        <f>COS(RADIANS(41))^2</f>
        <v>0.56958655048003271</v>
      </c>
      <c r="G44" s="52"/>
      <c r="H44" s="20"/>
      <c r="I44" s="70"/>
    </row>
    <row r="45" spans="1:9" s="13" customFormat="1" ht="20.25" x14ac:dyDescent="0.3">
      <c r="A45" s="89"/>
      <c r="B45" s="54"/>
      <c r="C45" s="24"/>
      <c r="D45" s="24"/>
      <c r="F45" s="34">
        <f>F43*F44</f>
        <v>37.508162832093596</v>
      </c>
      <c r="G45" s="52"/>
      <c r="H45" s="20"/>
      <c r="I45" s="70"/>
    </row>
    <row r="46" spans="1:9" s="13" customFormat="1" ht="20.25" x14ac:dyDescent="0.3">
      <c r="A46" s="89"/>
      <c r="B46" s="54"/>
      <c r="C46" s="23"/>
      <c r="D46" s="23"/>
      <c r="F46" s="84">
        <f>COS(RADIANS(49))^2</f>
        <v>0.43041344951996724</v>
      </c>
      <c r="G46" s="52"/>
      <c r="H46" s="20"/>
      <c r="I46" s="70"/>
    </row>
    <row r="47" spans="1:9" s="13" customFormat="1" ht="20.25" x14ac:dyDescent="0.3">
      <c r="A47" s="89"/>
      <c r="B47" s="54"/>
      <c r="C47" s="23"/>
      <c r="D47" s="23"/>
      <c r="F47" s="34">
        <f>F46*F43</f>
        <v>28.343397041436933</v>
      </c>
      <c r="G47" s="52"/>
      <c r="H47" s="20"/>
      <c r="I47" s="70"/>
    </row>
    <row r="48" spans="1:9" s="13" customFormat="1" ht="20.25" x14ac:dyDescent="0.3">
      <c r="A48" s="89"/>
      <c r="B48" s="54"/>
      <c r="C48" s="23"/>
      <c r="D48" s="23"/>
      <c r="E48" s="71"/>
      <c r="F48" s="53"/>
      <c r="G48" s="52"/>
      <c r="H48" s="20"/>
      <c r="I48" s="70"/>
    </row>
    <row r="49" spans="1:9" s="13" customFormat="1" ht="20.25" x14ac:dyDescent="0.3">
      <c r="A49" s="89"/>
      <c r="B49" s="54"/>
      <c r="C49" s="23"/>
      <c r="D49" s="23"/>
      <c r="E49" s="51"/>
      <c r="F49" s="53"/>
      <c r="G49" s="52"/>
      <c r="H49" s="20"/>
      <c r="I49" s="19"/>
    </row>
    <row r="50" spans="1:9" s="13" customFormat="1" ht="20.25" x14ac:dyDescent="0.3">
      <c r="A50" s="89"/>
      <c r="B50" s="54"/>
      <c r="C50" s="23"/>
      <c r="E50" s="51"/>
      <c r="F50" s="53"/>
      <c r="G50" s="52"/>
      <c r="H50" s="20"/>
      <c r="I50" s="19"/>
    </row>
    <row r="51" spans="1:9" s="13" customFormat="1" ht="20.25" x14ac:dyDescent="0.3">
      <c r="A51" s="89"/>
      <c r="B51" s="54"/>
      <c r="C51" s="23"/>
      <c r="D51" s="69"/>
      <c r="F51" s="53">
        <v>0.35</v>
      </c>
      <c r="G51" s="52"/>
      <c r="H51" s="20"/>
      <c r="I51" s="19"/>
    </row>
    <row r="52" spans="1:9" s="13" customFormat="1" ht="20.25" x14ac:dyDescent="0.3">
      <c r="A52" s="89"/>
      <c r="B52" s="54"/>
      <c r="C52" s="23"/>
      <c r="D52" s="69"/>
      <c r="F52" s="53">
        <f>F51*F27</f>
        <v>2.6141682307647223</v>
      </c>
      <c r="H52" s="20"/>
      <c r="I52" s="19"/>
    </row>
    <row r="53" spans="1:9" s="13" customFormat="1" ht="20.25" x14ac:dyDescent="0.3">
      <c r="A53" s="89"/>
      <c r="B53" s="54"/>
      <c r="C53" s="23"/>
      <c r="D53" s="69"/>
      <c r="F53" s="66">
        <f>SQRT(F28^2+(4*F52)/(F29*F30*F31))</f>
        <v>2.9192997763689416E-2</v>
      </c>
      <c r="H53" s="20"/>
      <c r="I53" s="19"/>
    </row>
    <row r="54" spans="1:9" s="13" customFormat="1" ht="20.25" x14ac:dyDescent="0.3">
      <c r="A54" s="89"/>
      <c r="B54" s="54"/>
      <c r="C54" s="23"/>
      <c r="E54" s="71"/>
      <c r="F54" s="66"/>
      <c r="G54" s="72"/>
      <c r="H54" s="20"/>
      <c r="I54" s="19"/>
    </row>
    <row r="55" spans="1:9" s="13" customFormat="1" ht="20.25" x14ac:dyDescent="0.3">
      <c r="A55" s="89"/>
      <c r="B55" s="54"/>
      <c r="C55" s="23"/>
      <c r="D55" s="23"/>
      <c r="F55" s="53">
        <f>F32*F53</f>
        <v>21.020664911170687</v>
      </c>
      <c r="H55" s="20" t="str">
        <f>[3]!EQS(F55,"Units= ; EqnPrefix=Valem  ; EqnNo= 0; Multiplication= 1; ShowWorking= 0; EqnStyle= 2; Eqp$H$303_2")</f>
        <v/>
      </c>
    </row>
    <row r="56" spans="1:9" s="13" customFormat="1" ht="20.25" x14ac:dyDescent="0.3">
      <c r="A56" s="89"/>
      <c r="B56" s="54"/>
      <c r="C56" s="23"/>
      <c r="F56" s="53"/>
      <c r="G56" s="72"/>
      <c r="H56" s="20"/>
      <c r="I56" s="19"/>
    </row>
    <row r="57" spans="1:9" s="13" customFormat="1" ht="20.25" x14ac:dyDescent="0.3">
      <c r="A57" s="89"/>
      <c r="B57" s="54"/>
      <c r="C57" s="23"/>
      <c r="D57" s="23"/>
      <c r="F57" s="53">
        <f>F55*F33</f>
        <v>42.041329822341375</v>
      </c>
      <c r="H57" s="20" t="str">
        <f>[3]!EQS(F57,"Units= ; EqnPrefix=Valem  ; EqnNo= 0; Multiplication= 1; ShowWorking= 0; EqnStyle= 2; Eqp$H$303_2")</f>
        <v/>
      </c>
    </row>
    <row r="58" spans="1:9" s="13" customFormat="1" ht="20.25" x14ac:dyDescent="0.3">
      <c r="A58" s="89"/>
      <c r="B58" s="54"/>
      <c r="C58" s="23"/>
      <c r="D58" s="23"/>
      <c r="F58" s="84">
        <f>COS(RADIANS(41))^2</f>
        <v>0.56958655048003271</v>
      </c>
      <c r="G58" s="72"/>
      <c r="H58" s="20"/>
      <c r="I58" s="70"/>
    </row>
    <row r="59" spans="1:9" s="13" customFormat="1" ht="20.25" x14ac:dyDescent="0.3">
      <c r="A59" s="89"/>
      <c r="B59" s="54"/>
      <c r="C59" s="23"/>
      <c r="D59" s="23"/>
      <c r="F59" s="34">
        <f>F57*F58</f>
        <v>23.946176031100748</v>
      </c>
      <c r="H59" s="20"/>
      <c r="I59" s="70"/>
    </row>
    <row r="60" spans="1:9" s="13" customFormat="1" ht="20.25" x14ac:dyDescent="0.3">
      <c r="A60" s="89"/>
      <c r="B60" s="54"/>
      <c r="C60" s="23"/>
      <c r="D60" s="23"/>
      <c r="F60" s="84">
        <f>COS(RADIANS(49))^2</f>
        <v>0.43041344951996724</v>
      </c>
      <c r="G60" s="72"/>
      <c r="H60" s="20"/>
      <c r="I60" s="70"/>
    </row>
    <row r="61" spans="1:9" s="13" customFormat="1" ht="20.25" x14ac:dyDescent="0.3">
      <c r="A61" s="89"/>
      <c r="B61" s="54"/>
      <c r="C61" s="23"/>
      <c r="D61" s="23"/>
      <c r="F61" s="34">
        <f>F60*F57</f>
        <v>18.095153791240623</v>
      </c>
      <c r="H61" s="20"/>
      <c r="I61" s="70"/>
    </row>
    <row r="62" spans="1:9" s="13" customFormat="1" ht="20.25" x14ac:dyDescent="0.3">
      <c r="A62" s="89"/>
      <c r="B62" s="54"/>
      <c r="C62" s="23"/>
      <c r="D62" s="69"/>
      <c r="E62" s="71"/>
      <c r="F62" s="53"/>
      <c r="G62" s="52"/>
      <c r="H62" s="20"/>
      <c r="I62" s="19"/>
    </row>
    <row r="63" spans="1:9" s="13" customFormat="1" ht="20.25" x14ac:dyDescent="0.3">
      <c r="A63" s="89"/>
      <c r="C63" s="23"/>
      <c r="D63" s="23"/>
      <c r="E63" s="51"/>
      <c r="F63" s="53"/>
      <c r="G63" s="52"/>
      <c r="H63" s="20"/>
      <c r="I63" s="19"/>
    </row>
    <row r="64" spans="1:9" s="13" customFormat="1" ht="20.25" x14ac:dyDescent="0.3">
      <c r="A64" s="89"/>
      <c r="B64" s="54"/>
      <c r="D64" s="23"/>
      <c r="E64" s="51"/>
      <c r="F64" s="53"/>
      <c r="G64" s="52"/>
      <c r="H64" s="20"/>
      <c r="I64" s="19"/>
    </row>
    <row r="65" spans="1:10" s="13" customFormat="1" ht="20.25" x14ac:dyDescent="0.3">
      <c r="A65" s="89"/>
      <c r="B65" s="54"/>
      <c r="C65" s="69"/>
      <c r="E65" s="51"/>
      <c r="F65" s="53"/>
      <c r="G65" s="52"/>
      <c r="H65" s="20"/>
      <c r="I65" s="19"/>
    </row>
    <row r="66" spans="1:10" s="13" customFormat="1" ht="20.25" x14ac:dyDescent="0.3">
      <c r="A66" s="89"/>
      <c r="B66" s="54"/>
      <c r="C66" s="69"/>
      <c r="D66" s="23"/>
      <c r="F66" s="84">
        <f>Jäitekoormus!F120</f>
        <v>12.475780043184296</v>
      </c>
      <c r="H66" s="20"/>
    </row>
    <row r="67" spans="1:10" s="13" customFormat="1" ht="20.25" x14ac:dyDescent="0.3">
      <c r="A67" s="89"/>
      <c r="B67" s="54"/>
      <c r="C67" s="69"/>
      <c r="D67" s="23"/>
      <c r="F67" s="85">
        <f>Jäitekoormus!F115/1000</f>
        <v>2.7699999999999999E-2</v>
      </c>
      <c r="H67" s="20"/>
    </row>
    <row r="68" spans="1:10" s="13" customFormat="1" ht="20.25" x14ac:dyDescent="0.3">
      <c r="A68" s="89"/>
      <c r="B68" s="54"/>
      <c r="C68" s="69"/>
      <c r="D68" s="23"/>
      <c r="F68" s="53">
        <v>9.81</v>
      </c>
      <c r="H68" s="20"/>
    </row>
    <row r="69" spans="1:10" s="13" customFormat="1" ht="20.25" x14ac:dyDescent="0.3">
      <c r="A69" s="89"/>
      <c r="B69" s="54"/>
      <c r="C69" s="69"/>
      <c r="D69" s="23"/>
      <c r="F69" s="13">
        <v>3.1415999999999999</v>
      </c>
      <c r="G69" s="44"/>
    </row>
    <row r="70" spans="1:10" s="13" customFormat="1" ht="20.25" x14ac:dyDescent="0.3">
      <c r="A70" s="89"/>
      <c r="B70" s="54"/>
      <c r="C70" s="69"/>
      <c r="D70" s="23"/>
      <c r="F70" s="53">
        <v>900</v>
      </c>
      <c r="H70" s="20"/>
      <c r="I70" s="19"/>
    </row>
    <row r="71" spans="1:10" s="13" customFormat="1" ht="20.25" x14ac:dyDescent="0.3">
      <c r="A71" s="89"/>
      <c r="B71" s="54"/>
      <c r="C71" s="69"/>
      <c r="D71" s="23"/>
      <c r="F71" s="84">
        <f>'TUULEKOORMUS 1'!F334*'TUULEKOORMUS 1'!F337*'TUULEKOORMUS 1'!F342*1.2</f>
        <v>750.63642571246237</v>
      </c>
      <c r="H71" s="20"/>
      <c r="I71" s="19"/>
    </row>
    <row r="72" spans="1:10" s="13" customFormat="1" ht="20.25" x14ac:dyDescent="0.3">
      <c r="A72" s="89"/>
      <c r="B72" s="54"/>
      <c r="C72" s="69"/>
      <c r="D72" s="23"/>
      <c r="F72" s="86">
        <v>3</v>
      </c>
      <c r="G72" s="72"/>
      <c r="H72" s="20"/>
      <c r="I72" s="19"/>
    </row>
    <row r="73" spans="1:10" s="13" customFormat="1" ht="20.25" x14ac:dyDescent="0.3">
      <c r="A73" s="89"/>
      <c r="B73" s="54"/>
      <c r="C73" s="69"/>
      <c r="D73" s="23"/>
      <c r="E73" s="51"/>
      <c r="G73" s="52"/>
      <c r="H73" s="20"/>
      <c r="I73" s="19"/>
    </row>
    <row r="74" spans="1:10" s="13" customFormat="1" ht="20.25" x14ac:dyDescent="0.3">
      <c r="A74" s="89"/>
      <c r="B74" s="54"/>
      <c r="C74" s="23"/>
      <c r="E74" s="51"/>
      <c r="F74" s="53"/>
      <c r="G74" s="52"/>
      <c r="H74" s="20"/>
      <c r="I74" s="19"/>
    </row>
    <row r="75" spans="1:10" s="13" customFormat="1" ht="20.25" x14ac:dyDescent="0.3">
      <c r="A75" s="89"/>
      <c r="B75" s="54"/>
      <c r="C75" s="23"/>
      <c r="D75" s="69"/>
      <c r="F75" s="53">
        <f>1.5</f>
        <v>1.5</v>
      </c>
      <c r="G75" s="52"/>
      <c r="H75" s="20"/>
      <c r="I75" s="19"/>
    </row>
    <row r="76" spans="1:10" s="13" customFormat="1" ht="20.25" x14ac:dyDescent="0.3">
      <c r="A76" s="89"/>
      <c r="B76" s="54"/>
      <c r="C76" s="23"/>
      <c r="D76" s="23"/>
      <c r="F76" s="53">
        <f>F75*F66</f>
        <v>18.713670064776444</v>
      </c>
      <c r="H76" s="20"/>
      <c r="I76" s="19"/>
    </row>
    <row r="77" spans="1:10" s="13" customFormat="1" ht="20.25" x14ac:dyDescent="0.3">
      <c r="A77" s="89"/>
      <c r="B77" s="54"/>
      <c r="C77" s="23"/>
      <c r="E77" s="71"/>
      <c r="F77" s="53"/>
      <c r="G77" s="72"/>
      <c r="H77" s="20"/>
      <c r="I77" s="19"/>
    </row>
    <row r="78" spans="1:10" s="13" customFormat="1" ht="20.25" x14ac:dyDescent="0.3">
      <c r="A78" s="89"/>
      <c r="B78" s="54"/>
      <c r="C78" s="23"/>
      <c r="D78" s="23"/>
      <c r="F78" s="66">
        <f>SQRT(F67^2+((4*F76)/(F68*F69*F70)))</f>
        <v>5.8872761861808419E-2</v>
      </c>
      <c r="H78" s="20" t="str">
        <f>[3]!EQS(F78,"Units= ; EqnPrefix=Valem  ; EqnNo= 0; Multiplication= 1; ShowWorking= 0; EqnStyle= 2; Eqp$H$303_2")</f>
        <v/>
      </c>
    </row>
    <row r="79" spans="1:10" s="13" customFormat="1" ht="20.25" x14ac:dyDescent="0.3">
      <c r="A79" s="89"/>
      <c r="B79" s="54"/>
      <c r="C79" s="23"/>
      <c r="E79" s="71"/>
      <c r="F79" s="66"/>
      <c r="G79" s="72"/>
      <c r="H79" s="20"/>
      <c r="I79" s="19"/>
    </row>
    <row r="80" spans="1:10" s="13" customFormat="1" ht="20.25" x14ac:dyDescent="0.3">
      <c r="A80" s="89"/>
      <c r="B80" s="54"/>
      <c r="C80" s="23"/>
      <c r="D80" s="23"/>
      <c r="F80" s="53">
        <f>F71*F78</f>
        <v>44.192039535768842</v>
      </c>
      <c r="H80" s="20" t="str">
        <f>[3]!EQS(F80,"Units= ; EqnPrefix=Valem  ; EqnNo= 0; Multiplication= 1; ShowWorking= 0; EqnStyle= 2; Eqp$H$303_2")</f>
        <v/>
      </c>
    </row>
    <row r="81" spans="1:9" s="13" customFormat="1" ht="20.25" x14ac:dyDescent="0.3">
      <c r="A81" s="89"/>
      <c r="B81" s="54"/>
      <c r="C81" s="23"/>
      <c r="F81" s="53"/>
      <c r="G81" s="72"/>
      <c r="H81" s="20"/>
      <c r="I81" s="19"/>
    </row>
    <row r="82" spans="1:9" s="13" customFormat="1" ht="20.25" x14ac:dyDescent="0.3">
      <c r="A82" s="89"/>
      <c r="B82" s="54"/>
      <c r="C82" s="23"/>
      <c r="D82" s="23"/>
      <c r="F82" s="53">
        <f>F80*F72</f>
        <v>132.57611860730651</v>
      </c>
      <c r="H82" s="20" t="str">
        <f>[3]!EQS(F82,"Units= ; EqnPrefix=Valem  ; EqnNo= 0; Multiplication= 1; ShowWorking= 0; EqnStyle= 2; Eqp$H$303_2")</f>
        <v/>
      </c>
    </row>
    <row r="83" spans="1:9" s="13" customFormat="1" ht="20.25" x14ac:dyDescent="0.3">
      <c r="A83" s="89"/>
      <c r="B83" s="54"/>
      <c r="C83" s="23"/>
      <c r="D83" s="23"/>
      <c r="F83" s="84">
        <f>COS(RADIANS(41))^2</f>
        <v>0.56958655048003271</v>
      </c>
      <c r="G83" s="72"/>
      <c r="H83" s="20"/>
      <c r="I83" s="70"/>
    </row>
    <row r="84" spans="1:9" s="13" customFormat="1" ht="20.25" x14ac:dyDescent="0.3">
      <c r="A84" s="89"/>
      <c r="B84" s="54"/>
      <c r="C84" s="24"/>
      <c r="D84" s="24"/>
      <c r="F84" s="34">
        <f>F82*F83</f>
        <v>75.513574073567398</v>
      </c>
      <c r="H84" s="20"/>
      <c r="I84" s="70"/>
    </row>
    <row r="85" spans="1:9" s="13" customFormat="1" ht="20.25" x14ac:dyDescent="0.3">
      <c r="A85" s="89"/>
      <c r="B85" s="54"/>
      <c r="C85" s="23"/>
      <c r="D85" s="23"/>
      <c r="F85" s="84">
        <f>COS(RADIANS(49))^2</f>
        <v>0.43041344951996724</v>
      </c>
      <c r="G85" s="72"/>
      <c r="H85" s="20"/>
      <c r="I85" s="70"/>
    </row>
    <row r="86" spans="1:9" s="13" customFormat="1" ht="20.25" x14ac:dyDescent="0.3">
      <c r="A86" s="89"/>
      <c r="B86" s="54"/>
      <c r="C86" s="23"/>
      <c r="D86" s="23"/>
      <c r="F86" s="34">
        <f>F85*F82</f>
        <v>57.062544533739114</v>
      </c>
      <c r="H86" s="20"/>
      <c r="I86" s="70"/>
    </row>
    <row r="87" spans="1:9" s="13" customFormat="1" ht="20.25" x14ac:dyDescent="0.3">
      <c r="A87" s="89"/>
      <c r="B87" s="54"/>
      <c r="C87" s="23"/>
      <c r="D87" s="23"/>
      <c r="E87" s="71"/>
      <c r="F87" s="53"/>
      <c r="G87" s="52"/>
      <c r="H87" s="20"/>
      <c r="I87" s="70"/>
    </row>
    <row r="88" spans="1:9" s="13" customFormat="1" ht="20.25" x14ac:dyDescent="0.3">
      <c r="A88" s="89"/>
      <c r="B88" s="54"/>
      <c r="C88" s="23"/>
      <c r="D88" s="23"/>
      <c r="E88" s="51"/>
      <c r="F88" s="53"/>
      <c r="G88" s="52"/>
      <c r="H88" s="20"/>
      <c r="I88" s="19"/>
    </row>
    <row r="89" spans="1:9" s="13" customFormat="1" ht="20.25" x14ac:dyDescent="0.3">
      <c r="A89" s="89"/>
      <c r="B89" s="54"/>
      <c r="C89" s="23"/>
      <c r="E89" s="51"/>
      <c r="F89" s="53"/>
      <c r="G89" s="52"/>
      <c r="H89" s="20"/>
      <c r="I89" s="19"/>
    </row>
    <row r="90" spans="1:9" s="13" customFormat="1" ht="20.25" x14ac:dyDescent="0.3">
      <c r="A90" s="89"/>
      <c r="B90" s="54"/>
      <c r="C90" s="23"/>
      <c r="D90" s="69"/>
      <c r="F90" s="53">
        <v>0.35</v>
      </c>
      <c r="G90" s="52"/>
      <c r="H90" s="20"/>
      <c r="I90" s="19"/>
    </row>
    <row r="91" spans="1:9" s="13" customFormat="1" ht="20.25" x14ac:dyDescent="0.3">
      <c r="A91" s="89"/>
      <c r="B91" s="54"/>
      <c r="C91" s="23"/>
      <c r="D91" s="69"/>
      <c r="F91" s="53">
        <f>F90*F66</f>
        <v>4.3665230151145034</v>
      </c>
      <c r="H91" s="20"/>
      <c r="I91" s="19"/>
    </row>
    <row r="92" spans="1:9" s="13" customFormat="1" ht="20.25" x14ac:dyDescent="0.3">
      <c r="A92" s="89"/>
      <c r="B92" s="54"/>
      <c r="C92" s="23"/>
      <c r="D92" s="69"/>
      <c r="F92" s="66">
        <f>SQRT(F67^2+(4*F91)/(F68*F69*F70))</f>
        <v>3.7376322551699502E-2</v>
      </c>
      <c r="H92" s="20"/>
      <c r="I92" s="19"/>
    </row>
    <row r="93" spans="1:9" s="13" customFormat="1" ht="20.25" x14ac:dyDescent="0.3">
      <c r="A93" s="89"/>
      <c r="B93" s="54"/>
      <c r="C93" s="23"/>
      <c r="E93" s="71"/>
      <c r="F93" s="66"/>
      <c r="G93" s="72"/>
      <c r="H93" s="20"/>
      <c r="I93" s="19"/>
    </row>
    <row r="94" spans="1:9" s="13" customFormat="1" ht="20.25" x14ac:dyDescent="0.3">
      <c r="A94" s="89"/>
      <c r="B94" s="54"/>
      <c r="C94" s="23"/>
      <c r="D94" s="23"/>
      <c r="F94" s="53">
        <f>F71*F92</f>
        <v>28.056029166483814</v>
      </c>
      <c r="H94" s="20" t="str">
        <f>[3]!EQS(F94,"Units= ; EqnPrefix=Valem  ; EqnNo= 0; Multiplication= 1; ShowWorking= 0; EqnStyle= 2; Eqp$H$303_2")</f>
        <v/>
      </c>
    </row>
    <row r="95" spans="1:9" s="13" customFormat="1" ht="20.25" x14ac:dyDescent="0.3">
      <c r="A95" s="89"/>
      <c r="B95" s="54"/>
      <c r="C95" s="23"/>
      <c r="F95" s="53"/>
      <c r="G95" s="72"/>
      <c r="H95" s="20"/>
      <c r="I95" s="19"/>
    </row>
    <row r="96" spans="1:9" s="13" customFormat="1" ht="20.25" x14ac:dyDescent="0.3">
      <c r="A96" s="89"/>
      <c r="B96" s="54"/>
      <c r="C96" s="23"/>
      <c r="D96" s="23"/>
      <c r="F96" s="53">
        <f>F94*F72</f>
        <v>84.168087499451445</v>
      </c>
      <c r="H96" s="20" t="str">
        <f>[3]!EQS(F96,"Units= ; EqnPrefix=Valem  ; EqnNo= 0; Multiplication= 1; ShowWorking= 0; EqnStyle= 2; Eqp$H$303_2")</f>
        <v/>
      </c>
    </row>
    <row r="97" spans="1:10" s="13" customFormat="1" ht="20.25" x14ac:dyDescent="0.3">
      <c r="A97" s="89"/>
      <c r="B97" s="54"/>
      <c r="C97" s="23"/>
      <c r="D97" s="23"/>
      <c r="F97" s="84">
        <f>COS(RADIANS(41))^2</f>
        <v>0.56958655048003271</v>
      </c>
      <c r="G97" s="72"/>
      <c r="H97" s="20"/>
      <c r="I97" s="70"/>
    </row>
    <row r="98" spans="1:10" s="13" customFormat="1" ht="20.25" x14ac:dyDescent="0.3">
      <c r="A98" s="89"/>
      <c r="B98" s="54"/>
      <c r="C98" s="23"/>
      <c r="D98" s="23"/>
      <c r="F98" s="34">
        <f>F96*F97</f>
        <v>47.941010619314113</v>
      </c>
      <c r="H98" s="20"/>
      <c r="I98" s="70"/>
    </row>
    <row r="99" spans="1:10" s="13" customFormat="1" ht="20.25" x14ac:dyDescent="0.3">
      <c r="A99" s="89"/>
      <c r="B99" s="54"/>
      <c r="C99" s="23"/>
      <c r="D99" s="23"/>
      <c r="F99" s="84">
        <f>COS(RADIANS(49))^2</f>
        <v>0.43041344951996724</v>
      </c>
      <c r="G99" s="72"/>
      <c r="H99" s="20"/>
      <c r="I99" s="70"/>
    </row>
    <row r="100" spans="1:10" s="13" customFormat="1" ht="20.25" x14ac:dyDescent="0.3">
      <c r="A100" s="89"/>
      <c r="B100" s="54"/>
      <c r="C100" s="23"/>
      <c r="D100" s="23"/>
      <c r="F100" s="34">
        <f>F99*F96</f>
        <v>36.227076880137332</v>
      </c>
      <c r="H100" s="20"/>
      <c r="I100" s="70"/>
    </row>
    <row r="102" spans="1:10" s="13" customFormat="1" ht="20.25" x14ac:dyDescent="0.3">
      <c r="A102" s="89"/>
      <c r="C102" s="23"/>
      <c r="D102" s="23"/>
      <c r="E102" s="51"/>
      <c r="F102" s="53"/>
      <c r="G102" s="52"/>
      <c r="H102" s="20"/>
      <c r="I102" s="19"/>
    </row>
    <row r="103" spans="1:10" s="13" customFormat="1" ht="20.25" x14ac:dyDescent="0.3">
      <c r="A103" s="89"/>
      <c r="B103" s="54"/>
      <c r="D103" s="23"/>
      <c r="E103" s="51"/>
      <c r="F103" s="53"/>
      <c r="G103" s="52"/>
      <c r="H103" s="20"/>
      <c r="I103" s="19"/>
    </row>
    <row r="104" spans="1:10" s="13" customFormat="1" ht="20.25" x14ac:dyDescent="0.3">
      <c r="A104" s="89"/>
      <c r="B104" s="54"/>
      <c r="C104" s="69"/>
      <c r="E104" s="51"/>
      <c r="F104" s="53"/>
      <c r="G104" s="52"/>
      <c r="H104" s="20"/>
      <c r="I104" s="19"/>
    </row>
    <row r="105" spans="1:10" s="13" customFormat="1" ht="20.25" x14ac:dyDescent="0.3">
      <c r="A105" s="89"/>
      <c r="B105" s="54"/>
      <c r="C105" s="69"/>
      <c r="D105" s="23"/>
      <c r="F105" s="84">
        <f>Jäitekoormus!F134</f>
        <v>12.142202324713148</v>
      </c>
      <c r="H105" s="20"/>
    </row>
    <row r="106" spans="1:10" s="13" customFormat="1" ht="20.25" x14ac:dyDescent="0.3">
      <c r="A106" s="89"/>
      <c r="B106" s="54"/>
      <c r="C106" s="69"/>
      <c r="D106" s="23"/>
      <c r="F106" s="85">
        <f>Jäitekoormus!F129/1000</f>
        <v>1.6E-2</v>
      </c>
      <c r="H106" s="20"/>
    </row>
    <row r="107" spans="1:10" s="13" customFormat="1" ht="20.25" x14ac:dyDescent="0.3">
      <c r="A107" s="89"/>
      <c r="B107" s="54"/>
      <c r="C107" s="69"/>
      <c r="D107" s="23"/>
      <c r="F107" s="53">
        <v>9.81</v>
      </c>
      <c r="H107" s="20"/>
    </row>
    <row r="108" spans="1:10" s="13" customFormat="1" ht="20.25" x14ac:dyDescent="0.3">
      <c r="A108" s="89"/>
      <c r="B108" s="54"/>
      <c r="C108" s="69"/>
      <c r="D108" s="23"/>
      <c r="F108" s="13">
        <v>3.1415999999999999</v>
      </c>
      <c r="G108" s="44"/>
    </row>
    <row r="109" spans="1:10" s="13" customFormat="1" ht="20.25" x14ac:dyDescent="0.3">
      <c r="A109" s="89"/>
      <c r="B109" s="54"/>
      <c r="C109" s="69"/>
      <c r="D109" s="23"/>
      <c r="F109" s="53">
        <v>900</v>
      </c>
      <c r="H109" s="20"/>
      <c r="I109" s="19"/>
    </row>
    <row r="110" spans="1:10" s="13" customFormat="1" ht="20.25" x14ac:dyDescent="0.3">
      <c r="A110" s="89"/>
      <c r="B110" s="54"/>
      <c r="C110" s="69"/>
      <c r="D110" s="23"/>
      <c r="F110" s="84">
        <f>'TUULEKOORMUS 1'!F390*'TUULEKOORMUS 1'!F393*'TUULEKOORMUS 1'!F398*1.2</f>
        <v>772.83675827785851</v>
      </c>
      <c r="H110" s="20"/>
      <c r="I110" s="19"/>
    </row>
    <row r="111" spans="1:10" s="13" customFormat="1" ht="20.25" x14ac:dyDescent="0.3">
      <c r="A111" s="89"/>
      <c r="B111" s="54"/>
      <c r="C111" s="69"/>
      <c r="D111" s="23"/>
      <c r="F111" s="86">
        <v>1</v>
      </c>
      <c r="G111" s="72"/>
      <c r="H111" s="20"/>
      <c r="I111" s="19"/>
    </row>
    <row r="112" spans="1:10" s="13" customFormat="1" ht="20.25" x14ac:dyDescent="0.3">
      <c r="A112" s="89"/>
      <c r="B112" s="54"/>
      <c r="C112" s="69"/>
      <c r="D112" s="23"/>
      <c r="E112" s="51"/>
      <c r="G112" s="52"/>
      <c r="H112" s="20"/>
      <c r="I112" s="19"/>
    </row>
    <row r="113" spans="1:9" s="13" customFormat="1" ht="20.25" x14ac:dyDescent="0.3">
      <c r="A113" s="89"/>
      <c r="B113" s="54"/>
      <c r="C113" s="23"/>
      <c r="E113" s="51"/>
      <c r="F113" s="53"/>
      <c r="G113" s="52"/>
      <c r="H113" s="20"/>
      <c r="I113" s="19"/>
    </row>
    <row r="114" spans="1:9" s="13" customFormat="1" ht="20.25" x14ac:dyDescent="0.3">
      <c r="A114" s="89"/>
      <c r="B114" s="54"/>
      <c r="C114" s="23"/>
      <c r="D114" s="69"/>
      <c r="F114" s="53">
        <f>1.5</f>
        <v>1.5</v>
      </c>
      <c r="G114" s="52"/>
      <c r="H114" s="20"/>
      <c r="I114" s="19"/>
    </row>
    <row r="115" spans="1:9" s="13" customFormat="1" ht="20.25" x14ac:dyDescent="0.3">
      <c r="A115" s="89"/>
      <c r="B115" s="54"/>
      <c r="C115" s="23"/>
      <c r="D115" s="23"/>
      <c r="F115" s="53">
        <f>F114*F105</f>
        <v>18.213303487069723</v>
      </c>
      <c r="H115" s="20"/>
      <c r="I115" s="19"/>
    </row>
    <row r="116" spans="1:9" s="13" customFormat="1" ht="20.25" x14ac:dyDescent="0.3">
      <c r="A116" s="89"/>
      <c r="B116" s="54"/>
      <c r="C116" s="23"/>
      <c r="E116" s="71"/>
      <c r="F116" s="53"/>
      <c r="G116" s="72"/>
      <c r="H116" s="20"/>
      <c r="I116" s="19"/>
    </row>
    <row r="117" spans="1:9" s="13" customFormat="1" ht="20.25" x14ac:dyDescent="0.3">
      <c r="A117" s="89"/>
      <c r="B117" s="54"/>
      <c r="C117" s="23"/>
      <c r="D117" s="23"/>
      <c r="F117" s="66">
        <f>SQRT(F106^2+((4*F115)/(F107*F108*F109)))</f>
        <v>5.3689420354242401E-2</v>
      </c>
      <c r="H117" s="20" t="str">
        <f>[3]!EQS(F117,"Units= ; EqnPrefix=Valem  ; EqnNo= 0; Multiplication= 1; ShowWorking= 0; EqnStyle= 2; Eqp$H$303_2")</f>
        <v/>
      </c>
    </row>
    <row r="118" spans="1:9" s="13" customFormat="1" ht="20.25" x14ac:dyDescent="0.3">
      <c r="A118" s="89"/>
      <c r="B118" s="54"/>
      <c r="C118" s="23"/>
      <c r="E118" s="71"/>
      <c r="F118" s="66"/>
      <c r="G118" s="72"/>
      <c r="H118" s="20"/>
      <c r="I118" s="19"/>
    </row>
    <row r="119" spans="1:9" s="13" customFormat="1" ht="20.25" x14ac:dyDescent="0.3">
      <c r="A119" s="89"/>
      <c r="B119" s="54"/>
      <c r="C119" s="23"/>
      <c r="D119" s="23"/>
      <c r="F119" s="53">
        <f>F110*F117</f>
        <v>41.493157580389969</v>
      </c>
      <c r="H119" s="20" t="str">
        <f>[3]!EQS(F119,"Units= ; EqnPrefix=Valem  ; EqnNo= 0; Multiplication= 1; ShowWorking= 0; EqnStyle= 2; Eqp$H$303_2")</f>
        <v/>
      </c>
    </row>
    <row r="120" spans="1:9" s="13" customFormat="1" ht="20.25" x14ac:dyDescent="0.3">
      <c r="A120" s="89"/>
      <c r="B120" s="54"/>
      <c r="C120" s="23"/>
      <c r="F120" s="53"/>
      <c r="G120" s="72"/>
      <c r="H120" s="20"/>
      <c r="I120" s="19"/>
    </row>
    <row r="121" spans="1:9" s="13" customFormat="1" ht="20.25" x14ac:dyDescent="0.3">
      <c r="A121" s="89"/>
      <c r="B121" s="54"/>
      <c r="C121" s="23"/>
      <c r="D121" s="23"/>
      <c r="F121" s="53">
        <f>F119*F111</f>
        <v>41.493157580389969</v>
      </c>
      <c r="H121" s="20" t="str">
        <f>[3]!EQS(F121,"Units= ; EqnPrefix=Valem  ; EqnNo= 0; Multiplication= 1; ShowWorking= 0; EqnStyle= 2; Eqp$H$303_2")</f>
        <v/>
      </c>
    </row>
    <row r="122" spans="1:9" s="13" customFormat="1" ht="20.25" x14ac:dyDescent="0.3">
      <c r="A122" s="89"/>
      <c r="B122" s="54"/>
      <c r="C122" s="23"/>
      <c r="D122" s="23"/>
      <c r="F122" s="84">
        <f>COS(RADIANS(41))^2</f>
        <v>0.56958655048003271</v>
      </c>
      <c r="G122" s="52"/>
      <c r="H122" s="20"/>
      <c r="I122" s="70"/>
    </row>
    <row r="123" spans="1:9" s="13" customFormat="1" ht="20.25" x14ac:dyDescent="0.3">
      <c r="A123" s="89"/>
      <c r="B123" s="54"/>
      <c r="C123" s="24"/>
      <c r="D123" s="24"/>
      <c r="F123" s="34">
        <f>F121*F122</f>
        <v>23.633944494738742</v>
      </c>
      <c r="G123" s="52"/>
      <c r="H123" s="20"/>
      <c r="I123" s="70"/>
    </row>
    <row r="124" spans="1:9" s="13" customFormat="1" ht="20.25" x14ac:dyDescent="0.3">
      <c r="A124" s="89"/>
      <c r="B124" s="54"/>
      <c r="C124" s="23"/>
      <c r="D124" s="23"/>
      <c r="F124" s="84">
        <f>COS(RADIANS(49))^2</f>
        <v>0.43041344951996724</v>
      </c>
      <c r="G124" s="52"/>
      <c r="H124" s="20"/>
      <c r="I124" s="70"/>
    </row>
    <row r="125" spans="1:9" s="13" customFormat="1" ht="20.25" x14ac:dyDescent="0.3">
      <c r="A125" s="89"/>
      <c r="B125" s="54"/>
      <c r="C125" s="23"/>
      <c r="D125" s="23"/>
      <c r="F125" s="34">
        <f>F124*F121</f>
        <v>17.859213085651223</v>
      </c>
      <c r="G125" s="52"/>
      <c r="H125" s="20"/>
      <c r="I125" s="70"/>
    </row>
    <row r="126" spans="1:9" s="13" customFormat="1" ht="20.25" x14ac:dyDescent="0.3">
      <c r="A126" s="89"/>
      <c r="B126" s="54"/>
      <c r="C126" s="23"/>
      <c r="D126" s="23"/>
      <c r="E126" s="71"/>
      <c r="F126" s="53"/>
      <c r="G126" s="52"/>
      <c r="H126" s="20"/>
      <c r="I126" s="70"/>
    </row>
    <row r="127" spans="1:9" s="13" customFormat="1" ht="20.25" x14ac:dyDescent="0.3">
      <c r="A127" s="89"/>
      <c r="B127" s="54"/>
      <c r="C127" s="23"/>
      <c r="D127" s="23"/>
      <c r="E127" s="51"/>
      <c r="F127" s="53"/>
      <c r="G127" s="52"/>
      <c r="H127" s="20"/>
      <c r="I127" s="19"/>
    </row>
    <row r="128" spans="1:9" s="13" customFormat="1" ht="20.25" x14ac:dyDescent="0.3">
      <c r="A128" s="89"/>
      <c r="B128" s="54"/>
      <c r="C128" s="23"/>
      <c r="E128" s="51"/>
      <c r="F128" s="53"/>
      <c r="G128" s="52"/>
      <c r="H128" s="20"/>
      <c r="I128" s="19"/>
    </row>
    <row r="129" spans="1:10" s="13" customFormat="1" ht="20.25" x14ac:dyDescent="0.3">
      <c r="A129" s="89"/>
      <c r="B129" s="54"/>
      <c r="C129" s="23"/>
      <c r="D129" s="69"/>
      <c r="F129" s="53">
        <v>0.35</v>
      </c>
      <c r="G129" s="52"/>
      <c r="H129" s="20"/>
      <c r="I129" s="19"/>
    </row>
    <row r="130" spans="1:10" s="13" customFormat="1" ht="20.25" x14ac:dyDescent="0.3">
      <c r="A130" s="89"/>
      <c r="B130" s="54"/>
      <c r="C130" s="23"/>
      <c r="D130" s="69"/>
      <c r="F130" s="53">
        <f>F129*F105</f>
        <v>4.2497708136496017</v>
      </c>
      <c r="H130" s="20"/>
      <c r="I130" s="19"/>
    </row>
    <row r="131" spans="1:10" s="13" customFormat="1" ht="20.25" x14ac:dyDescent="0.3">
      <c r="A131" s="89"/>
      <c r="B131" s="54"/>
      <c r="C131" s="23"/>
      <c r="D131" s="69"/>
      <c r="F131" s="66">
        <f>SQRT(F106^2+(4*F130)/(F107*F108*F109))</f>
        <v>2.9476474803828315E-2</v>
      </c>
      <c r="H131" s="20"/>
      <c r="I131" s="19"/>
    </row>
    <row r="132" spans="1:10" s="13" customFormat="1" ht="20.25" x14ac:dyDescent="0.3">
      <c r="A132" s="89"/>
      <c r="B132" s="54"/>
      <c r="C132" s="23"/>
      <c r="E132" s="71"/>
      <c r="F132" s="66"/>
      <c r="G132" s="72"/>
      <c r="H132" s="20"/>
      <c r="I132" s="19"/>
    </row>
    <row r="133" spans="1:10" s="13" customFormat="1" ht="20.25" x14ac:dyDescent="0.3">
      <c r="A133" s="89"/>
      <c r="B133" s="54"/>
      <c r="C133" s="23"/>
      <c r="D133" s="23"/>
      <c r="F133" s="53">
        <f>F110*F131</f>
        <v>22.78050323284965</v>
      </c>
      <c r="H133" s="20" t="str">
        <f>[3]!EQS(F133,"Units= ; EqnPrefix=Valem  ; EqnNo= 0; Multiplication= 1; ShowWorking= 0; EqnStyle= 2; Eqp$H$303_2")</f>
        <v/>
      </c>
    </row>
    <row r="134" spans="1:10" s="13" customFormat="1" ht="20.25" x14ac:dyDescent="0.3">
      <c r="A134" s="89"/>
      <c r="B134" s="54"/>
      <c r="C134" s="23"/>
      <c r="F134" s="53"/>
      <c r="G134" s="72"/>
      <c r="H134" s="20"/>
      <c r="I134" s="19"/>
    </row>
    <row r="135" spans="1:10" s="13" customFormat="1" ht="20.25" x14ac:dyDescent="0.3">
      <c r="A135" s="89"/>
      <c r="B135" s="54"/>
      <c r="C135" s="23"/>
      <c r="D135" s="23"/>
      <c r="F135" s="53">
        <f>F133*F111</f>
        <v>22.78050323284965</v>
      </c>
      <c r="H135" s="20" t="str">
        <f>[3]!EQS(F135,"Units= ; EqnPrefix=Valem  ; EqnNo= 0; Multiplication= 1; ShowWorking= 0; EqnStyle= 2; Eqp$H$303_2")</f>
        <v/>
      </c>
    </row>
    <row r="136" spans="1:10" s="13" customFormat="1" ht="20.25" x14ac:dyDescent="0.3">
      <c r="A136" s="89"/>
      <c r="B136" s="54"/>
      <c r="C136" s="23"/>
      <c r="D136" s="23"/>
      <c r="F136" s="84">
        <f>COS(RADIANS(41))^2</f>
        <v>0.56958655048003271</v>
      </c>
      <c r="G136" s="72"/>
      <c r="H136" s="20"/>
      <c r="I136" s="70"/>
    </row>
    <row r="137" spans="1:10" s="13" customFormat="1" ht="20.25" x14ac:dyDescent="0.3">
      <c r="A137" s="89"/>
      <c r="B137" s="54"/>
      <c r="C137" s="23"/>
      <c r="D137" s="23"/>
      <c r="F137" s="34">
        <f>F135*F136</f>
        <v>12.975468254598065</v>
      </c>
      <c r="H137" s="20"/>
      <c r="I137" s="70"/>
    </row>
    <row r="138" spans="1:10" s="13" customFormat="1" ht="20.25" x14ac:dyDescent="0.3">
      <c r="A138" s="89"/>
      <c r="B138" s="54"/>
      <c r="C138" s="23"/>
      <c r="D138" s="23"/>
      <c r="F138" s="84">
        <f>COS(RADIANS(49))^2</f>
        <v>0.43041344951996724</v>
      </c>
      <c r="G138" s="72"/>
      <c r="H138" s="20"/>
      <c r="I138" s="70"/>
    </row>
    <row r="139" spans="1:10" s="13" customFormat="1" ht="20.25" x14ac:dyDescent="0.3">
      <c r="A139" s="89"/>
      <c r="B139" s="54"/>
      <c r="C139" s="23"/>
      <c r="D139" s="23"/>
      <c r="F139" s="34">
        <f>F138*F135</f>
        <v>9.8050349782515838</v>
      </c>
      <c r="H139" s="20"/>
      <c r="I139" s="70"/>
    </row>
    <row r="141" spans="1:10" s="13" customFormat="1" ht="20.25" x14ac:dyDescent="0.3">
      <c r="A141" s="89"/>
      <c r="B141" s="54"/>
      <c r="C141" s="23"/>
      <c r="D141" s="23"/>
      <c r="E141" s="74"/>
      <c r="F141" s="34"/>
      <c r="G141" s="75"/>
      <c r="H141" s="20"/>
      <c r="I141" s="70"/>
      <c r="J141" s="70"/>
    </row>
    <row r="142" spans="1:10" s="13" customFormat="1" ht="20.25" x14ac:dyDescent="0.3">
      <c r="A142" s="89"/>
      <c r="B142" s="54"/>
      <c r="C142" s="23"/>
      <c r="D142" s="23"/>
      <c r="E142" s="74"/>
      <c r="F142" s="34"/>
      <c r="G142" s="75"/>
      <c r="H142" s="20"/>
      <c r="I142" s="70"/>
      <c r="J142" s="70"/>
    </row>
    <row r="144" spans="1:10" s="13" customFormat="1" ht="18" outlineLevel="1" x14ac:dyDescent="0.25">
      <c r="A144" s="54"/>
      <c r="B144" s="54"/>
      <c r="C144" s="23"/>
      <c r="D144" s="23"/>
      <c r="F144" s="13">
        <v>21</v>
      </c>
    </row>
    <row r="145" spans="1:12" s="13" customFormat="1" ht="18" outlineLevel="1" x14ac:dyDescent="0.25">
      <c r="A145" s="54"/>
      <c r="B145" s="54"/>
      <c r="C145" s="23"/>
      <c r="D145" s="23"/>
      <c r="F145" s="13">
        <f>F144</f>
        <v>21</v>
      </c>
    </row>
    <row r="146" spans="1:12" s="13" customFormat="1" ht="18" outlineLevel="1" x14ac:dyDescent="0.25">
      <c r="A146" s="54"/>
      <c r="B146" s="54"/>
      <c r="C146" s="23"/>
      <c r="D146" s="23"/>
      <c r="F146" s="13">
        <v>1.2250000000000001</v>
      </c>
    </row>
    <row r="147" spans="1:12" s="13" customFormat="1" ht="18" outlineLevel="1" x14ac:dyDescent="0.25">
      <c r="A147" s="54"/>
      <c r="B147" s="54"/>
      <c r="C147" s="23"/>
      <c r="D147" s="23"/>
      <c r="F147" s="13">
        <v>0.19</v>
      </c>
      <c r="G147" s="44"/>
    </row>
    <row r="148" spans="1:12" s="13" customFormat="1" ht="18" outlineLevel="1" x14ac:dyDescent="0.25">
      <c r="A148" s="54"/>
      <c r="B148" s="54"/>
      <c r="C148" s="23"/>
      <c r="D148" s="23"/>
      <c r="F148" s="13">
        <v>0.05</v>
      </c>
    </row>
    <row r="149" spans="1:12" s="13" customFormat="1" ht="18" outlineLevel="1" x14ac:dyDescent="0.25">
      <c r="A149" s="54"/>
      <c r="B149" s="54"/>
      <c r="C149" s="23"/>
      <c r="D149" s="23"/>
      <c r="F149" s="13">
        <v>10</v>
      </c>
    </row>
    <row r="150" spans="1:12" s="13" customFormat="1" ht="18" outlineLevel="1" x14ac:dyDescent="0.25">
      <c r="A150" s="54"/>
      <c r="B150" s="54"/>
      <c r="C150" s="23"/>
      <c r="D150" s="23"/>
      <c r="F150" s="13">
        <v>1.1499999999999999</v>
      </c>
      <c r="G150" s="44"/>
    </row>
    <row r="151" spans="1:12" s="13" customFormat="1" ht="18" outlineLevel="1" x14ac:dyDescent="0.25">
      <c r="A151" s="54"/>
      <c r="B151" s="54"/>
      <c r="C151" s="23"/>
      <c r="D151" s="23"/>
      <c r="E151" s="14"/>
      <c r="G151" s="44"/>
    </row>
    <row r="152" spans="1:12" s="13" customFormat="1" ht="18" x14ac:dyDescent="0.25">
      <c r="A152" s="54"/>
      <c r="B152" s="54"/>
      <c r="C152" s="23"/>
      <c r="D152" s="23"/>
      <c r="E152" s="14"/>
      <c r="G152" s="44"/>
    </row>
    <row r="153" spans="1:12" s="13" customFormat="1" ht="18" x14ac:dyDescent="0.25">
      <c r="A153" s="54"/>
      <c r="C153" s="24"/>
      <c r="D153" s="24"/>
      <c r="E153" s="18"/>
      <c r="F153" s="18"/>
      <c r="G153" s="46"/>
      <c r="H153" s="18"/>
      <c r="I153" s="18"/>
      <c r="J153" s="18"/>
      <c r="K153" s="18"/>
      <c r="L153" s="18"/>
    </row>
    <row r="154" spans="1:12" s="13" customFormat="1" ht="18" outlineLevel="1" x14ac:dyDescent="0.25">
      <c r="A154" s="54"/>
      <c r="B154" s="55"/>
      <c r="D154" s="24"/>
      <c r="E154" s="18"/>
      <c r="F154" s="18"/>
      <c r="G154" s="46"/>
      <c r="H154" s="18"/>
      <c r="I154" s="18"/>
      <c r="J154" s="18"/>
      <c r="K154" s="18"/>
      <c r="L154" s="18"/>
    </row>
    <row r="155" spans="1:12" s="13" customFormat="1" ht="18" outlineLevel="1" x14ac:dyDescent="0.25">
      <c r="A155" s="54"/>
      <c r="B155" s="54"/>
      <c r="D155" s="23"/>
      <c r="E155" s="14"/>
      <c r="G155" s="44"/>
      <c r="K155" s="26"/>
    </row>
    <row r="156" spans="1:12" s="13" customFormat="1" ht="18" outlineLevel="1" x14ac:dyDescent="0.25">
      <c r="A156" s="54"/>
      <c r="B156" s="54"/>
      <c r="C156" s="23"/>
      <c r="D156" s="23"/>
      <c r="F156" s="22">
        <v>36</v>
      </c>
    </row>
    <row r="157" spans="1:12" s="13" customFormat="1" ht="18" outlineLevel="1" x14ac:dyDescent="0.25">
      <c r="A157" s="54"/>
      <c r="B157" s="54"/>
      <c r="C157" s="23"/>
      <c r="D157" s="23"/>
      <c r="F157" s="22">
        <f>0.324+0.02</f>
        <v>0.34400000000000003</v>
      </c>
    </row>
    <row r="158" spans="1:12" s="13" customFormat="1" ht="18" outlineLevel="1" x14ac:dyDescent="0.25">
      <c r="A158" s="54"/>
      <c r="B158" s="54"/>
      <c r="D158" s="26"/>
      <c r="E158" s="17"/>
      <c r="F158" s="16"/>
      <c r="G158" s="45"/>
      <c r="I158" s="21"/>
    </row>
    <row r="159" spans="1:12" s="13" customFormat="1" ht="18" outlineLevel="1" x14ac:dyDescent="0.25">
      <c r="A159" s="54"/>
      <c r="B159" s="54"/>
      <c r="C159" s="23"/>
      <c r="D159" s="23"/>
      <c r="F159" s="33">
        <f>F157*F156</f>
        <v>12.384</v>
      </c>
      <c r="H159" s="20" t="str">
        <f>[3]!EQS(F159,"Units= ; EqnPrefix=Valem  ; EqnNo= 0; Multiplication= 1; ShowWorking= 1; EqnStyle=2; Eqp$G$17_0")</f>
        <v/>
      </c>
      <c r="L159" s="15"/>
    </row>
    <row r="160" spans="1:12" s="13" customFormat="1" ht="18" outlineLevel="1" x14ac:dyDescent="0.25">
      <c r="A160" s="54"/>
      <c r="B160" s="54"/>
      <c r="D160" s="23"/>
      <c r="F160" s="16"/>
      <c r="G160" s="45"/>
      <c r="I160" s="21"/>
    </row>
    <row r="161" spans="1:13" s="13" customFormat="1" ht="16.5" customHeight="1" outlineLevel="1" x14ac:dyDescent="0.25">
      <c r="A161" s="54"/>
      <c r="B161" s="54"/>
      <c r="C161" s="23"/>
      <c r="D161" s="23"/>
      <c r="F161" s="30">
        <f>F147*LN(F156/F148)*F144</f>
        <v>26.251212335920307</v>
      </c>
      <c r="H161" s="20" t="str">
        <f>[3]!EQS(F161,"Units= ; EqnPrefix=Valem  ; EqnNo= 0; Multiplication= 1; ShowWorking= 0; EqnStyle= 2; Eqp$H$21_2")</f>
        <v/>
      </c>
      <c r="J161" s="20"/>
    </row>
    <row r="162" spans="1:13" s="13" customFormat="1" ht="12" customHeight="1" outlineLevel="1" x14ac:dyDescent="0.25">
      <c r="A162" s="54"/>
      <c r="B162" s="54"/>
      <c r="C162" s="23"/>
      <c r="D162" s="23"/>
      <c r="E162" s="17"/>
      <c r="F162" s="30"/>
      <c r="G162" s="45"/>
      <c r="H162" s="20" t="str">
        <f>[3]!EQS(F161,"Units= ; EqnPrefix=Valem  ; EqnNo= 0; Multiplication= 1; ShowWorking= 1; EqnStyle= 2; Eqp$H$21_$H$22_3")</f>
        <v/>
      </c>
      <c r="J162" s="20"/>
    </row>
    <row r="163" spans="1:13" s="13" customFormat="1" ht="18" outlineLevel="1" x14ac:dyDescent="0.25">
      <c r="A163" s="54"/>
      <c r="B163" s="54"/>
      <c r="D163" s="29"/>
      <c r="F163" s="30"/>
      <c r="G163" s="45"/>
      <c r="H163" s="20"/>
      <c r="I163" s="28"/>
      <c r="J163" s="20"/>
    </row>
    <row r="164" spans="1:13" s="13" customFormat="1" ht="18" outlineLevel="1" x14ac:dyDescent="0.25">
      <c r="A164" s="54"/>
      <c r="B164" s="54"/>
      <c r="C164" s="23"/>
      <c r="D164" s="23"/>
      <c r="F164" s="30">
        <f>1/2*F146*F161^2</f>
        <v>422.08976632716445</v>
      </c>
      <c r="H164" s="20" t="str">
        <f>[3]!EQS(F164,"Units= ; EqnPrefix=Valem  ; EqnNo= 0; Multiplication= 1; ShowWorking= 0; EqnStyle= 2; Eqp$G$21_0")</f>
        <v/>
      </c>
      <c r="J164" s="20"/>
      <c r="M164" s="28"/>
    </row>
    <row r="165" spans="1:13" s="13" customFormat="1" ht="18" outlineLevel="1" x14ac:dyDescent="0.25">
      <c r="A165" s="54"/>
      <c r="B165" s="54"/>
      <c r="C165" s="23"/>
      <c r="D165" s="23"/>
      <c r="E165" s="25"/>
      <c r="F165" s="30"/>
      <c r="G165" s="47"/>
      <c r="H165" s="20" t="str">
        <f>[3]!EQS(F164,"Units= ; EqnPrefix=Valem  ; EqnNo= 0; Multiplication= 1; ShowWorking= 1; EqnStyle= 2; Eqp$G$21_$G$25_1")</f>
        <v/>
      </c>
      <c r="J165" s="20"/>
    </row>
    <row r="166" spans="1:13" s="13" customFormat="1" ht="18" outlineLevel="1" x14ac:dyDescent="0.25">
      <c r="A166" s="54"/>
      <c r="B166" s="54"/>
      <c r="D166" s="23"/>
      <c r="E166" s="25"/>
      <c r="F166" s="30"/>
      <c r="G166" s="47"/>
      <c r="I166" s="28"/>
      <c r="J166" s="20"/>
    </row>
    <row r="167" spans="1:13" s="13" customFormat="1" ht="18" outlineLevel="1" x14ac:dyDescent="0.25">
      <c r="A167" s="54"/>
      <c r="B167" s="54"/>
      <c r="C167" s="23"/>
      <c r="D167" s="23"/>
      <c r="F167" s="30">
        <f>(1+2.28/LN(F156/F148))^2</f>
        <v>1.8131807308313552</v>
      </c>
      <c r="G167" s="47"/>
      <c r="H167" s="20" t="str">
        <f>[3]!EQS(F167,"Units= ; EqnPrefix=Valem  ; EqnNo= 0; Multiplication= 1; ShowWorking= 0; EqnStyle= 2; Eqp$G$24_0")</f>
        <v/>
      </c>
      <c r="J167" s="20"/>
    </row>
    <row r="168" spans="1:13" s="13" customFormat="1" ht="18" outlineLevel="1" x14ac:dyDescent="0.25">
      <c r="A168" s="54"/>
      <c r="B168" s="54"/>
      <c r="C168" s="23"/>
      <c r="D168" s="23"/>
      <c r="E168" s="25"/>
      <c r="F168" s="30"/>
      <c r="G168" s="47"/>
      <c r="H168" s="20" t="str">
        <f>[3]!EQS(F167,"Units= ; EqnPrefix=Valem  ; EqnNo= 0; Multiplication= 1; ShowWorking= 1; EqnStyle= 2; Eqp$G$24_$G$28_1")</f>
        <v/>
      </c>
      <c r="J168" s="20"/>
    </row>
    <row r="169" spans="1:13" s="13" customFormat="1" ht="18" outlineLevel="1" x14ac:dyDescent="0.25">
      <c r="A169" s="54"/>
      <c r="B169" s="54"/>
      <c r="E169" s="25"/>
      <c r="F169" s="30"/>
      <c r="G169" s="47"/>
      <c r="J169" s="20"/>
    </row>
    <row r="170" spans="1:13" s="13" customFormat="1" ht="18" outlineLevel="1" x14ac:dyDescent="0.25">
      <c r="A170" s="54"/>
      <c r="B170" s="54"/>
      <c r="C170" s="23"/>
      <c r="D170" s="23"/>
      <c r="F170" s="13">
        <v>1.1499999999999999</v>
      </c>
      <c r="G170" s="44"/>
      <c r="J170" s="20"/>
    </row>
    <row r="171" spans="1:13" s="13" customFormat="1" ht="18" outlineLevel="1" x14ac:dyDescent="0.25">
      <c r="A171" s="54"/>
      <c r="B171" s="54"/>
      <c r="E171" s="25"/>
      <c r="F171" s="32"/>
      <c r="G171" s="44"/>
      <c r="H171" s="20"/>
      <c r="I171" s="29"/>
      <c r="J171" s="20"/>
    </row>
    <row r="172" spans="1:13" s="13" customFormat="1" ht="18" outlineLevel="1" x14ac:dyDescent="0.25">
      <c r="A172" s="54"/>
      <c r="B172" s="54"/>
      <c r="D172" s="23"/>
      <c r="F172" s="30">
        <v>0.88</v>
      </c>
      <c r="G172" s="44"/>
      <c r="H172" s="20"/>
      <c r="J172" s="20"/>
    </row>
    <row r="173" spans="1:13" s="13" customFormat="1" ht="18" outlineLevel="1" x14ac:dyDescent="0.25">
      <c r="A173" s="54"/>
      <c r="B173" s="54"/>
      <c r="D173" s="23"/>
      <c r="E173" s="20"/>
      <c r="F173" s="20"/>
      <c r="G173" s="44"/>
      <c r="H173" s="20"/>
      <c r="I173" s="28"/>
      <c r="J173" s="20"/>
    </row>
    <row r="174" spans="1:13" s="13" customFormat="1" ht="18" x14ac:dyDescent="0.25">
      <c r="A174" s="54"/>
      <c r="B174" s="54"/>
      <c r="D174" s="23"/>
      <c r="G174" s="44"/>
    </row>
    <row r="175" spans="1:13" s="13" customFormat="1" ht="18" x14ac:dyDescent="0.25">
      <c r="A175" s="54"/>
      <c r="B175" s="54"/>
      <c r="C175" s="23"/>
      <c r="D175" s="23"/>
      <c r="F175" s="34">
        <f>F164*F167*F170*F172*F157</f>
        <v>266.43107238692852</v>
      </c>
      <c r="H175" s="20" t="str">
        <f>[3]!EQS(F175,"Units= ; EqnPrefix=Valem  ; EqnNo= 0; Multiplication= 1; ShowWorking= 0; EqnStyle= 2; Eqp$G$39_0")</f>
        <v/>
      </c>
    </row>
    <row r="176" spans="1:13" s="13" customFormat="1" ht="18" x14ac:dyDescent="0.25">
      <c r="A176" s="54"/>
      <c r="B176" s="54"/>
      <c r="C176" s="23"/>
      <c r="D176" s="23"/>
      <c r="G176" s="44"/>
      <c r="H176" s="13" t="str">
        <f>[3]!EQS(F175,"Units= ; EqnPrefix=Valem  ; EqnNo= 0; Multiplication= 1; ShowWorking= 1; EqnStyle= 2; Eqp$G$39_$G$40_1")</f>
        <v/>
      </c>
    </row>
    <row r="177" spans="1:12" s="13" customFormat="1" ht="18" x14ac:dyDescent="0.25">
      <c r="A177" s="54"/>
      <c r="B177" s="54"/>
      <c r="D177" s="23"/>
      <c r="G177" s="44"/>
    </row>
    <row r="178" spans="1:12" s="13" customFormat="1" ht="18" x14ac:dyDescent="0.25">
      <c r="A178" s="54"/>
      <c r="B178" s="54"/>
      <c r="C178" s="23"/>
      <c r="D178" s="23"/>
      <c r="F178" s="53">
        <f>COS(RADIANS(45))*F175</f>
        <v>188.39521800360109</v>
      </c>
    </row>
    <row r="179" spans="1:12" s="13" customFormat="1" ht="18" x14ac:dyDescent="0.25">
      <c r="A179" s="54"/>
      <c r="B179" s="54"/>
      <c r="C179" s="23"/>
      <c r="D179" s="23"/>
      <c r="F179" s="53">
        <f>SIN(RADIANS(45))*F175</f>
        <v>188.39521800360106</v>
      </c>
    </row>
    <row r="180" spans="1:12" s="13" customFormat="1" ht="18" x14ac:dyDescent="0.25">
      <c r="A180" s="54"/>
      <c r="B180" s="54"/>
      <c r="C180" s="23"/>
      <c r="D180" s="23"/>
      <c r="G180" s="44"/>
    </row>
    <row r="181" spans="1:12" s="13" customFormat="1" ht="18" x14ac:dyDescent="0.25">
      <c r="A181" s="54"/>
      <c r="C181" s="24"/>
      <c r="D181" s="24"/>
      <c r="E181" s="18"/>
      <c r="F181" s="18"/>
      <c r="G181" s="46"/>
      <c r="H181" s="18"/>
      <c r="I181" s="18"/>
      <c r="J181" s="18"/>
      <c r="K181" s="18"/>
      <c r="L181" s="18"/>
    </row>
    <row r="182" spans="1:12" s="13" customFormat="1" ht="18" outlineLevel="1" x14ac:dyDescent="0.25">
      <c r="A182" s="54"/>
      <c r="B182" s="54"/>
      <c r="D182" s="23"/>
      <c r="E182" s="14"/>
      <c r="G182" s="44"/>
    </row>
    <row r="183" spans="1:12" s="13" customFormat="1" ht="18" outlineLevel="1" x14ac:dyDescent="0.25">
      <c r="A183" s="54"/>
      <c r="B183" s="54"/>
      <c r="C183" s="23"/>
      <c r="D183" s="23"/>
      <c r="F183" s="22">
        <v>14</v>
      </c>
    </row>
    <row r="184" spans="1:12" s="13" customFormat="1" ht="18" outlineLevel="1" x14ac:dyDescent="0.25">
      <c r="A184" s="54"/>
      <c r="B184" s="54"/>
      <c r="C184" s="23"/>
      <c r="D184" s="23"/>
      <c r="F184" s="22">
        <f>0.273+0.02</f>
        <v>0.29300000000000004</v>
      </c>
    </row>
    <row r="185" spans="1:12" s="13" customFormat="1" ht="18" outlineLevel="1" x14ac:dyDescent="0.25">
      <c r="A185" s="54"/>
      <c r="B185" s="54"/>
      <c r="C185" s="23"/>
      <c r="D185" s="23"/>
      <c r="F185" s="22">
        <v>15.5</v>
      </c>
    </row>
    <row r="186" spans="1:12" s="13" customFormat="1" ht="18" outlineLevel="1" x14ac:dyDescent="0.25">
      <c r="A186" s="54"/>
      <c r="B186" s="54"/>
      <c r="D186" s="26"/>
      <c r="E186" s="17"/>
      <c r="F186" s="16"/>
      <c r="G186" s="45"/>
      <c r="I186" s="21"/>
    </row>
    <row r="187" spans="1:12" s="13" customFormat="1" ht="18" outlineLevel="1" x14ac:dyDescent="0.25">
      <c r="A187" s="54"/>
      <c r="B187" s="54"/>
      <c r="C187" s="23"/>
      <c r="D187" s="23"/>
      <c r="F187" s="33">
        <f>F184*F185</f>
        <v>4.541500000000001</v>
      </c>
      <c r="H187" s="20" t="str">
        <f>[3]!EQS(F187,"Units= ; EqnPrefix=Valem  ; EqnNo= 0; Multiplication= 1; ShowWorking= 1; EqnStyle=2; Eqp$G$17_0")</f>
        <v/>
      </c>
    </row>
    <row r="188" spans="1:12" s="13" customFormat="1" ht="18" outlineLevel="1" x14ac:dyDescent="0.25">
      <c r="A188" s="54"/>
      <c r="B188" s="54"/>
      <c r="D188" s="23"/>
      <c r="F188" s="16"/>
      <c r="G188" s="45"/>
      <c r="I188" s="21"/>
    </row>
    <row r="189" spans="1:12" s="13" customFormat="1" ht="18" outlineLevel="1" x14ac:dyDescent="0.25">
      <c r="A189" s="54"/>
      <c r="B189" s="54"/>
      <c r="C189" s="23"/>
      <c r="D189" s="23"/>
      <c r="E189" s="17"/>
      <c r="F189" s="16"/>
      <c r="G189" s="45"/>
      <c r="I189" s="21"/>
    </row>
    <row r="190" spans="1:12" s="13" customFormat="1" ht="18" outlineLevel="1" x14ac:dyDescent="0.25">
      <c r="A190" s="54"/>
      <c r="B190" s="54"/>
      <c r="C190" s="23"/>
      <c r="D190" s="23"/>
      <c r="G190" s="44"/>
    </row>
    <row r="191" spans="1:12" s="13" customFormat="1" ht="16.5" customHeight="1" outlineLevel="1" x14ac:dyDescent="0.25">
      <c r="A191" s="54"/>
      <c r="B191" s="54"/>
      <c r="C191" s="23"/>
      <c r="D191" s="23"/>
      <c r="F191" s="30">
        <f>F147*LN(F183/F148)*F144</f>
        <v>22.482810516645301</v>
      </c>
      <c r="H191" s="20" t="str">
        <f>[3]!EQS(F191,"Units= ; EqnPrefix=Valem  ; EqnNo= 0; Multiplication= 1; ShowWorking= 0; EqnStyle= 2; Eqp$H$54_2")</f>
        <v/>
      </c>
      <c r="J191" s="20"/>
    </row>
    <row r="192" spans="1:12" s="13" customFormat="1" ht="12" customHeight="1" outlineLevel="1" x14ac:dyDescent="0.25">
      <c r="A192" s="54"/>
      <c r="B192" s="54"/>
      <c r="C192" s="23"/>
      <c r="D192" s="23"/>
      <c r="E192" s="17"/>
      <c r="F192" s="30"/>
      <c r="G192" s="45"/>
      <c r="H192" s="20" t="str">
        <f>[3]!EQS(F191,"Units= ; EqnPrefix=Valem  ; EqnNo= 0; Multiplication= 1; ShowWorking= 1; EqnStyle= 2; Eqp$H$54_$H$55_3")</f>
        <v/>
      </c>
      <c r="J192" s="20"/>
    </row>
    <row r="193" spans="1:10" s="13" customFormat="1" ht="18" outlineLevel="1" x14ac:dyDescent="0.25">
      <c r="A193" s="54"/>
      <c r="B193" s="54"/>
      <c r="D193" s="29"/>
      <c r="F193" s="30"/>
      <c r="G193" s="45"/>
      <c r="H193" s="20"/>
      <c r="I193" s="28"/>
      <c r="J193" s="20"/>
    </row>
    <row r="194" spans="1:10" s="13" customFormat="1" ht="18" outlineLevel="1" x14ac:dyDescent="0.25">
      <c r="A194" s="54"/>
      <c r="B194" s="54"/>
      <c r="C194" s="23"/>
      <c r="D194" s="23"/>
      <c r="F194" s="30">
        <f>1/2*F146*F191^2</f>
        <v>309.60452084551815</v>
      </c>
      <c r="H194" s="20" t="str">
        <f>[3]!EQS(F194,"Units= ; EqnPrefix=Valem  ; EqnNo= 0; Multiplication= 1; ShowWorking= 0; EqnStyle= 2; Eqp$G$21_0")</f>
        <v/>
      </c>
      <c r="J194" s="20"/>
    </row>
    <row r="195" spans="1:10" s="13" customFormat="1" ht="18" outlineLevel="1" x14ac:dyDescent="0.25">
      <c r="A195" s="54"/>
      <c r="B195" s="54"/>
      <c r="C195" s="23"/>
      <c r="D195" s="23"/>
      <c r="E195" s="25"/>
      <c r="F195" s="30"/>
      <c r="G195" s="47"/>
      <c r="H195" s="20" t="str">
        <f>[3]!EQS(F194,"Units= ; EqnPrefix=Valem  ; EqnNo= 0; Multiplication= 1; ShowWorking= 1; EqnStyle= 2; Eqp$G$21_$G$25_1")</f>
        <v/>
      </c>
      <c r="J195" s="20"/>
    </row>
    <row r="196" spans="1:10" s="13" customFormat="1" ht="18" outlineLevel="1" x14ac:dyDescent="0.25">
      <c r="A196" s="54"/>
      <c r="B196" s="54"/>
      <c r="D196" s="23"/>
      <c r="E196" s="25"/>
      <c r="F196" s="30"/>
      <c r="G196" s="47"/>
      <c r="I196" s="28"/>
      <c r="J196" s="20"/>
    </row>
    <row r="197" spans="1:10" s="13" customFormat="1" ht="18" outlineLevel="1" x14ac:dyDescent="0.25">
      <c r="A197" s="54"/>
      <c r="B197" s="54"/>
      <c r="C197" s="23"/>
      <c r="D197" s="23"/>
      <c r="F197" s="30">
        <f>(1+2.28/LN(F183/F148))^2</f>
        <v>1.9729829854343099</v>
      </c>
      <c r="G197" s="47"/>
      <c r="H197" s="20" t="str">
        <f>[3]!EQS(F197,"Units= ; EqnPrefix=Valem  ; EqnNo= 0; Multiplication= 1; ShowWorking= 0; EqnStyle= 2; Eqp$G$24_0")</f>
        <v/>
      </c>
      <c r="J197" s="20"/>
    </row>
    <row r="198" spans="1:10" s="13" customFormat="1" ht="18" outlineLevel="1" x14ac:dyDescent="0.25">
      <c r="A198" s="54"/>
      <c r="B198" s="54"/>
      <c r="C198" s="23"/>
      <c r="D198" s="23"/>
      <c r="E198" s="25"/>
      <c r="F198" s="30"/>
      <c r="G198" s="47"/>
      <c r="H198" s="20" t="str">
        <f>[3]!EQS(F197,"Units= ; EqnPrefix=Valem  ; EqnNo= 0; Multiplication= 1; ShowWorking= 1; EqnStyle= 2; Eqp$G$24_$G$28_1")</f>
        <v/>
      </c>
      <c r="J198" s="20"/>
    </row>
    <row r="199" spans="1:10" s="13" customFormat="1" ht="18" outlineLevel="1" x14ac:dyDescent="0.25">
      <c r="A199" s="54"/>
      <c r="B199" s="54"/>
      <c r="E199" s="25"/>
      <c r="F199" s="30"/>
      <c r="G199" s="47"/>
      <c r="J199" s="20"/>
    </row>
    <row r="200" spans="1:10" s="13" customFormat="1" ht="18" outlineLevel="1" x14ac:dyDescent="0.25">
      <c r="A200" s="54"/>
      <c r="B200" s="54"/>
      <c r="C200" s="23"/>
      <c r="D200" s="23"/>
      <c r="F200" s="13">
        <v>1.1499999999999999</v>
      </c>
      <c r="G200" s="44"/>
      <c r="J200" s="20"/>
    </row>
    <row r="201" spans="1:10" s="13" customFormat="1" ht="18" outlineLevel="1" x14ac:dyDescent="0.25">
      <c r="A201" s="54"/>
      <c r="B201" s="54"/>
      <c r="E201" s="25"/>
      <c r="F201" s="32"/>
      <c r="G201" s="44"/>
      <c r="H201" s="20"/>
      <c r="I201" s="29"/>
      <c r="J201" s="20"/>
    </row>
    <row r="202" spans="1:10" s="13" customFormat="1" ht="18" outlineLevel="1" x14ac:dyDescent="0.25">
      <c r="A202" s="54"/>
      <c r="B202" s="54"/>
      <c r="C202" s="23"/>
      <c r="D202" s="23"/>
      <c r="F202" s="93">
        <v>1.88</v>
      </c>
      <c r="G202" s="44"/>
      <c r="H202" s="20"/>
      <c r="J202" s="20"/>
    </row>
    <row r="203" spans="1:10" s="13" customFormat="1" ht="18" outlineLevel="1" x14ac:dyDescent="0.25">
      <c r="A203" s="54"/>
      <c r="B203" s="54"/>
      <c r="C203" s="23"/>
      <c r="D203" s="23"/>
      <c r="E203" s="20"/>
      <c r="F203" s="20"/>
      <c r="G203" s="44"/>
      <c r="H203" s="20"/>
      <c r="I203" s="28"/>
      <c r="J203" s="20"/>
    </row>
    <row r="204" spans="1:10" s="13" customFormat="1" ht="18" outlineLevel="1" x14ac:dyDescent="0.25">
      <c r="A204" s="54"/>
      <c r="B204" s="54"/>
      <c r="D204" s="23"/>
      <c r="E204" s="20"/>
      <c r="F204" s="20"/>
      <c r="G204" s="44"/>
      <c r="H204" s="20"/>
      <c r="I204" s="28"/>
      <c r="J204" s="20"/>
    </row>
    <row r="205" spans="1:10" s="13" customFormat="1" ht="18" outlineLevel="1" x14ac:dyDescent="0.25">
      <c r="A205" s="54"/>
      <c r="B205" s="54"/>
      <c r="C205" s="23"/>
      <c r="D205" s="23"/>
      <c r="F205" s="95">
        <f>COS(RADIANS(45))^2</f>
        <v>0.50000000000000011</v>
      </c>
      <c r="G205" s="44"/>
      <c r="H205" s="20" t="str">
        <f>[3]!EQS(F205,"Units= ; EqnPrefix=Valem  ; EqnNo= 0; Multiplication= 1; ShowWorking= 0; EqnStyle= 2; Eqp$H$75_2")</f>
        <v/>
      </c>
      <c r="J205" s="20"/>
    </row>
    <row r="206" spans="1:10" s="13" customFormat="1" ht="18" x14ac:dyDescent="0.25">
      <c r="A206" s="54"/>
      <c r="B206" s="54"/>
      <c r="D206" s="23"/>
      <c r="G206" s="44"/>
    </row>
    <row r="207" spans="1:10" s="13" customFormat="1" ht="18" x14ac:dyDescent="0.25">
      <c r="A207" s="54"/>
      <c r="B207" s="54"/>
      <c r="C207" s="23"/>
      <c r="D207" s="23"/>
      <c r="F207" s="34">
        <f>F194*F197*F200*F202*F184*F205</f>
        <v>193.4745957651929</v>
      </c>
      <c r="H207" s="20" t="str">
        <f>[3]!EQS(F207,"Units= ; EqnPrefix=Valem  ; EqnNo= 0; Multiplication= 1; ShowWorking= 0; EqnStyle= 2; Eqp$G$39_0")</f>
        <v/>
      </c>
    </row>
    <row r="208" spans="1:10" s="13" customFormat="1" ht="18" x14ac:dyDescent="0.25">
      <c r="A208" s="54"/>
      <c r="B208" s="54"/>
      <c r="C208" s="23"/>
      <c r="D208" s="23"/>
      <c r="G208" s="44"/>
      <c r="H208" s="13" t="str">
        <f>[3]!EQS(F207,"Units= ; EqnPrefix=Valem  ; EqnNo= 0; Multiplication= 1; ShowWorking= 1; EqnStyle= 2; Eqp$G$39_$G$40_1")</f>
        <v/>
      </c>
    </row>
    <row r="209" spans="1:12" s="13" customFormat="1" ht="18" x14ac:dyDescent="0.25">
      <c r="A209" s="54"/>
      <c r="B209" s="54"/>
      <c r="C209" s="23"/>
      <c r="D209" s="23"/>
      <c r="G209" s="44"/>
    </row>
    <row r="210" spans="1:12" s="13" customFormat="1" ht="18" x14ac:dyDescent="0.25">
      <c r="A210" s="54"/>
      <c r="B210" s="54"/>
      <c r="C210" s="23"/>
      <c r="D210" s="23"/>
      <c r="G210" s="44"/>
    </row>
    <row r="211" spans="1:12" s="13" customFormat="1" ht="18" x14ac:dyDescent="0.25">
      <c r="A211" s="54"/>
      <c r="C211" s="24"/>
      <c r="D211" s="24"/>
      <c r="E211" s="18"/>
      <c r="F211" s="18"/>
      <c r="G211" s="46"/>
      <c r="H211" s="18"/>
      <c r="I211" s="18"/>
      <c r="J211" s="18"/>
      <c r="K211" s="18"/>
      <c r="L211" s="18"/>
    </row>
    <row r="212" spans="1:12" s="13" customFormat="1" ht="18" outlineLevel="1" x14ac:dyDescent="0.25">
      <c r="A212" s="54"/>
      <c r="B212" s="54"/>
      <c r="D212" s="23"/>
      <c r="E212" s="14"/>
      <c r="G212" s="44"/>
    </row>
    <row r="213" spans="1:12" s="13" customFormat="1" ht="18" outlineLevel="1" x14ac:dyDescent="0.25">
      <c r="A213" s="54"/>
      <c r="B213" s="54"/>
      <c r="C213" s="23"/>
      <c r="D213" s="23"/>
      <c r="F213" s="22">
        <v>28</v>
      </c>
    </row>
    <row r="214" spans="1:12" s="13" customFormat="1" ht="18" outlineLevel="1" x14ac:dyDescent="0.25">
      <c r="A214" s="54"/>
      <c r="B214" s="54"/>
      <c r="C214" s="23"/>
      <c r="D214" s="23"/>
      <c r="F214" s="22">
        <f>0.22+0.02</f>
        <v>0.24</v>
      </c>
    </row>
    <row r="215" spans="1:12" s="13" customFormat="1" ht="18" outlineLevel="1" x14ac:dyDescent="0.25">
      <c r="A215" s="54"/>
      <c r="B215" s="54"/>
      <c r="C215" s="23"/>
      <c r="D215" s="23"/>
      <c r="F215" s="22">
        <v>23</v>
      </c>
    </row>
    <row r="216" spans="1:12" s="13" customFormat="1" ht="18" outlineLevel="1" x14ac:dyDescent="0.25">
      <c r="A216" s="54"/>
      <c r="B216" s="54"/>
      <c r="D216" s="26"/>
      <c r="E216" s="17"/>
      <c r="F216" s="16"/>
      <c r="G216" s="45"/>
      <c r="I216" s="21"/>
    </row>
    <row r="217" spans="1:12" s="13" customFormat="1" ht="18" outlineLevel="1" x14ac:dyDescent="0.25">
      <c r="A217" s="54"/>
      <c r="B217" s="54"/>
      <c r="C217" s="23"/>
      <c r="D217" s="23"/>
      <c r="F217" s="33">
        <f>F214*F215</f>
        <v>5.52</v>
      </c>
      <c r="H217" s="20" t="str">
        <f>[3]!EQS(F217,"Units= ; EqnPrefix=Valem  ; EqnNo= 0; Multiplication= 1; ShowWorking= 1; EqnStyle=2; Eqp$G$17_0")</f>
        <v/>
      </c>
    </row>
    <row r="218" spans="1:12" s="13" customFormat="1" ht="18" outlineLevel="1" x14ac:dyDescent="0.25">
      <c r="A218" s="54"/>
      <c r="B218" s="54"/>
      <c r="D218" s="23"/>
      <c r="E218" s="25"/>
      <c r="F218" s="33"/>
      <c r="G218" s="47"/>
      <c r="H218" s="20"/>
      <c r="I218" s="19"/>
    </row>
    <row r="219" spans="1:12" s="13" customFormat="1" ht="18" outlineLevel="1" x14ac:dyDescent="0.25">
      <c r="A219" s="54"/>
      <c r="B219" s="54"/>
      <c r="D219" s="23"/>
      <c r="F219" s="16"/>
      <c r="G219" s="45"/>
      <c r="I219" s="21"/>
    </row>
    <row r="220" spans="1:12" s="13" customFormat="1" ht="18" outlineLevel="1" x14ac:dyDescent="0.25">
      <c r="A220" s="54"/>
      <c r="B220" s="54"/>
      <c r="C220" s="23"/>
      <c r="D220" s="23"/>
      <c r="E220" s="17"/>
      <c r="F220" s="16"/>
      <c r="G220" s="45"/>
      <c r="I220" s="21"/>
    </row>
    <row r="221" spans="1:12" s="13" customFormat="1" ht="18" outlineLevel="1" x14ac:dyDescent="0.25">
      <c r="A221" s="54"/>
      <c r="B221" s="54"/>
      <c r="C221" s="23"/>
      <c r="D221" s="23"/>
      <c r="G221" s="44"/>
    </row>
    <row r="222" spans="1:12" s="13" customFormat="1" ht="16.5" customHeight="1" outlineLevel="1" x14ac:dyDescent="0.25">
      <c r="A222" s="54"/>
      <c r="B222" s="54"/>
      <c r="C222" s="23"/>
      <c r="D222" s="23"/>
      <c r="F222" s="30">
        <f>F147*LN(F213/F148)*F144</f>
        <v>25.248467767079489</v>
      </c>
      <c r="H222" s="20" t="str">
        <f>[3]!EQS(F222,"Units= ; EqnPrefix=Valem  ; EqnNo= 0; Multiplication= 1; ShowWorking= 0; EqnStyle= 2; Eqp$H$54_2")</f>
        <v/>
      </c>
      <c r="J222" s="20"/>
    </row>
    <row r="223" spans="1:12" s="13" customFormat="1" ht="12" customHeight="1" outlineLevel="1" x14ac:dyDescent="0.25">
      <c r="A223" s="54"/>
      <c r="B223" s="54"/>
      <c r="C223" s="23"/>
      <c r="D223" s="23"/>
      <c r="E223" s="17"/>
      <c r="F223" s="30"/>
      <c r="G223" s="45"/>
      <c r="H223" s="20" t="str">
        <f>[3]!EQS(F222,"Units= ; EqnPrefix=Valem  ; EqnNo= 0; Multiplication= 1; ShowWorking= 1; EqnStyle= 2; Eqp$H$54_$H$55_3")</f>
        <v/>
      </c>
      <c r="J223" s="20"/>
    </row>
    <row r="224" spans="1:12" s="13" customFormat="1" ht="18" outlineLevel="1" x14ac:dyDescent="0.25">
      <c r="A224" s="54"/>
      <c r="B224" s="54"/>
      <c r="D224" s="29"/>
      <c r="F224" s="30"/>
      <c r="G224" s="45"/>
      <c r="H224" s="20"/>
      <c r="I224" s="28"/>
      <c r="J224" s="20"/>
    </row>
    <row r="225" spans="1:17" s="13" customFormat="1" ht="18" outlineLevel="1" x14ac:dyDescent="0.25">
      <c r="A225" s="54"/>
      <c r="B225" s="54"/>
      <c r="C225" s="23"/>
      <c r="D225" s="23"/>
      <c r="F225" s="30">
        <f>1/2*F146*F222^2</f>
        <v>390.45963880846682</v>
      </c>
      <c r="H225" s="20" t="str">
        <f>[3]!EQS(F225,"Units= ; EqnPrefix=Valem  ; EqnNo= 0; Multiplication= 1; ShowWorking= 0; EqnStyle= 2; Eqp$G$21_0")</f>
        <v/>
      </c>
      <c r="J225" s="20"/>
    </row>
    <row r="226" spans="1:17" s="13" customFormat="1" ht="18" outlineLevel="1" x14ac:dyDescent="0.25">
      <c r="A226" s="54"/>
      <c r="B226" s="54"/>
      <c r="C226" s="23"/>
      <c r="D226" s="23"/>
      <c r="E226" s="25"/>
      <c r="F226" s="30"/>
      <c r="G226" s="47"/>
      <c r="H226" s="20" t="str">
        <f>[3]!EQS(F225,"Units= ; EqnPrefix=Valem  ; EqnNo= 0; Multiplication= 1; ShowWorking= 1; EqnStyle= 2; Eqp$G$21_$G$25_1")</f>
        <v/>
      </c>
      <c r="J226" s="20"/>
    </row>
    <row r="227" spans="1:17" s="13" customFormat="1" ht="18" outlineLevel="1" x14ac:dyDescent="0.25">
      <c r="A227" s="54"/>
      <c r="B227" s="54"/>
      <c r="D227" s="23"/>
      <c r="E227" s="25"/>
      <c r="F227" s="30"/>
      <c r="G227" s="47"/>
      <c r="I227" s="28"/>
      <c r="J227" s="20"/>
    </row>
    <row r="228" spans="1:17" s="13" customFormat="1" ht="18" outlineLevel="1" x14ac:dyDescent="0.25">
      <c r="A228" s="54"/>
      <c r="B228" s="54"/>
      <c r="C228" s="23"/>
      <c r="D228" s="23"/>
      <c r="F228" s="30">
        <f>(1+2.28/LN(F213/F148))^2</f>
        <v>1.8504351691877789</v>
      </c>
      <c r="G228" s="47"/>
      <c r="H228" s="20" t="str">
        <f>[3]!EQS(F228,"Units= ; EqnPrefix=Valem  ; EqnNo= 0; Multiplication= 1; ShowWorking= 0; EqnStyle= 2; Eqp$G$24_0")</f>
        <v/>
      </c>
      <c r="J228" s="20"/>
    </row>
    <row r="229" spans="1:17" s="13" customFormat="1" ht="18" outlineLevel="1" x14ac:dyDescent="0.25">
      <c r="A229" s="54"/>
      <c r="B229" s="54"/>
      <c r="C229" s="23"/>
      <c r="D229" s="23"/>
      <c r="E229" s="25"/>
      <c r="F229" s="30"/>
      <c r="G229" s="47"/>
      <c r="H229" s="20" t="str">
        <f>[3]!EQS(F228,"Units= ; EqnPrefix=Valem  ; EqnNo= 0; Multiplication= 1; ShowWorking= 1; EqnStyle= 2; Eqp$G$24_$G$28_1")</f>
        <v/>
      </c>
      <c r="J229" s="20"/>
    </row>
    <row r="230" spans="1:17" s="13" customFormat="1" ht="18" outlineLevel="1" x14ac:dyDescent="0.25">
      <c r="A230" s="54"/>
      <c r="B230" s="54"/>
      <c r="E230" s="25"/>
      <c r="F230" s="30"/>
      <c r="G230" s="47"/>
      <c r="J230" s="20"/>
    </row>
    <row r="231" spans="1:17" s="13" customFormat="1" ht="18" outlineLevel="1" x14ac:dyDescent="0.25">
      <c r="A231" s="54"/>
      <c r="B231" s="54"/>
      <c r="C231" s="23"/>
      <c r="D231" s="23"/>
      <c r="F231" s="13">
        <v>1.1499999999999999</v>
      </c>
      <c r="G231" s="44"/>
      <c r="J231" s="20"/>
    </row>
    <row r="232" spans="1:17" s="13" customFormat="1" ht="18" outlineLevel="1" x14ac:dyDescent="0.25">
      <c r="A232" s="54"/>
      <c r="B232" s="54"/>
      <c r="D232" s="23"/>
      <c r="E232" s="20"/>
      <c r="F232" s="37"/>
      <c r="G232" s="44"/>
      <c r="H232" s="20"/>
      <c r="I232" s="28"/>
      <c r="J232" s="20"/>
    </row>
    <row r="233" spans="1:17" s="13" customFormat="1" ht="18" outlineLevel="1" x14ac:dyDescent="0.25">
      <c r="A233" s="54"/>
      <c r="B233" s="54"/>
      <c r="C233" s="23"/>
      <c r="D233" s="23"/>
      <c r="F233" s="96">
        <v>1.75</v>
      </c>
      <c r="G233" s="44"/>
      <c r="H233" s="20"/>
      <c r="I233" s="13">
        <v>1.75</v>
      </c>
      <c r="J233" s="13">
        <v>1.84</v>
      </c>
      <c r="K233" s="13">
        <v>2</v>
      </c>
    </row>
    <row r="234" spans="1:17" s="13" customFormat="1" ht="18" outlineLevel="1" x14ac:dyDescent="0.25">
      <c r="A234" s="54"/>
      <c r="B234" s="54"/>
      <c r="C234" s="23"/>
      <c r="D234" s="23"/>
      <c r="E234" s="20"/>
      <c r="F234" s="37"/>
      <c r="G234" s="44"/>
      <c r="H234" s="20"/>
      <c r="I234" s="13">
        <v>1.68</v>
      </c>
      <c r="J234" s="34">
        <f>(J233-I233)/(K233-I233)*(K234-I234)+I234</f>
        <v>1.752</v>
      </c>
      <c r="K234" s="13">
        <v>1.88</v>
      </c>
      <c r="Q234" s="53"/>
    </row>
    <row r="235" spans="1:17" s="13" customFormat="1" ht="18" outlineLevel="1" x14ac:dyDescent="0.25">
      <c r="A235" s="54"/>
      <c r="B235" s="54"/>
      <c r="D235" s="23"/>
      <c r="E235" s="20"/>
      <c r="F235" s="20"/>
      <c r="G235" s="44"/>
      <c r="H235" s="20"/>
      <c r="I235" s="28"/>
      <c r="J235" s="20"/>
    </row>
    <row r="236" spans="1:17" s="13" customFormat="1" ht="18" outlineLevel="1" x14ac:dyDescent="0.25">
      <c r="A236" s="54"/>
      <c r="B236" s="54"/>
      <c r="C236" s="23"/>
      <c r="D236" s="23"/>
      <c r="F236" s="91">
        <f>COS(RADIANS(45))^2</f>
        <v>0.50000000000000011</v>
      </c>
      <c r="G236" s="44"/>
      <c r="H236" s="20" t="str">
        <f>[3]!EQS(F236,"Units= ; EqnPrefix=Valem  ; EqnNo= 0; Multiplication= 1; ShowWorking= 0; EqnStyle= 2; Eqp$H$75_2")</f>
        <v/>
      </c>
      <c r="J236" s="20"/>
    </row>
    <row r="237" spans="1:17" s="13" customFormat="1" ht="18" outlineLevel="1" x14ac:dyDescent="0.25">
      <c r="A237" s="54"/>
      <c r="B237" s="54"/>
      <c r="D237" s="23"/>
      <c r="G237" s="44"/>
    </row>
    <row r="238" spans="1:17" s="13" customFormat="1" ht="18" x14ac:dyDescent="0.25">
      <c r="A238" s="54"/>
      <c r="B238" s="54"/>
      <c r="C238" s="23"/>
      <c r="D238" s="23"/>
      <c r="F238" s="34">
        <f>F225*F228*F231*F233*F214*F236</f>
        <v>174.48863984358997</v>
      </c>
      <c r="H238" s="20" t="str">
        <f>[3]!EQS(F238,"Units= ; EqnPrefix=Valem  ; EqnNo= 0; Multiplication= 1; ShowWorking= 0; EqnStyle= 2; Eqp$G$39_0")</f>
        <v/>
      </c>
    </row>
    <row r="239" spans="1:17" s="13" customFormat="1" ht="18" x14ac:dyDescent="0.25">
      <c r="A239" s="54"/>
      <c r="B239" s="54"/>
      <c r="C239" s="23"/>
      <c r="D239" s="23"/>
      <c r="G239" s="44"/>
      <c r="H239" s="13" t="str">
        <f>[3]!EQS(F238,"Units= ; EqnPrefix=Valem  ; EqnNo= 0; Multiplication= 1; ShowWorking= 1; EqnStyle= 2; Eqp$G$39_$G$40_1")</f>
        <v/>
      </c>
    </row>
    <row r="240" spans="1:17" s="13" customFormat="1" ht="18" x14ac:dyDescent="0.25">
      <c r="A240" s="54"/>
      <c r="B240" s="54"/>
      <c r="C240" s="23"/>
      <c r="D240" s="23"/>
      <c r="G240" s="44"/>
    </row>
    <row r="241" spans="1:12" s="13" customFormat="1" ht="18" x14ac:dyDescent="0.25">
      <c r="A241" s="54"/>
      <c r="B241" s="54"/>
      <c r="C241" s="23"/>
      <c r="D241" s="23"/>
      <c r="G241" s="44"/>
    </row>
    <row r="242" spans="1:12" s="13" customFormat="1" ht="18" x14ac:dyDescent="0.25">
      <c r="A242" s="54"/>
      <c r="C242" s="24"/>
      <c r="D242" s="24"/>
      <c r="E242" s="18"/>
      <c r="F242" s="18"/>
      <c r="G242" s="46"/>
      <c r="H242" s="18"/>
      <c r="I242" s="18"/>
      <c r="J242" s="18"/>
      <c r="K242" s="18"/>
      <c r="L242" s="18"/>
    </row>
    <row r="243" spans="1:12" s="13" customFormat="1" ht="18" outlineLevel="1" x14ac:dyDescent="0.25">
      <c r="A243" s="54"/>
      <c r="B243" s="54"/>
      <c r="D243" s="23"/>
      <c r="E243" s="14"/>
      <c r="G243" s="44"/>
    </row>
    <row r="244" spans="1:12" s="13" customFormat="1" ht="18" outlineLevel="1" x14ac:dyDescent="0.25">
      <c r="A244" s="54"/>
      <c r="B244" s="54"/>
      <c r="C244" s="23"/>
      <c r="D244" s="23"/>
      <c r="F244" s="22">
        <v>36</v>
      </c>
    </row>
    <row r="245" spans="1:12" s="13" customFormat="1" ht="18" outlineLevel="1" x14ac:dyDescent="0.25">
      <c r="A245" s="54"/>
      <c r="B245" s="54"/>
      <c r="C245" s="23"/>
      <c r="D245" s="23"/>
      <c r="F245" s="22">
        <v>0.25</v>
      </c>
    </row>
    <row r="246" spans="1:12" s="13" customFormat="1" ht="18" outlineLevel="1" x14ac:dyDescent="0.25">
      <c r="A246" s="54"/>
      <c r="B246" s="54"/>
      <c r="C246" s="23"/>
      <c r="D246" s="23"/>
      <c r="F246" s="22">
        <v>0.25</v>
      </c>
    </row>
    <row r="247" spans="1:12" s="13" customFormat="1" ht="18" outlineLevel="1" x14ac:dyDescent="0.25">
      <c r="A247" s="54"/>
      <c r="B247" s="54"/>
      <c r="C247" s="23"/>
      <c r="D247" s="23"/>
      <c r="F247" s="22">
        <v>23</v>
      </c>
    </row>
    <row r="248" spans="1:12" s="13" customFormat="1" ht="18" outlineLevel="1" x14ac:dyDescent="0.25">
      <c r="A248" s="54"/>
      <c r="B248" s="54"/>
      <c r="D248" s="26"/>
      <c r="E248" s="17"/>
      <c r="F248" s="16"/>
      <c r="G248" s="45"/>
      <c r="I248" s="21"/>
    </row>
    <row r="249" spans="1:12" s="13" customFormat="1" ht="18" outlineLevel="1" x14ac:dyDescent="0.25">
      <c r="A249" s="54"/>
      <c r="B249" s="54"/>
      <c r="C249" s="23"/>
      <c r="D249" s="23"/>
      <c r="F249" s="33">
        <f>F245*F247</f>
        <v>5.75</v>
      </c>
      <c r="H249" s="20" t="str">
        <f>[3]!EQS(F249,"Units= ; EqnPrefix=Valem  ; EqnNo= 0; Multiplication= 1; ShowWorking= 1; EqnStyle=2; Eqp$G$17_0")</f>
        <v/>
      </c>
    </row>
    <row r="250" spans="1:12" s="13" customFormat="1" ht="18" outlineLevel="1" x14ac:dyDescent="0.25">
      <c r="A250" s="54"/>
      <c r="B250" s="54"/>
      <c r="D250" s="23"/>
      <c r="E250" s="25"/>
      <c r="F250" s="33"/>
      <c r="G250" s="47"/>
      <c r="H250" s="20"/>
      <c r="I250" s="19"/>
    </row>
    <row r="251" spans="1:12" s="13" customFormat="1" ht="18" outlineLevel="1" x14ac:dyDescent="0.25">
      <c r="A251" s="54"/>
      <c r="B251" s="54"/>
      <c r="C251" s="36"/>
      <c r="D251" s="23"/>
      <c r="F251" s="33">
        <f>F246*F245</f>
        <v>6.25E-2</v>
      </c>
      <c r="H251" s="20" t="str">
        <f>[3]!EQS(F251,"Units= ; EqnPrefix=Valem  ; EqnNo= 0; Multiplication= 1; ShowWorking= 1; EqnStyle= 2; Eqp$H$137_2")</f>
        <v/>
      </c>
    </row>
    <row r="252" spans="1:12" s="13" customFormat="1" ht="18" outlineLevel="1" x14ac:dyDescent="0.25">
      <c r="A252" s="54"/>
      <c r="B252" s="54"/>
      <c r="D252" s="23"/>
      <c r="F252" s="16"/>
      <c r="G252" s="45"/>
      <c r="I252" s="21"/>
    </row>
    <row r="253" spans="1:12" s="13" customFormat="1" ht="18" outlineLevel="1" x14ac:dyDescent="0.25">
      <c r="A253" s="54"/>
      <c r="B253" s="54"/>
      <c r="C253" s="23"/>
      <c r="D253" s="23"/>
      <c r="E253" s="17"/>
      <c r="F253" s="16"/>
      <c r="G253" s="45"/>
      <c r="I253" s="21"/>
    </row>
    <row r="254" spans="1:12" s="13" customFormat="1" ht="18" outlineLevel="1" x14ac:dyDescent="0.25">
      <c r="A254" s="54"/>
      <c r="B254" s="54"/>
      <c r="C254" s="23"/>
      <c r="D254" s="23"/>
      <c r="G254" s="44"/>
    </row>
    <row r="255" spans="1:12" s="13" customFormat="1" ht="18" outlineLevel="1" x14ac:dyDescent="0.25">
      <c r="A255" s="54"/>
      <c r="B255" s="54"/>
      <c r="C255" s="23"/>
      <c r="D255" s="23"/>
      <c r="F255" s="30">
        <f>F147*LN(F244/F148)*F144</f>
        <v>26.251212335920307</v>
      </c>
      <c r="H255" s="20" t="str">
        <f>[3]!EQS(F255,"Units= ; EqnPrefix=Valem  ; EqnNo= 0; Multiplication= 1; ShowWorking= 0; EqnStyle= 2; Eqp$H$54_2")</f>
        <v/>
      </c>
      <c r="J255" s="20"/>
    </row>
    <row r="256" spans="1:12" s="13" customFormat="1" ht="18" outlineLevel="1" x14ac:dyDescent="0.25">
      <c r="A256" s="54"/>
      <c r="B256" s="54"/>
      <c r="C256" s="23"/>
      <c r="D256" s="23"/>
      <c r="E256" s="17"/>
      <c r="F256" s="30"/>
      <c r="G256" s="45"/>
      <c r="H256" s="20" t="str">
        <f>[3]!EQS(F255,"Units= ; EqnPrefix=Valem  ; EqnNo= 0; Multiplication= 1; ShowWorking= 1; EqnStyle= 2; Eqp$H$54_$H$55_3")</f>
        <v/>
      </c>
      <c r="J256" s="20"/>
    </row>
    <row r="257" spans="1:12" s="13" customFormat="1" ht="18" outlineLevel="1" x14ac:dyDescent="0.25">
      <c r="A257" s="54"/>
      <c r="B257" s="54"/>
      <c r="D257" s="29"/>
      <c r="F257" s="30"/>
      <c r="G257" s="45"/>
      <c r="H257" s="20"/>
      <c r="I257" s="28"/>
      <c r="J257" s="20"/>
    </row>
    <row r="258" spans="1:12" s="13" customFormat="1" ht="18" outlineLevel="1" x14ac:dyDescent="0.25">
      <c r="A258" s="54"/>
      <c r="B258" s="54"/>
      <c r="C258" s="23"/>
      <c r="D258" s="23"/>
      <c r="F258" s="30">
        <f>1/2*F146*F255^2</f>
        <v>422.08976632716445</v>
      </c>
      <c r="H258" s="20" t="str">
        <f>[3]!EQS(F258,"Units= ; EqnPrefix=Valem  ; EqnNo= 0; Multiplication= 1; ShowWorking= 0; EqnStyle= 2; Eqp$G$21_0")</f>
        <v/>
      </c>
      <c r="J258" s="20"/>
    </row>
    <row r="259" spans="1:12" s="13" customFormat="1" ht="18" outlineLevel="1" x14ac:dyDescent="0.25">
      <c r="A259" s="54"/>
      <c r="B259" s="54"/>
      <c r="C259" s="23"/>
      <c r="D259" s="23"/>
      <c r="E259" s="25"/>
      <c r="F259" s="30"/>
      <c r="G259" s="47"/>
      <c r="H259" s="20" t="str">
        <f>[3]!EQS(F258,"Units= ; EqnPrefix=Valem  ; EqnNo= 0; Multiplication= 1; ShowWorking= 1; EqnStyle= 2; Eqp$G$21_$G$25_1")</f>
        <v/>
      </c>
      <c r="J259" s="20"/>
    </row>
    <row r="260" spans="1:12" s="13" customFormat="1" ht="18" outlineLevel="1" x14ac:dyDescent="0.25">
      <c r="A260" s="54"/>
      <c r="B260" s="54"/>
      <c r="D260" s="23"/>
      <c r="E260" s="25"/>
      <c r="F260" s="30"/>
      <c r="G260" s="47"/>
      <c r="I260" s="28"/>
      <c r="J260" s="20"/>
    </row>
    <row r="261" spans="1:12" s="13" customFormat="1" ht="18" outlineLevel="1" x14ac:dyDescent="0.25">
      <c r="A261" s="54"/>
      <c r="B261" s="54"/>
      <c r="C261" s="23"/>
      <c r="D261" s="23"/>
      <c r="F261" s="30">
        <f>(1+2.28/LN(F244/F148))^2</f>
        <v>1.8131807308313552</v>
      </c>
      <c r="G261" s="47"/>
      <c r="H261" s="20" t="str">
        <f>[3]!EQS(F261,"Units= ; EqnPrefix=Valem  ; EqnNo= 0; Multiplication= 1; ShowWorking= 0; EqnStyle= 2; Eqp$G$24_0")</f>
        <v/>
      </c>
      <c r="J261" s="20"/>
    </row>
    <row r="262" spans="1:12" s="13" customFormat="1" ht="18" outlineLevel="1" x14ac:dyDescent="0.25">
      <c r="A262" s="54"/>
      <c r="B262" s="54"/>
      <c r="C262" s="23"/>
      <c r="D262" s="23"/>
      <c r="E262" s="25"/>
      <c r="F262" s="30"/>
      <c r="G262" s="47"/>
      <c r="H262" s="20" t="str">
        <f>[3]!EQS(F261,"Units= ; EqnPrefix=Valem  ; EqnNo= 0; Multiplication= 1; ShowWorking= 1; EqnStyle= 2; Eqp$G$24_$G$28_1")</f>
        <v/>
      </c>
      <c r="J262" s="20"/>
    </row>
    <row r="263" spans="1:12" s="13" customFormat="1" ht="18" outlineLevel="1" x14ac:dyDescent="0.25">
      <c r="A263" s="54"/>
      <c r="B263" s="54"/>
      <c r="E263" s="25"/>
      <c r="F263" s="30"/>
      <c r="G263" s="47"/>
      <c r="J263" s="20"/>
    </row>
    <row r="264" spans="1:12" s="13" customFormat="1" ht="18" outlineLevel="1" x14ac:dyDescent="0.25">
      <c r="A264" s="54"/>
      <c r="B264" s="54"/>
      <c r="C264" s="23"/>
      <c r="D264" s="23"/>
      <c r="F264" s="13">
        <v>1.1499999999999999</v>
      </c>
      <c r="G264" s="44"/>
      <c r="J264" s="20"/>
    </row>
    <row r="265" spans="1:12" s="13" customFormat="1" ht="18" outlineLevel="1" x14ac:dyDescent="0.25">
      <c r="A265" s="54"/>
      <c r="B265" s="54"/>
      <c r="D265" s="23"/>
      <c r="E265" s="20"/>
      <c r="F265" s="37"/>
      <c r="G265" s="44"/>
      <c r="H265" s="20"/>
      <c r="I265" s="28"/>
      <c r="J265" s="20"/>
    </row>
    <row r="266" spans="1:12" s="13" customFormat="1" ht="18" outlineLevel="1" x14ac:dyDescent="0.25">
      <c r="A266" s="54"/>
      <c r="B266" s="54"/>
      <c r="C266" s="23"/>
      <c r="D266" s="23"/>
      <c r="F266" s="96">
        <v>1.58</v>
      </c>
      <c r="G266" s="44"/>
      <c r="H266" s="20"/>
      <c r="J266" s="13">
        <v>1.5</v>
      </c>
      <c r="K266" s="13">
        <v>1.62</v>
      </c>
      <c r="L266" s="13">
        <v>1.75</v>
      </c>
    </row>
    <row r="267" spans="1:12" s="13" customFormat="1" ht="18" outlineLevel="1" x14ac:dyDescent="0.25">
      <c r="A267" s="54"/>
      <c r="B267" s="54"/>
      <c r="C267" s="23"/>
      <c r="D267" s="23"/>
      <c r="E267" s="20"/>
      <c r="F267" s="37"/>
      <c r="G267" s="44"/>
      <c r="H267" s="20"/>
      <c r="J267" s="13">
        <v>1.48</v>
      </c>
      <c r="K267" s="34">
        <f>(K266-J266)/(L266-J266)*(L267-J267)+J267</f>
        <v>1.5760000000000001</v>
      </c>
      <c r="L267" s="13">
        <v>1.68</v>
      </c>
    </row>
    <row r="268" spans="1:12" s="13" customFormat="1" ht="18" outlineLevel="1" x14ac:dyDescent="0.25">
      <c r="A268" s="54"/>
      <c r="B268" s="54"/>
      <c r="D268" s="23"/>
      <c r="E268" s="20"/>
      <c r="F268" s="37"/>
      <c r="G268" s="44"/>
      <c r="H268" s="20"/>
      <c r="J268" s="28"/>
      <c r="K268" s="20"/>
    </row>
    <row r="269" spans="1:12" s="13" customFormat="1" ht="18" outlineLevel="1" x14ac:dyDescent="0.25">
      <c r="A269" s="54"/>
      <c r="B269" s="54"/>
      <c r="C269" s="43"/>
      <c r="D269" s="23"/>
      <c r="F269" s="96">
        <v>1.75</v>
      </c>
      <c r="G269" s="44"/>
      <c r="H269" s="20"/>
      <c r="J269" s="13">
        <v>1.75</v>
      </c>
      <c r="K269" s="13">
        <v>1.84</v>
      </c>
      <c r="L269" s="13">
        <v>2</v>
      </c>
    </row>
    <row r="270" spans="1:12" s="13" customFormat="1" ht="18" outlineLevel="1" x14ac:dyDescent="0.25">
      <c r="A270" s="54"/>
      <c r="B270" s="54"/>
      <c r="C270" s="23"/>
      <c r="D270" s="23"/>
      <c r="E270" s="20"/>
      <c r="F270" s="37"/>
      <c r="G270" s="44"/>
      <c r="H270" s="20"/>
      <c r="J270" s="13">
        <v>1.68</v>
      </c>
      <c r="K270" s="34">
        <f>(K269-J269)/(L269-J269)*(L270-J270)+J270</f>
        <v>1.752</v>
      </c>
      <c r="L270" s="13">
        <v>1.88</v>
      </c>
    </row>
    <row r="271" spans="1:12" s="13" customFormat="1" ht="18" outlineLevel="1" x14ac:dyDescent="0.25">
      <c r="A271" s="54"/>
      <c r="B271" s="54"/>
      <c r="D271" s="23"/>
      <c r="E271" s="20"/>
      <c r="F271" s="20"/>
      <c r="G271" s="44"/>
      <c r="H271" s="20"/>
      <c r="I271" s="28"/>
      <c r="J271" s="20"/>
    </row>
    <row r="272" spans="1:12" s="13" customFormat="1" ht="18" outlineLevel="1" x14ac:dyDescent="0.25">
      <c r="A272" s="54"/>
      <c r="B272" s="54"/>
      <c r="C272" s="23"/>
      <c r="D272" s="23"/>
      <c r="F272" s="91">
        <f>COS(RADIANS(45))^2</f>
        <v>0.50000000000000011</v>
      </c>
      <c r="G272" s="44"/>
      <c r="H272" s="20" t="str">
        <f>[3]!EQS(F272,"Units= ; EqnPrefix=Valem  ; EqnNo= 0; Multiplication= 1; ShowWorking= 0; EqnStyle= 2; Eqp$H$75_2")</f>
        <v/>
      </c>
      <c r="J272" s="20"/>
    </row>
    <row r="273" spans="1:12" s="13" customFormat="1" ht="18" outlineLevel="1" x14ac:dyDescent="0.25">
      <c r="A273" s="54"/>
      <c r="B273" s="54"/>
      <c r="D273" s="23"/>
      <c r="E273" s="42"/>
      <c r="F273" s="40"/>
      <c r="G273" s="44"/>
      <c r="H273" s="20"/>
      <c r="I273" s="28"/>
      <c r="J273" s="20"/>
    </row>
    <row r="274" spans="1:12" s="13" customFormat="1" ht="18" outlineLevel="1" x14ac:dyDescent="0.25">
      <c r="A274" s="54"/>
      <c r="B274" s="54"/>
      <c r="C274" s="23"/>
      <c r="D274" s="23"/>
      <c r="F274" s="91">
        <f>COS(RADIANS(45))^2</f>
        <v>0.50000000000000011</v>
      </c>
      <c r="G274" s="44"/>
      <c r="H274" s="20" t="str">
        <f>[3]!EQS(F274,"Units= ; EqnPrefix=Valem  ; EqnNo= 0; Multiplication= 1; ShowWorking= 0; EqnStyle= 2; Eqp$H$75_2")</f>
        <v/>
      </c>
      <c r="J274" s="20"/>
    </row>
    <row r="275" spans="1:12" s="13" customFormat="1" ht="18" x14ac:dyDescent="0.25">
      <c r="A275" s="54"/>
      <c r="B275" s="54"/>
      <c r="D275" s="23"/>
      <c r="G275" s="44"/>
    </row>
    <row r="276" spans="1:12" s="13" customFormat="1" ht="18" x14ac:dyDescent="0.25">
      <c r="A276" s="54"/>
      <c r="B276" s="54"/>
      <c r="C276" s="23"/>
      <c r="D276" s="23"/>
      <c r="F276" s="34">
        <f>F258*F261*F264*F266*F245*F272</f>
        <v>173.82444766258718</v>
      </c>
      <c r="H276" s="20" t="str">
        <f>[3]!EQS(F276,"Units= ; EqnPrefix=Valem  ; EqnNo= 0; Multiplication= 1; ShowWorking= 0; EqnStyle= 2; Eqp$G$39_0")</f>
        <v/>
      </c>
    </row>
    <row r="277" spans="1:12" s="13" customFormat="1" ht="18" x14ac:dyDescent="0.25">
      <c r="A277" s="54"/>
      <c r="B277" s="54"/>
      <c r="C277" s="23"/>
      <c r="D277" s="23"/>
      <c r="G277" s="44"/>
      <c r="H277" s="13" t="str">
        <f>[3]!EQS(F276,"Units= ; EqnPrefix=Valem  ; EqnNo= 0; Multiplication= 1; ShowWorking= 1; EqnStyle= 2; Eqp$G$39_$G$40_1")</f>
        <v/>
      </c>
    </row>
    <row r="278" spans="1:12" s="13" customFormat="1" ht="18" x14ac:dyDescent="0.25">
      <c r="A278" s="54"/>
      <c r="B278" s="54"/>
      <c r="D278" s="23"/>
      <c r="G278" s="44"/>
    </row>
    <row r="279" spans="1:12" s="13" customFormat="1" ht="18" x14ac:dyDescent="0.25">
      <c r="A279" s="54"/>
      <c r="B279" s="54"/>
      <c r="C279" s="23"/>
      <c r="D279" s="23"/>
      <c r="F279" s="34">
        <f>F258*F261*F264*F269*F246*F245*F274</f>
        <v>48.13176952682398</v>
      </c>
      <c r="H279" s="20" t="str">
        <f>[3]!EQS(F279,"Units= ; EqnPrefix=Valem  ; EqnNo= 0; Multiplication= 1; ShowWorking= 0; EqnStyle= 2; Eqp$G$39_0")</f>
        <v/>
      </c>
    </row>
    <row r="280" spans="1:12" s="13" customFormat="1" ht="18" x14ac:dyDescent="0.25">
      <c r="A280" s="54"/>
      <c r="B280" s="54"/>
      <c r="C280" s="23"/>
      <c r="D280" s="23"/>
      <c r="G280" s="44"/>
      <c r="H280" s="13" t="str">
        <f>[3]!EQS(F279,"Units= ; EqnPrefix=Valem  ; EqnNo= 0; Multiplication= 1; ShowWorking= 1; EqnStyle= 2; Eqp$G$39_$G$40_1")</f>
        <v/>
      </c>
    </row>
    <row r="281" spans="1:12" s="13" customFormat="1" ht="18" x14ac:dyDescent="0.25">
      <c r="A281" s="54"/>
      <c r="C281" s="24"/>
      <c r="D281" s="24"/>
      <c r="E281" s="18"/>
      <c r="F281" s="18"/>
      <c r="G281" s="46"/>
      <c r="H281" s="18"/>
      <c r="I281" s="18"/>
      <c r="J281" s="18"/>
      <c r="K281" s="18"/>
      <c r="L281" s="18"/>
    </row>
    <row r="282" spans="1:12" s="13" customFormat="1" ht="18" outlineLevel="1" x14ac:dyDescent="0.25">
      <c r="A282" s="54"/>
      <c r="B282" s="54"/>
      <c r="D282" s="23"/>
      <c r="E282" s="14"/>
      <c r="G282" s="44"/>
    </row>
    <row r="283" spans="1:12" s="13" customFormat="1" ht="18" outlineLevel="1" x14ac:dyDescent="0.25">
      <c r="A283" s="54"/>
      <c r="B283" s="54"/>
      <c r="C283" s="23"/>
      <c r="D283" s="23"/>
      <c r="F283" s="22">
        <v>41</v>
      </c>
    </row>
    <row r="284" spans="1:12" s="13" customFormat="1" ht="18" outlineLevel="1" x14ac:dyDescent="0.25">
      <c r="A284" s="54"/>
      <c r="B284" s="54"/>
      <c r="C284" s="23"/>
      <c r="D284" s="23"/>
      <c r="F284" s="22">
        <f>0.25+0.02</f>
        <v>0.27</v>
      </c>
    </row>
    <row r="285" spans="1:12" s="13" customFormat="1" ht="18" outlineLevel="1" x14ac:dyDescent="0.25">
      <c r="A285" s="54"/>
      <c r="B285" s="54"/>
      <c r="C285" s="23"/>
      <c r="D285" s="23"/>
      <c r="F285" s="22">
        <f>0.15+0.2</f>
        <v>0.35</v>
      </c>
    </row>
    <row r="286" spans="1:12" s="13" customFormat="1" ht="18" outlineLevel="1" x14ac:dyDescent="0.25">
      <c r="A286" s="54"/>
      <c r="B286" s="54"/>
      <c r="C286" s="23"/>
      <c r="D286" s="23"/>
      <c r="F286" s="22">
        <v>5</v>
      </c>
    </row>
    <row r="287" spans="1:12" s="13" customFormat="1" ht="18" outlineLevel="1" x14ac:dyDescent="0.25">
      <c r="A287" s="54"/>
      <c r="B287" s="54"/>
      <c r="D287" s="26"/>
      <c r="E287" s="17"/>
      <c r="F287" s="16"/>
      <c r="G287" s="45"/>
      <c r="I287" s="21"/>
    </row>
    <row r="288" spans="1:12" s="13" customFormat="1" ht="18" outlineLevel="1" x14ac:dyDescent="0.25">
      <c r="A288" s="54"/>
      <c r="B288" s="54"/>
      <c r="C288" s="23"/>
      <c r="D288" s="23"/>
      <c r="F288" s="33">
        <f>F285*F286</f>
        <v>1.75</v>
      </c>
      <c r="H288" s="20" t="str">
        <f>[3]!EQS(F288,"Units= ; EqnPrefix=Valem  ; EqnNo= 0; Multiplication= 1; ShowWorking= 1; EqnStyle=2; Eqp$G$17_0")</f>
        <v/>
      </c>
    </row>
    <row r="289" spans="1:10" s="13" customFormat="1" ht="18" outlineLevel="1" x14ac:dyDescent="0.25">
      <c r="A289" s="54"/>
      <c r="B289" s="54"/>
      <c r="D289" s="23"/>
      <c r="E289" s="25"/>
      <c r="F289" s="33"/>
      <c r="G289" s="47"/>
      <c r="H289" s="20"/>
      <c r="I289" s="19"/>
    </row>
    <row r="290" spans="1:10" s="13" customFormat="1" ht="18" outlineLevel="1" x14ac:dyDescent="0.25">
      <c r="A290" s="54"/>
      <c r="B290" s="54"/>
      <c r="C290" s="36"/>
      <c r="D290" s="23"/>
      <c r="F290" s="33">
        <f>F286*F284</f>
        <v>1.35</v>
      </c>
      <c r="H290" s="20" t="str">
        <f>[3]!EQS(F290,"Units= ; EqnPrefix=Valem  ; EqnNo= 0; Multiplication= 1; ShowWorking= 1; EqnStyle= 2; Eqp$H$137_2")</f>
        <v/>
      </c>
    </row>
    <row r="291" spans="1:10" s="13" customFormat="1" ht="18" outlineLevel="1" x14ac:dyDescent="0.25">
      <c r="A291" s="54"/>
      <c r="B291" s="54"/>
      <c r="D291" s="23"/>
      <c r="F291" s="16"/>
      <c r="G291" s="45"/>
      <c r="I291" s="21"/>
    </row>
    <row r="292" spans="1:10" s="13" customFormat="1" ht="18" outlineLevel="1" x14ac:dyDescent="0.25">
      <c r="A292" s="54"/>
      <c r="B292" s="54"/>
      <c r="C292" s="23"/>
      <c r="D292" s="23"/>
      <c r="E292" s="17"/>
      <c r="F292" s="16"/>
      <c r="G292" s="45"/>
      <c r="I292" s="21"/>
    </row>
    <row r="293" spans="1:10" s="13" customFormat="1" ht="18" outlineLevel="1" x14ac:dyDescent="0.25">
      <c r="A293" s="54"/>
      <c r="B293" s="54"/>
      <c r="C293" s="23"/>
      <c r="D293" s="23"/>
      <c r="G293" s="44"/>
    </row>
    <row r="294" spans="1:10" s="13" customFormat="1" ht="18" outlineLevel="1" x14ac:dyDescent="0.25">
      <c r="A294" s="54"/>
      <c r="B294" s="54"/>
      <c r="C294" s="23"/>
      <c r="D294" s="23"/>
      <c r="F294" s="30">
        <f>F147*LN(F283/F148)*F144</f>
        <v>26.770124317630611</v>
      </c>
      <c r="H294" s="20" t="str">
        <f>[3]!EQS(F294,"Units= ; EqnPrefix=Valem  ; EqnNo= 0; Multiplication= 1; ShowWorking= 0; EqnStyle= 2; Eqp$H$54_2")</f>
        <v/>
      </c>
      <c r="J294" s="20"/>
    </row>
    <row r="295" spans="1:10" s="13" customFormat="1" ht="18" outlineLevel="1" x14ac:dyDescent="0.25">
      <c r="A295" s="54"/>
      <c r="B295" s="54"/>
      <c r="C295" s="23"/>
      <c r="D295" s="23"/>
      <c r="E295" s="17"/>
      <c r="F295" s="30"/>
      <c r="G295" s="45"/>
      <c r="H295" s="20" t="str">
        <f>[3]!EQS(F294,"Units= ; EqnPrefix=Valem  ; EqnNo= 0; Multiplication= 1; ShowWorking= 1; EqnStyle= 2; Eqp$H$54_$H$55_3")</f>
        <v/>
      </c>
      <c r="J295" s="20"/>
    </row>
    <row r="296" spans="1:10" s="13" customFormat="1" ht="18" outlineLevel="1" x14ac:dyDescent="0.25">
      <c r="A296" s="54"/>
      <c r="B296" s="54"/>
      <c r="D296" s="29"/>
      <c r="F296" s="30"/>
      <c r="G296" s="45"/>
      <c r="H296" s="20"/>
      <c r="I296" s="28"/>
      <c r="J296" s="20"/>
    </row>
    <row r="297" spans="1:10" s="13" customFormat="1" ht="18" outlineLevel="1" x14ac:dyDescent="0.25">
      <c r="A297" s="54"/>
      <c r="B297" s="54"/>
      <c r="C297" s="23"/>
      <c r="D297" s="23"/>
      <c r="F297" s="30">
        <f>1/2*F146*F294^2</f>
        <v>438.94172803860613</v>
      </c>
      <c r="H297" s="20" t="str">
        <f>[3]!EQS(F297,"Units= ; EqnPrefix=Valem  ; EqnNo= 0; Multiplication= 1; ShowWorking= 0; EqnStyle= 2; Eqp$G$21_0")</f>
        <v/>
      </c>
      <c r="J297" s="20"/>
    </row>
    <row r="298" spans="1:10" s="13" customFormat="1" ht="18" outlineLevel="1" x14ac:dyDescent="0.25">
      <c r="A298" s="54"/>
      <c r="B298" s="54"/>
      <c r="C298" s="23"/>
      <c r="D298" s="23"/>
      <c r="E298" s="25"/>
      <c r="F298" s="30"/>
      <c r="G298" s="47"/>
      <c r="H298" s="20" t="str">
        <f>[3]!EQS(F297,"Units= ; EqnPrefix=Valem  ; EqnNo= 0; Multiplication= 1; ShowWorking= 1; EqnStyle= 2; Eqp$G$21_$G$25_1")</f>
        <v/>
      </c>
      <c r="J298" s="20"/>
    </row>
    <row r="299" spans="1:10" s="13" customFormat="1" ht="18" outlineLevel="1" x14ac:dyDescent="0.25">
      <c r="A299" s="54"/>
      <c r="B299" s="54"/>
      <c r="D299" s="23"/>
      <c r="E299" s="25"/>
      <c r="F299" s="30"/>
      <c r="G299" s="47"/>
      <c r="I299" s="28"/>
      <c r="J299" s="20"/>
    </row>
    <row r="300" spans="1:10" s="13" customFormat="1" ht="18" outlineLevel="1" x14ac:dyDescent="0.25">
      <c r="A300" s="54"/>
      <c r="B300" s="54"/>
      <c r="C300" s="23"/>
      <c r="D300" s="23"/>
      <c r="F300" s="30">
        <f>(1+2.28/LN(F283/F148))^2</f>
        <v>1.7951352851913878</v>
      </c>
      <c r="G300" s="47"/>
      <c r="H300" s="20" t="str">
        <f>[3]!EQS(F300,"Units= ; EqnPrefix=Valem  ; EqnNo= 0; Multiplication= 1; ShowWorking= 0; EqnStyle= 2; Eqp$G$24_0")</f>
        <v/>
      </c>
      <c r="J300" s="20"/>
    </row>
    <row r="301" spans="1:10" s="13" customFormat="1" ht="18" outlineLevel="1" x14ac:dyDescent="0.25">
      <c r="A301" s="54"/>
      <c r="B301" s="54"/>
      <c r="C301" s="23"/>
      <c r="D301" s="23"/>
      <c r="E301" s="25"/>
      <c r="F301" s="30"/>
      <c r="G301" s="47"/>
      <c r="H301" s="20" t="str">
        <f>[3]!EQS(F300,"Units= ; EqnPrefix=Valem  ; EqnNo= 0; Multiplication= 1; ShowWorking= 1; EqnStyle= 2; Eqp$G$24_$G$28_1")</f>
        <v/>
      </c>
      <c r="J301" s="20"/>
    </row>
    <row r="302" spans="1:10" s="13" customFormat="1" ht="18" outlineLevel="1" x14ac:dyDescent="0.25">
      <c r="A302" s="54"/>
      <c r="B302" s="54"/>
      <c r="E302" s="25"/>
      <c r="F302" s="30"/>
      <c r="G302" s="47"/>
      <c r="J302" s="20"/>
    </row>
    <row r="303" spans="1:10" s="13" customFormat="1" ht="18" outlineLevel="1" x14ac:dyDescent="0.25">
      <c r="A303" s="54"/>
      <c r="B303" s="54"/>
      <c r="C303" s="23"/>
      <c r="D303" s="23"/>
      <c r="F303" s="13">
        <v>1.1499999999999999</v>
      </c>
      <c r="G303" s="44"/>
      <c r="J303" s="20"/>
    </row>
    <row r="304" spans="1:10" s="13" customFormat="1" ht="18" outlineLevel="1" x14ac:dyDescent="0.25">
      <c r="A304" s="54"/>
      <c r="B304" s="54"/>
      <c r="D304" s="23"/>
      <c r="E304" s="20"/>
      <c r="F304" s="37"/>
      <c r="G304" s="44"/>
      <c r="H304" s="20"/>
      <c r="I304" s="28"/>
      <c r="J304" s="20"/>
    </row>
    <row r="305" spans="1:12" s="13" customFormat="1" ht="18" outlineLevel="1" x14ac:dyDescent="0.25">
      <c r="A305" s="54"/>
      <c r="B305" s="54"/>
      <c r="C305" s="23"/>
      <c r="D305" s="23"/>
      <c r="F305" s="96">
        <v>1.5</v>
      </c>
      <c r="G305" s="44"/>
      <c r="H305" s="20"/>
      <c r="J305" s="13">
        <v>1.5</v>
      </c>
      <c r="K305" s="13">
        <v>1.53</v>
      </c>
      <c r="L305" s="13">
        <v>1.75</v>
      </c>
    </row>
    <row r="306" spans="1:12" s="13" customFormat="1" ht="18" outlineLevel="1" x14ac:dyDescent="0.25">
      <c r="A306" s="54"/>
      <c r="B306" s="54"/>
      <c r="C306" s="23"/>
      <c r="D306" s="23"/>
      <c r="E306" s="20"/>
      <c r="F306" s="37"/>
      <c r="G306" s="44"/>
      <c r="H306" s="20"/>
      <c r="J306" s="13">
        <v>1.48</v>
      </c>
      <c r="K306" s="34">
        <f>(K305-J305)/(L305-J305)*(L306-J306)+J306</f>
        <v>1.504</v>
      </c>
      <c r="L306" s="13">
        <v>1.68</v>
      </c>
    </row>
    <row r="307" spans="1:12" s="13" customFormat="1" ht="18" outlineLevel="1" x14ac:dyDescent="0.25">
      <c r="A307" s="54"/>
      <c r="B307" s="54"/>
      <c r="D307" s="23"/>
      <c r="E307" s="20"/>
      <c r="F307" s="37"/>
      <c r="G307" s="44"/>
      <c r="H307" s="20"/>
      <c r="J307" s="28"/>
      <c r="K307" s="20"/>
    </row>
    <row r="308" spans="1:12" s="13" customFormat="1" ht="18" outlineLevel="1" x14ac:dyDescent="0.25">
      <c r="A308" s="54"/>
      <c r="B308" s="54"/>
      <c r="C308" s="43"/>
      <c r="D308" s="23"/>
      <c r="F308" s="96">
        <v>1.5</v>
      </c>
      <c r="G308" s="44"/>
      <c r="H308" s="20"/>
      <c r="J308" s="13">
        <v>1.75</v>
      </c>
      <c r="K308" s="13">
        <v>1.53</v>
      </c>
      <c r="L308" s="13">
        <v>2</v>
      </c>
    </row>
    <row r="309" spans="1:12" s="13" customFormat="1" ht="18" outlineLevel="1" x14ac:dyDescent="0.25">
      <c r="A309" s="54"/>
      <c r="B309" s="54"/>
      <c r="C309" s="23"/>
      <c r="D309" s="23"/>
      <c r="E309" s="20"/>
      <c r="F309" s="37"/>
      <c r="G309" s="44"/>
      <c r="H309" s="20"/>
      <c r="J309" s="13">
        <v>1.68</v>
      </c>
      <c r="K309" s="34">
        <f>(K308-J308)/(L308-J308)*(L309-J309)+J309</f>
        <v>1.504</v>
      </c>
      <c r="L309" s="13">
        <v>1.88</v>
      </c>
    </row>
    <row r="310" spans="1:12" s="13" customFormat="1" ht="18" outlineLevel="1" x14ac:dyDescent="0.25">
      <c r="A310" s="54"/>
      <c r="B310" s="54"/>
      <c r="D310" s="23"/>
      <c r="E310" s="20"/>
      <c r="F310" s="20"/>
      <c r="G310" s="44"/>
      <c r="H310" s="20"/>
      <c r="I310" s="28"/>
      <c r="J310" s="20"/>
    </row>
    <row r="311" spans="1:12" s="13" customFormat="1" ht="18" outlineLevel="1" x14ac:dyDescent="0.25">
      <c r="A311" s="54"/>
      <c r="B311" s="54"/>
      <c r="C311" s="23"/>
      <c r="D311" s="23"/>
      <c r="F311" s="91">
        <f>COS(RADIANS(45))^2</f>
        <v>0.50000000000000011</v>
      </c>
      <c r="G311" s="44"/>
      <c r="H311" s="20" t="str">
        <f>[3]!EQS(F311,"Units= ; EqnPrefix=Valem  ; EqnNo= 0; Multiplication= 1; ShowWorking= 0; EqnStyle= 2; Eqp$H$75_2")</f>
        <v/>
      </c>
      <c r="J311" s="20"/>
    </row>
    <row r="312" spans="1:12" s="13" customFormat="1" ht="18" outlineLevel="1" x14ac:dyDescent="0.25">
      <c r="A312" s="54"/>
      <c r="B312" s="54"/>
      <c r="D312" s="23"/>
      <c r="E312" s="42"/>
      <c r="F312" s="40"/>
      <c r="G312" s="44"/>
      <c r="H312" s="20"/>
      <c r="I312" s="28"/>
      <c r="J312" s="20"/>
    </row>
    <row r="313" spans="1:12" s="13" customFormat="1" ht="18" outlineLevel="1" x14ac:dyDescent="0.25">
      <c r="A313" s="54"/>
      <c r="B313" s="54"/>
      <c r="C313" s="23"/>
      <c r="D313" s="23"/>
      <c r="F313" s="91">
        <f>COS(RADIANS(45))^2</f>
        <v>0.50000000000000011</v>
      </c>
      <c r="G313" s="44"/>
      <c r="H313" s="20" t="str">
        <f>[3]!EQS(F313,"Units= ; EqnPrefix=Valem  ; EqnNo= 0; Multiplication= 1; ShowWorking= 0; EqnStyle= 2; Eqp$H$75_2")</f>
        <v/>
      </c>
      <c r="J313" s="20"/>
    </row>
    <row r="314" spans="1:12" s="13" customFormat="1" ht="18" x14ac:dyDescent="0.25">
      <c r="A314" s="54"/>
      <c r="B314" s="54"/>
      <c r="D314" s="23"/>
      <c r="G314" s="44"/>
    </row>
    <row r="315" spans="1:12" s="13" customFormat="1" ht="18" x14ac:dyDescent="0.25">
      <c r="A315" s="54"/>
      <c r="B315" s="54"/>
      <c r="C315" s="23"/>
      <c r="D315" s="23"/>
      <c r="F315" s="34">
        <f>F297*F300*F303*F305*F285*F311</f>
        <v>237.86535983876701</v>
      </c>
      <c r="H315" s="20" t="str">
        <f>[3]!EQS(F315,"Units= ; EqnPrefix=Valem  ; EqnNo= 0; Multiplication= 1; ShowWorking= 0; EqnStyle= 2; Eqp$G$39_0")</f>
        <v/>
      </c>
    </row>
    <row r="316" spans="1:12" s="13" customFormat="1" ht="18" x14ac:dyDescent="0.25">
      <c r="A316" s="54"/>
      <c r="B316" s="54"/>
      <c r="C316" s="23"/>
      <c r="D316" s="23"/>
      <c r="G316" s="44"/>
      <c r="H316" s="13" t="str">
        <f>[3]!EQS(F315,"Units= ; EqnPrefix=Valem  ; EqnNo= 0; Multiplication= 1; ShowWorking= 1; EqnStyle= 2; Eqp$G$39_$G$40_1")</f>
        <v/>
      </c>
    </row>
    <row r="317" spans="1:12" s="13" customFormat="1" ht="18" x14ac:dyDescent="0.25">
      <c r="A317" s="54"/>
      <c r="B317" s="54"/>
      <c r="D317" s="23"/>
      <c r="G317" s="44"/>
    </row>
    <row r="318" spans="1:12" s="13" customFormat="1" ht="18" x14ac:dyDescent="0.25">
      <c r="A318" s="54"/>
      <c r="B318" s="54"/>
      <c r="C318" s="23"/>
      <c r="D318" s="23"/>
      <c r="F318" s="34">
        <f>F297*F300*F303*F308*F284*F313</f>
        <v>183.49613473276312</v>
      </c>
      <c r="H318" s="20" t="str">
        <f>[3]!EQS(F318,"Units= ; EqnPrefix=Valem  ; EqnNo= 0; Multiplication= 1; ShowWorking= 0; EqnStyle= 2; Eqp$G$39_0")</f>
        <v/>
      </c>
    </row>
    <row r="319" spans="1:12" s="13" customFormat="1" ht="18" x14ac:dyDescent="0.25">
      <c r="A319" s="54"/>
      <c r="B319" s="54"/>
      <c r="C319" s="23"/>
      <c r="D319" s="23"/>
      <c r="G319" s="44"/>
      <c r="H319" s="13" t="str">
        <f>[3]!EQS(F318,"Units= ; EqnPrefix=Valem  ; EqnNo= 0; Multiplication= 1; ShowWorking= 1; EqnStyle= 2; Eqp$G$39_$G$40_1")</f>
        <v/>
      </c>
    </row>
    <row r="321" spans="1:10" s="13" customFormat="1" ht="20.25" x14ac:dyDescent="0.3">
      <c r="A321" s="89"/>
      <c r="C321" s="23"/>
      <c r="D321" s="23"/>
      <c r="E321" s="51"/>
      <c r="F321" s="53"/>
      <c r="G321" s="52"/>
      <c r="H321" s="20"/>
      <c r="I321" s="19"/>
    </row>
    <row r="322" spans="1:10" s="13" customFormat="1" ht="20.25" x14ac:dyDescent="0.3">
      <c r="A322" s="89"/>
      <c r="B322" s="54"/>
      <c r="D322" s="23"/>
      <c r="E322" s="51"/>
      <c r="F322" s="53"/>
      <c r="G322" s="52"/>
      <c r="H322" s="20"/>
      <c r="I322" s="19"/>
    </row>
    <row r="323" spans="1:10" s="13" customFormat="1" ht="20.25" x14ac:dyDescent="0.3">
      <c r="A323" s="89"/>
      <c r="B323" s="54"/>
      <c r="C323" s="69"/>
      <c r="E323" s="51"/>
      <c r="F323" s="53"/>
      <c r="G323" s="52"/>
      <c r="H323" s="20"/>
      <c r="I323" s="19"/>
    </row>
    <row r="324" spans="1:10" s="13" customFormat="1" ht="20.25" x14ac:dyDescent="0.3">
      <c r="A324" s="89"/>
      <c r="B324" s="54"/>
      <c r="C324" s="69"/>
      <c r="D324" s="23"/>
      <c r="F324" s="84">
        <f>Jäitekoormus!F76</f>
        <v>11.428248816311019</v>
      </c>
      <c r="H324" s="20"/>
    </row>
    <row r="325" spans="1:10" s="13" customFormat="1" ht="20.25" x14ac:dyDescent="0.3">
      <c r="A325" s="89"/>
      <c r="B325" s="54"/>
      <c r="C325" s="69"/>
      <c r="D325" s="23"/>
      <c r="F325" s="85">
        <f>Jäitekoormus!F71</f>
        <v>2.01E-2</v>
      </c>
      <c r="H325" s="20"/>
    </row>
    <row r="326" spans="1:10" s="13" customFormat="1" ht="20.25" x14ac:dyDescent="0.3">
      <c r="A326" s="89"/>
      <c r="B326" s="54"/>
      <c r="C326" s="69"/>
      <c r="D326" s="23"/>
      <c r="F326" s="53">
        <v>9.81</v>
      </c>
      <c r="H326" s="20"/>
    </row>
    <row r="327" spans="1:10" s="13" customFormat="1" ht="20.25" x14ac:dyDescent="0.3">
      <c r="A327" s="89"/>
      <c r="B327" s="54"/>
      <c r="C327" s="69"/>
      <c r="D327" s="23"/>
      <c r="F327" s="13">
        <v>3.1415999999999999</v>
      </c>
      <c r="G327" s="44"/>
    </row>
    <row r="328" spans="1:10" s="13" customFormat="1" ht="20.25" x14ac:dyDescent="0.3">
      <c r="A328" s="89"/>
      <c r="B328" s="54"/>
      <c r="C328" s="69"/>
      <c r="D328" s="23"/>
      <c r="F328" s="53">
        <v>900</v>
      </c>
      <c r="H328" s="20"/>
      <c r="I328" s="19"/>
    </row>
    <row r="329" spans="1:10" s="13" customFormat="1" ht="20.25" x14ac:dyDescent="0.3">
      <c r="A329" s="89"/>
      <c r="B329" s="54"/>
      <c r="C329" s="69"/>
      <c r="D329" s="23"/>
      <c r="F329" s="84">
        <f>'TUULEKOORMUS 2'!F240*'TUULEKOORMUS 2'!F243*'TUULEKOORMUS 2'!F246*1.2</f>
        <v>1056.148542760023</v>
      </c>
      <c r="H329" s="20"/>
      <c r="I329" s="19"/>
    </row>
    <row r="330" spans="1:10" s="13" customFormat="1" ht="20.25" x14ac:dyDescent="0.3">
      <c r="A330" s="89"/>
      <c r="B330" s="54"/>
      <c r="C330" s="69"/>
      <c r="D330" s="23"/>
      <c r="F330" s="86">
        <v>1</v>
      </c>
      <c r="G330" s="72"/>
      <c r="H330" s="20"/>
      <c r="I330" s="19"/>
    </row>
    <row r="331" spans="1:10" s="13" customFormat="1" ht="20.25" x14ac:dyDescent="0.3">
      <c r="A331" s="89"/>
      <c r="B331" s="54"/>
      <c r="C331" s="69"/>
      <c r="D331" s="23"/>
      <c r="E331" s="51"/>
      <c r="G331" s="52"/>
      <c r="H331" s="20"/>
      <c r="I331" s="19"/>
    </row>
    <row r="332" spans="1:10" s="13" customFormat="1" ht="20.25" x14ac:dyDescent="0.3">
      <c r="A332" s="89"/>
      <c r="B332" s="54"/>
      <c r="C332" s="23"/>
      <c r="E332" s="51"/>
      <c r="F332" s="53"/>
      <c r="G332" s="52"/>
      <c r="H332" s="20"/>
      <c r="I332" s="19"/>
    </row>
    <row r="333" spans="1:10" s="13" customFormat="1" ht="20.25" x14ac:dyDescent="0.3">
      <c r="A333" s="89"/>
      <c r="B333" s="54"/>
      <c r="C333" s="23"/>
      <c r="D333" s="69"/>
      <c r="F333" s="53">
        <f>1.5</f>
        <v>1.5</v>
      </c>
      <c r="G333" s="52"/>
      <c r="H333" s="20"/>
      <c r="I333" s="19"/>
    </row>
    <row r="334" spans="1:10" s="13" customFormat="1" ht="20.25" x14ac:dyDescent="0.3">
      <c r="A334" s="89"/>
      <c r="B334" s="54"/>
      <c r="C334" s="23"/>
      <c r="D334" s="23"/>
      <c r="F334" s="53">
        <f>F333*F324</f>
        <v>17.142373224466528</v>
      </c>
      <c r="H334" s="20"/>
      <c r="I334" s="19"/>
    </row>
    <row r="335" spans="1:10" s="13" customFormat="1" ht="20.25" x14ac:dyDescent="0.3">
      <c r="A335" s="89"/>
      <c r="B335" s="54"/>
      <c r="C335" s="23"/>
      <c r="E335" s="71"/>
      <c r="F335" s="53"/>
      <c r="G335" s="72"/>
      <c r="H335" s="20"/>
      <c r="I335" s="19"/>
    </row>
    <row r="336" spans="1:10" s="13" customFormat="1" ht="20.25" x14ac:dyDescent="0.3">
      <c r="A336" s="89"/>
      <c r="B336" s="54"/>
      <c r="C336" s="23"/>
      <c r="D336" s="23"/>
      <c r="F336" s="66">
        <f>SQRT(F325^2+((4*F334)/(F326*F327*F328)))</f>
        <v>5.3629508846544494E-2</v>
      </c>
      <c r="H336" s="20" t="str">
        <f>[3]!EQS(F336,"Units= ; EqnPrefix=Valem  ; EqnNo= 0; Multiplication= 1; ShowWorking= 0; EqnStyle= 2; Eqp$H$303_2")</f>
        <v/>
      </c>
    </row>
    <row r="337" spans="1:9" s="13" customFormat="1" ht="20.25" x14ac:dyDescent="0.3">
      <c r="A337" s="89"/>
      <c r="B337" s="54"/>
      <c r="C337" s="23"/>
      <c r="E337" s="71"/>
      <c r="F337" s="66"/>
      <c r="G337" s="72"/>
      <c r="H337" s="20"/>
      <c r="I337" s="19"/>
    </row>
    <row r="338" spans="1:9" s="13" customFormat="1" ht="20.25" x14ac:dyDescent="0.3">
      <c r="A338" s="89"/>
      <c r="B338" s="54"/>
      <c r="C338" s="23"/>
      <c r="D338" s="23"/>
      <c r="F338" s="53">
        <f>F329*F336</f>
        <v>56.640727617213727</v>
      </c>
      <c r="H338" s="20" t="str">
        <f>[3]!EQS(F338,"Units= ; EqnPrefix=Valem  ; EqnNo= 0; Multiplication= 1; ShowWorking= 0; EqnStyle= 2; Eqp$H$303_2")</f>
        <v/>
      </c>
    </row>
    <row r="339" spans="1:9" s="13" customFormat="1" ht="20.25" x14ac:dyDescent="0.3">
      <c r="A339" s="89"/>
      <c r="B339" s="54"/>
      <c r="C339" s="23"/>
      <c r="F339" s="53"/>
      <c r="G339" s="72"/>
      <c r="H339" s="20"/>
      <c r="I339" s="19"/>
    </row>
    <row r="340" spans="1:9" s="13" customFormat="1" ht="20.25" x14ac:dyDescent="0.3">
      <c r="A340" s="89"/>
      <c r="B340" s="54"/>
      <c r="C340" s="23"/>
      <c r="D340" s="23"/>
      <c r="F340" s="53">
        <f>F338*F330</f>
        <v>56.640727617213727</v>
      </c>
      <c r="H340" s="20" t="str">
        <f>[3]!EQS(F340,"Units= ; EqnPrefix=Valem  ; EqnNo= 0; Multiplication= 1; ShowWorking= 0; EqnStyle= 2; Eqp$H$303_2")</f>
        <v/>
      </c>
    </row>
    <row r="341" spans="1:9" s="13" customFormat="1" ht="20.25" x14ac:dyDescent="0.3">
      <c r="A341" s="89"/>
      <c r="B341" s="54"/>
      <c r="C341" s="23"/>
      <c r="D341" s="23"/>
      <c r="F341" s="84">
        <f>'TUULEKOORMUS 2'!F255</f>
        <v>1</v>
      </c>
      <c r="G341" s="52"/>
      <c r="H341" s="20"/>
      <c r="I341" s="70"/>
    </row>
    <row r="342" spans="1:9" s="13" customFormat="1" ht="20.25" x14ac:dyDescent="0.3">
      <c r="A342" s="89"/>
      <c r="B342" s="54"/>
      <c r="C342" s="24"/>
      <c r="D342" s="24"/>
      <c r="F342" s="34">
        <f>F340*F341</f>
        <v>56.640727617213727</v>
      </c>
      <c r="G342" s="52"/>
      <c r="H342" s="20"/>
      <c r="I342" s="70"/>
    </row>
    <row r="343" spans="1:9" s="13" customFormat="1" ht="20.25" x14ac:dyDescent="0.3">
      <c r="A343" s="89"/>
      <c r="B343" s="54"/>
      <c r="C343" s="23"/>
      <c r="D343" s="23"/>
      <c r="F343" s="84">
        <f>'TUULEKOORMUS 2'!F257</f>
        <v>3.7524718414124473E-33</v>
      </c>
      <c r="G343" s="52"/>
      <c r="H343" s="20"/>
      <c r="I343" s="70"/>
    </row>
    <row r="344" spans="1:9" s="13" customFormat="1" ht="20.25" x14ac:dyDescent="0.3">
      <c r="A344" s="89"/>
      <c r="B344" s="54"/>
      <c r="C344" s="23"/>
      <c r="D344" s="23"/>
      <c r="F344" s="34">
        <f>F343*F340</f>
        <v>2.1254273546070686E-31</v>
      </c>
      <c r="G344" s="52"/>
      <c r="H344" s="20"/>
      <c r="I344" s="70"/>
    </row>
    <row r="345" spans="1:9" s="13" customFormat="1" ht="20.25" x14ac:dyDescent="0.3">
      <c r="A345" s="89"/>
      <c r="B345" s="54"/>
      <c r="C345" s="23"/>
      <c r="D345" s="23"/>
      <c r="E345" s="71"/>
      <c r="F345" s="53"/>
      <c r="G345" s="52"/>
      <c r="H345" s="20"/>
      <c r="I345" s="70"/>
    </row>
    <row r="346" spans="1:9" s="13" customFormat="1" ht="20.25" x14ac:dyDescent="0.3">
      <c r="A346" s="89"/>
      <c r="B346" s="54"/>
      <c r="C346" s="23"/>
      <c r="D346" s="23"/>
      <c r="E346" s="51"/>
      <c r="F346" s="53"/>
      <c r="G346" s="52"/>
      <c r="H346" s="20"/>
      <c r="I346" s="19"/>
    </row>
    <row r="347" spans="1:9" s="13" customFormat="1" ht="20.25" x14ac:dyDescent="0.3">
      <c r="A347" s="89"/>
      <c r="B347" s="54"/>
      <c r="C347" s="23"/>
      <c r="E347" s="51"/>
      <c r="F347" s="53"/>
      <c r="G347" s="52"/>
      <c r="H347" s="20"/>
      <c r="I347" s="19"/>
    </row>
    <row r="348" spans="1:9" s="13" customFormat="1" ht="20.25" x14ac:dyDescent="0.3">
      <c r="A348" s="89"/>
      <c r="B348" s="54"/>
      <c r="C348" s="23"/>
      <c r="D348" s="69"/>
      <c r="F348" s="53">
        <v>0.35</v>
      </c>
      <c r="G348" s="52"/>
      <c r="H348" s="20"/>
      <c r="I348" s="19"/>
    </row>
    <row r="349" spans="1:9" s="13" customFormat="1" ht="20.25" x14ac:dyDescent="0.3">
      <c r="A349" s="89"/>
      <c r="B349" s="54"/>
      <c r="C349" s="23"/>
      <c r="D349" s="69"/>
      <c r="F349" s="53">
        <f>F348*F324</f>
        <v>3.9998870857088562</v>
      </c>
      <c r="H349" s="20"/>
      <c r="I349" s="19"/>
    </row>
    <row r="350" spans="1:9" s="13" customFormat="1" ht="20.25" x14ac:dyDescent="0.3">
      <c r="A350" s="89"/>
      <c r="B350" s="54"/>
      <c r="C350" s="23"/>
      <c r="D350" s="69"/>
      <c r="F350" s="66">
        <f>SQRT(F325^2+(4*F349)/(F326*F327*F328))</f>
        <v>3.1318311754121933E-2</v>
      </c>
      <c r="H350" s="20"/>
      <c r="I350" s="19"/>
    </row>
    <row r="351" spans="1:9" s="13" customFormat="1" ht="20.25" x14ac:dyDescent="0.3">
      <c r="A351" s="89"/>
      <c r="B351" s="54"/>
      <c r="C351" s="23"/>
      <c r="E351" s="71"/>
      <c r="F351" s="66"/>
      <c r="G351" s="72"/>
      <c r="H351" s="20"/>
      <c r="I351" s="19"/>
    </row>
    <row r="352" spans="1:9" s="13" customFormat="1" ht="20.25" x14ac:dyDescent="0.3">
      <c r="A352" s="89"/>
      <c r="B352" s="54"/>
      <c r="C352" s="23"/>
      <c r="D352" s="23"/>
      <c r="F352" s="53">
        <f>F329*F350</f>
        <v>33.076789320819977</v>
      </c>
      <c r="H352" s="20" t="str">
        <f>[3]!EQS(F352,"Units= ; EqnPrefix=Valem  ; EqnNo= 0; Multiplication= 1; ShowWorking= 0; EqnStyle= 2; Eqp$H$303_2")</f>
        <v/>
      </c>
    </row>
    <row r="353" spans="1:9" s="13" customFormat="1" ht="20.25" x14ac:dyDescent="0.3">
      <c r="A353" s="89"/>
      <c r="B353" s="54"/>
      <c r="C353" s="23"/>
      <c r="F353" s="53"/>
      <c r="G353" s="72"/>
      <c r="H353" s="20"/>
      <c r="I353" s="19"/>
    </row>
    <row r="354" spans="1:9" s="13" customFormat="1" ht="20.25" x14ac:dyDescent="0.3">
      <c r="A354" s="89"/>
      <c r="B354" s="54"/>
      <c r="C354" s="23"/>
      <c r="D354" s="23"/>
      <c r="F354" s="53">
        <f>F352*F330</f>
        <v>33.076789320819977</v>
      </c>
      <c r="H354" s="20" t="str">
        <f>[3]!EQS(F354,"Units= ; EqnPrefix=Valem  ; EqnNo= 0; Multiplication= 1; ShowWorking= 0; EqnStyle= 2; Eqp$H$303_2")</f>
        <v/>
      </c>
    </row>
    <row r="355" spans="1:9" s="13" customFormat="1" ht="20.25" x14ac:dyDescent="0.3">
      <c r="A355" s="89"/>
      <c r="B355" s="54"/>
      <c r="C355" s="23"/>
      <c r="D355" s="23"/>
      <c r="F355" s="84">
        <f>'TUULEKOORMUS 2'!F255</f>
        <v>1</v>
      </c>
      <c r="G355" s="72"/>
      <c r="H355" s="20"/>
      <c r="I355" s="70"/>
    </row>
    <row r="356" spans="1:9" s="13" customFormat="1" ht="20.25" x14ac:dyDescent="0.3">
      <c r="A356" s="89"/>
      <c r="B356" s="54"/>
      <c r="C356" s="23"/>
      <c r="D356" s="23"/>
      <c r="F356" s="34">
        <f>F354*F355</f>
        <v>33.076789320819977</v>
      </c>
      <c r="H356" s="20"/>
      <c r="I356" s="70"/>
    </row>
    <row r="357" spans="1:9" s="13" customFormat="1" ht="20.25" x14ac:dyDescent="0.3">
      <c r="A357" s="89"/>
      <c r="B357" s="54"/>
      <c r="C357" s="23"/>
      <c r="D357" s="23"/>
      <c r="F357" s="84">
        <f>'TUULEKOORMUS 2'!F257</f>
        <v>3.7524718414124473E-33</v>
      </c>
      <c r="G357" s="72"/>
      <c r="H357" s="20"/>
      <c r="I357" s="70"/>
    </row>
    <row r="358" spans="1:9" s="13" customFormat="1" ht="20.25" x14ac:dyDescent="0.3">
      <c r="A358" s="89"/>
      <c r="B358" s="54"/>
      <c r="C358" s="23"/>
      <c r="D358" s="23"/>
      <c r="F358" s="34">
        <f>F357*F354</f>
        <v>1.2411972053070891E-31</v>
      </c>
      <c r="H358" s="20"/>
      <c r="I358" s="70"/>
    </row>
  </sheetData>
  <pageMargins left="0.7" right="0.7" top="0.75" bottom="0.75" header="0.3" footer="0.3"/>
  <customProperties>
    <customPr name="SSCSheetTrackingNo" r:id="rId1"/>
  </customPropertie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4:Q358"/>
  <sheetViews>
    <sheetView zoomScaleNormal="100" workbookViewId="0">
      <selection activeCell="AA25" sqref="AA25"/>
    </sheetView>
  </sheetViews>
  <sheetFormatPr defaultColWidth="5.5" defaultRowHeight="16.5" customHeight="1" outlineLevelRow="1" x14ac:dyDescent="0.3"/>
  <cols>
    <col min="1" max="1" width="2.875" style="88" customWidth="1"/>
    <col min="2" max="2" width="2.875" style="87" customWidth="1"/>
    <col min="3" max="3" width="2.875" customWidth="1"/>
    <col min="6" max="6" width="7.125" customWidth="1"/>
    <col min="8" max="8" width="1.75" customWidth="1"/>
  </cols>
  <sheetData>
    <row r="24" spans="1:10" s="13" customFormat="1" ht="20.25" x14ac:dyDescent="0.3">
      <c r="A24" s="89"/>
      <c r="C24" s="23"/>
      <c r="D24" s="23"/>
      <c r="E24" s="51"/>
      <c r="F24" s="53"/>
      <c r="G24" s="52"/>
      <c r="H24" s="20"/>
      <c r="I24" s="19"/>
    </row>
    <row r="25" spans="1:10" s="13" customFormat="1" ht="20.25" x14ac:dyDescent="0.3">
      <c r="A25" s="89"/>
      <c r="B25" s="54"/>
      <c r="D25" s="23"/>
      <c r="E25" s="51"/>
      <c r="F25" s="53"/>
      <c r="G25" s="52"/>
      <c r="H25" s="20"/>
      <c r="I25" s="19"/>
    </row>
    <row r="26" spans="1:10" s="13" customFormat="1" ht="20.25" x14ac:dyDescent="0.3">
      <c r="A26" s="89"/>
      <c r="B26" s="54"/>
      <c r="C26" s="69"/>
      <c r="E26" s="51"/>
      <c r="F26" s="53"/>
      <c r="G26" s="52"/>
      <c r="H26" s="20"/>
      <c r="I26" s="19"/>
    </row>
    <row r="27" spans="1:10" s="13" customFormat="1" ht="20.25" x14ac:dyDescent="0.3">
      <c r="A27" s="89"/>
      <c r="B27" s="54"/>
      <c r="C27" s="69"/>
      <c r="D27" s="23"/>
      <c r="F27" s="84">
        <f>Jäitekoormus!F92</f>
        <v>7.4690520878992066</v>
      </c>
      <c r="H27" s="20"/>
    </row>
    <row r="28" spans="1:10" s="13" customFormat="1" ht="20.25" x14ac:dyDescent="0.3">
      <c r="A28" s="89"/>
      <c r="B28" s="54"/>
      <c r="C28" s="69"/>
      <c r="D28" s="23"/>
      <c r="F28" s="85">
        <v>2.18E-2</v>
      </c>
      <c r="H28" s="20"/>
    </row>
    <row r="29" spans="1:10" s="13" customFormat="1" ht="20.25" x14ac:dyDescent="0.3">
      <c r="A29" s="89"/>
      <c r="B29" s="54"/>
      <c r="C29" s="69"/>
      <c r="D29" s="23"/>
      <c r="F29" s="53">
        <v>9.81</v>
      </c>
      <c r="H29" s="20"/>
    </row>
    <row r="30" spans="1:10" s="13" customFormat="1" ht="20.25" x14ac:dyDescent="0.3">
      <c r="A30" s="89"/>
      <c r="B30" s="54"/>
      <c r="C30" s="69"/>
      <c r="D30" s="23"/>
      <c r="F30" s="13">
        <v>3.1415999999999999</v>
      </c>
      <c r="G30" s="44"/>
    </row>
    <row r="31" spans="1:10" s="13" customFormat="1" ht="20.25" x14ac:dyDescent="0.3">
      <c r="A31" s="89"/>
      <c r="B31" s="54"/>
      <c r="C31" s="69"/>
      <c r="D31" s="23"/>
      <c r="F31" s="53">
        <v>900</v>
      </c>
      <c r="H31" s="20"/>
      <c r="I31" s="19"/>
    </row>
    <row r="32" spans="1:10" s="13" customFormat="1" ht="20.25" x14ac:dyDescent="0.3">
      <c r="A32" s="89"/>
      <c r="B32" s="54"/>
      <c r="C32" s="69"/>
      <c r="D32" s="23"/>
      <c r="F32" s="84">
        <f>'TUULEKOORMUS 1'!F279*'TUULEKOORMUS 1'!F282*'TUULEKOORMUS 1'!F287*1.2</f>
        <v>720.05845652879236</v>
      </c>
      <c r="H32" s="20"/>
      <c r="I32" s="19"/>
    </row>
    <row r="33" spans="1:9" s="13" customFormat="1" ht="20.25" x14ac:dyDescent="0.3">
      <c r="A33" s="89"/>
      <c r="B33" s="54"/>
      <c r="C33" s="69"/>
      <c r="D33" s="23"/>
      <c r="F33" s="84">
        <v>2</v>
      </c>
      <c r="G33" s="72"/>
      <c r="H33" s="20"/>
      <c r="I33" s="19"/>
    </row>
    <row r="34" spans="1:9" s="13" customFormat="1" ht="20.25" x14ac:dyDescent="0.3">
      <c r="A34" s="89"/>
      <c r="B34" s="54"/>
      <c r="C34" s="69"/>
      <c r="D34" s="23"/>
      <c r="E34" s="51"/>
      <c r="G34" s="52"/>
      <c r="H34" s="20"/>
      <c r="I34" s="19"/>
    </row>
    <row r="35" spans="1:9" s="13" customFormat="1" ht="20.25" x14ac:dyDescent="0.3">
      <c r="A35" s="89"/>
      <c r="B35" s="54"/>
      <c r="C35" s="23"/>
      <c r="E35" s="51"/>
      <c r="F35" s="53"/>
      <c r="G35" s="52"/>
      <c r="H35" s="20"/>
      <c r="I35" s="19"/>
    </row>
    <row r="36" spans="1:9" s="13" customFormat="1" ht="20.25" x14ac:dyDescent="0.3">
      <c r="A36" s="89"/>
      <c r="B36" s="54"/>
      <c r="C36" s="23"/>
      <c r="D36" s="69"/>
      <c r="F36" s="53">
        <f>1.5</f>
        <v>1.5</v>
      </c>
      <c r="G36" s="52"/>
      <c r="H36" s="20"/>
      <c r="I36" s="19"/>
    </row>
    <row r="37" spans="1:9" s="13" customFormat="1" ht="20.25" x14ac:dyDescent="0.3">
      <c r="A37" s="89"/>
      <c r="B37" s="54"/>
      <c r="C37" s="23"/>
      <c r="D37" s="23"/>
      <c r="F37" s="53">
        <f>F36*F27</f>
        <v>11.203578131848809</v>
      </c>
      <c r="H37" s="20"/>
      <c r="I37" s="19"/>
    </row>
    <row r="38" spans="1:9" s="13" customFormat="1" ht="20.25" x14ac:dyDescent="0.3">
      <c r="A38" s="89"/>
      <c r="B38" s="54"/>
      <c r="C38" s="23"/>
      <c r="E38" s="71"/>
      <c r="F38" s="53"/>
      <c r="G38" s="72"/>
      <c r="H38" s="20"/>
      <c r="I38" s="19"/>
    </row>
    <row r="39" spans="1:9" s="13" customFormat="1" ht="20.25" x14ac:dyDescent="0.3">
      <c r="A39" s="89"/>
      <c r="B39" s="54"/>
      <c r="C39" s="23"/>
      <c r="D39" s="23"/>
      <c r="F39" s="66">
        <f>SQRT(F28^2+((4*F37)/(F29*F30*F31)))</f>
        <v>4.572653739182729E-2</v>
      </c>
      <c r="H39" s="20" t="str">
        <f>[3]!EQS(F39,"Units= ; EqnPrefix=Valem  ; EqnNo= 0; Multiplication= 1; ShowWorking= 0; EqnStyle= 2; Eqp$H$303_2")</f>
        <v/>
      </c>
    </row>
    <row r="40" spans="1:9" s="13" customFormat="1" ht="20.25" x14ac:dyDescent="0.3">
      <c r="A40" s="89"/>
      <c r="B40" s="54"/>
      <c r="C40" s="23"/>
      <c r="E40" s="71"/>
      <c r="F40" s="66"/>
      <c r="G40" s="72"/>
      <c r="H40" s="20"/>
      <c r="I40" s="19"/>
    </row>
    <row r="41" spans="1:9" s="13" customFormat="1" ht="20.25" x14ac:dyDescent="0.3">
      <c r="A41" s="89"/>
      <c r="B41" s="54"/>
      <c r="C41" s="23"/>
      <c r="D41" s="23"/>
      <c r="F41" s="53">
        <f>F32*F39</f>
        <v>32.925779936765267</v>
      </c>
      <c r="H41" s="20" t="str">
        <f>[3]!EQS(F41,"Units= ; EqnPrefix=Valem  ; EqnNo= 0; Multiplication= 1; ShowWorking= 0; EqnStyle= 2; Eqp$H$303_2")</f>
        <v/>
      </c>
    </row>
    <row r="42" spans="1:9" s="13" customFormat="1" ht="20.25" x14ac:dyDescent="0.3">
      <c r="A42" s="89"/>
      <c r="B42" s="54"/>
      <c r="C42" s="23"/>
      <c r="F42" s="53"/>
      <c r="G42" s="72"/>
      <c r="H42" s="20"/>
      <c r="I42" s="19"/>
    </row>
    <row r="43" spans="1:9" s="13" customFormat="1" ht="20.25" x14ac:dyDescent="0.3">
      <c r="A43" s="89"/>
      <c r="B43" s="54"/>
      <c r="C43" s="23"/>
      <c r="D43" s="23"/>
      <c r="F43" s="53">
        <f>F41*F33</f>
        <v>65.851559873530533</v>
      </c>
      <c r="H43" s="20" t="str">
        <f>[3]!EQS(F43,"Units= ; EqnPrefix=Valem  ; EqnNo= 0; Multiplication= 1; ShowWorking= 0; EqnStyle= 2; Eqp$H$303_2")</f>
        <v/>
      </c>
    </row>
    <row r="44" spans="1:9" s="13" customFormat="1" ht="20.25" x14ac:dyDescent="0.3">
      <c r="A44" s="89"/>
      <c r="B44" s="54"/>
      <c r="C44" s="23"/>
      <c r="D44" s="23"/>
      <c r="F44" s="94">
        <f>COS(RADIANS(4))^2</f>
        <v>0.99513403437078507</v>
      </c>
      <c r="G44" s="52"/>
      <c r="H44" s="20"/>
      <c r="I44" s="70"/>
    </row>
    <row r="45" spans="1:9" s="13" customFormat="1" ht="20.25" x14ac:dyDescent="0.3">
      <c r="A45" s="89"/>
      <c r="B45" s="54"/>
      <c r="C45" s="24"/>
      <c r="D45" s="24"/>
      <c r="F45" s="34">
        <f>F43*F44</f>
        <v>65.531128446555741</v>
      </c>
      <c r="G45" s="52"/>
      <c r="H45" s="20"/>
      <c r="I45" s="70"/>
    </row>
    <row r="46" spans="1:9" s="13" customFormat="1" ht="20.25" x14ac:dyDescent="0.3">
      <c r="A46" s="89"/>
      <c r="B46" s="54"/>
      <c r="C46" s="23"/>
      <c r="D46" s="23"/>
      <c r="F46" s="94">
        <f>COS(RADIANS(4))^2</f>
        <v>0.99513403437078507</v>
      </c>
      <c r="G46" s="52"/>
      <c r="H46" s="20"/>
      <c r="I46" s="70"/>
    </row>
    <row r="47" spans="1:9" s="13" customFormat="1" ht="20.25" x14ac:dyDescent="0.3">
      <c r="A47" s="89"/>
      <c r="B47" s="54"/>
      <c r="C47" s="23"/>
      <c r="D47" s="23"/>
      <c r="F47" s="34">
        <f>F46*F43</f>
        <v>65.531128446555741</v>
      </c>
      <c r="G47" s="52"/>
      <c r="H47" s="20"/>
      <c r="I47" s="70"/>
    </row>
    <row r="48" spans="1:9" s="13" customFormat="1" ht="20.25" x14ac:dyDescent="0.3">
      <c r="A48" s="89"/>
      <c r="B48" s="54"/>
      <c r="C48" s="23"/>
      <c r="D48" s="23"/>
      <c r="E48" s="71"/>
      <c r="F48" s="53"/>
      <c r="G48" s="52"/>
      <c r="H48" s="20"/>
      <c r="I48" s="70"/>
    </row>
    <row r="49" spans="1:9" s="13" customFormat="1" ht="20.25" x14ac:dyDescent="0.3">
      <c r="A49" s="89"/>
      <c r="B49" s="54"/>
      <c r="C49" s="23"/>
      <c r="D49" s="23"/>
      <c r="E49" s="51"/>
      <c r="F49" s="53"/>
      <c r="G49" s="52"/>
      <c r="H49" s="20"/>
      <c r="I49" s="19"/>
    </row>
    <row r="50" spans="1:9" s="13" customFormat="1" ht="20.25" x14ac:dyDescent="0.3">
      <c r="A50" s="89"/>
      <c r="B50" s="54"/>
      <c r="C50" s="23"/>
      <c r="E50" s="51"/>
      <c r="F50" s="53"/>
      <c r="G50" s="52"/>
      <c r="H50" s="20"/>
      <c r="I50" s="19"/>
    </row>
    <row r="51" spans="1:9" s="13" customFormat="1" ht="20.25" x14ac:dyDescent="0.3">
      <c r="A51" s="89"/>
      <c r="B51" s="54"/>
      <c r="C51" s="23"/>
      <c r="D51" s="69"/>
      <c r="F51" s="53">
        <v>0.35</v>
      </c>
      <c r="G51" s="52"/>
      <c r="H51" s="20"/>
      <c r="I51" s="19"/>
    </row>
    <row r="52" spans="1:9" s="13" customFormat="1" ht="20.25" x14ac:dyDescent="0.3">
      <c r="A52" s="89"/>
      <c r="B52" s="54"/>
      <c r="C52" s="23"/>
      <c r="D52" s="69"/>
      <c r="F52" s="53">
        <f>F51*F27</f>
        <v>2.6141682307647223</v>
      </c>
      <c r="H52" s="20"/>
      <c r="I52" s="19"/>
    </row>
    <row r="53" spans="1:9" s="13" customFormat="1" ht="20.25" x14ac:dyDescent="0.3">
      <c r="A53" s="89"/>
      <c r="B53" s="54"/>
      <c r="C53" s="23"/>
      <c r="D53" s="69"/>
      <c r="F53" s="66">
        <f>SQRT(F28^2+(4*F52)/(F29*F30*F31))</f>
        <v>2.9192997763689416E-2</v>
      </c>
      <c r="H53" s="20"/>
      <c r="I53" s="19"/>
    </row>
    <row r="54" spans="1:9" s="13" customFormat="1" ht="20.25" x14ac:dyDescent="0.3">
      <c r="A54" s="89"/>
      <c r="B54" s="54"/>
      <c r="C54" s="23"/>
      <c r="E54" s="71"/>
      <c r="F54" s="66"/>
      <c r="G54" s="72"/>
      <c r="H54" s="20"/>
      <c r="I54" s="19"/>
    </row>
    <row r="55" spans="1:9" s="13" customFormat="1" ht="20.25" x14ac:dyDescent="0.3">
      <c r="A55" s="89"/>
      <c r="B55" s="54"/>
      <c r="C55" s="23"/>
      <c r="D55" s="23"/>
      <c r="F55" s="53">
        <f>F32*F53</f>
        <v>21.020664911170687</v>
      </c>
      <c r="H55" s="20" t="str">
        <f>[3]!EQS(F55,"Units= ; EqnPrefix=Valem  ; EqnNo= 0; Multiplication= 1; ShowWorking= 0; EqnStyle= 2; Eqp$H$303_2")</f>
        <v/>
      </c>
    </row>
    <row r="56" spans="1:9" s="13" customFormat="1" ht="20.25" x14ac:dyDescent="0.3">
      <c r="A56" s="89"/>
      <c r="B56" s="54"/>
      <c r="C56" s="23"/>
      <c r="F56" s="53"/>
      <c r="G56" s="72"/>
      <c r="H56" s="20"/>
      <c r="I56" s="19"/>
    </row>
    <row r="57" spans="1:9" s="13" customFormat="1" ht="20.25" x14ac:dyDescent="0.3">
      <c r="A57" s="89"/>
      <c r="B57" s="54"/>
      <c r="C57" s="23"/>
      <c r="D57" s="23"/>
      <c r="F57" s="53">
        <f>F55*F33</f>
        <v>42.041329822341375</v>
      </c>
      <c r="H57" s="20" t="str">
        <f>[3]!EQS(F57,"Units= ; EqnPrefix=Valem  ; EqnNo= 0; Multiplication= 1; ShowWorking= 0; EqnStyle= 2; Eqp$H$303_2")</f>
        <v/>
      </c>
    </row>
    <row r="58" spans="1:9" s="13" customFormat="1" ht="20.25" x14ac:dyDescent="0.3">
      <c r="A58" s="89"/>
      <c r="B58" s="54"/>
      <c r="C58" s="23"/>
      <c r="D58" s="23"/>
      <c r="F58" s="94">
        <f>COS(RADIANS(4))^2</f>
        <v>0.99513403437078507</v>
      </c>
      <c r="G58" s="72"/>
      <c r="H58" s="20"/>
      <c r="I58" s="70"/>
    </row>
    <row r="59" spans="1:9" s="13" customFormat="1" ht="20.25" x14ac:dyDescent="0.3">
      <c r="A59" s="89"/>
      <c r="B59" s="54"/>
      <c r="C59" s="23"/>
      <c r="D59" s="23"/>
      <c r="F59" s="34">
        <f>F57*F58</f>
        <v>41.836758156419371</v>
      </c>
      <c r="H59" s="20"/>
      <c r="I59" s="70"/>
    </row>
    <row r="60" spans="1:9" s="13" customFormat="1" ht="20.25" x14ac:dyDescent="0.3">
      <c r="A60" s="89"/>
      <c r="B60" s="54"/>
      <c r="C60" s="23"/>
      <c r="D60" s="23"/>
      <c r="F60" s="94">
        <f>COS(RADIANS(4))^2</f>
        <v>0.99513403437078507</v>
      </c>
      <c r="G60" s="72"/>
      <c r="H60" s="20"/>
      <c r="I60" s="70"/>
    </row>
    <row r="61" spans="1:9" s="13" customFormat="1" ht="20.25" x14ac:dyDescent="0.3">
      <c r="A61" s="89"/>
      <c r="B61" s="54"/>
      <c r="C61" s="23"/>
      <c r="D61" s="23"/>
      <c r="F61" s="34">
        <f>F60*F57</f>
        <v>41.836758156419371</v>
      </c>
      <c r="H61" s="20"/>
      <c r="I61" s="70"/>
    </row>
    <row r="62" spans="1:9" s="13" customFormat="1" ht="20.25" x14ac:dyDescent="0.3">
      <c r="A62" s="89"/>
      <c r="B62" s="54"/>
      <c r="C62" s="23"/>
      <c r="D62" s="69"/>
      <c r="E62" s="71"/>
      <c r="F62" s="53"/>
      <c r="G62" s="52"/>
      <c r="H62" s="20"/>
      <c r="I62" s="19"/>
    </row>
    <row r="63" spans="1:9" s="13" customFormat="1" ht="20.25" x14ac:dyDescent="0.3">
      <c r="A63" s="89"/>
      <c r="C63" s="23"/>
      <c r="D63" s="23"/>
      <c r="E63" s="51"/>
      <c r="F63" s="53"/>
      <c r="G63" s="52"/>
      <c r="H63" s="20"/>
      <c r="I63" s="19"/>
    </row>
    <row r="64" spans="1:9" s="13" customFormat="1" ht="20.25" x14ac:dyDescent="0.3">
      <c r="A64" s="89"/>
      <c r="B64" s="54"/>
      <c r="D64" s="23"/>
      <c r="E64" s="51"/>
      <c r="F64" s="53"/>
      <c r="G64" s="52"/>
      <c r="H64" s="20"/>
      <c r="I64" s="19"/>
    </row>
    <row r="65" spans="1:10" s="13" customFormat="1" ht="20.25" x14ac:dyDescent="0.3">
      <c r="A65" s="89"/>
      <c r="B65" s="54"/>
      <c r="C65" s="69"/>
      <c r="E65" s="51"/>
      <c r="F65" s="53"/>
      <c r="G65" s="52"/>
      <c r="H65" s="20"/>
      <c r="I65" s="19"/>
    </row>
    <row r="66" spans="1:10" s="13" customFormat="1" ht="20.25" x14ac:dyDescent="0.3">
      <c r="A66" s="89"/>
      <c r="B66" s="54"/>
      <c r="C66" s="69"/>
      <c r="D66" s="23"/>
      <c r="F66" s="84">
        <f>Jäitekoormus!F120</f>
        <v>12.475780043184296</v>
      </c>
      <c r="H66" s="20"/>
    </row>
    <row r="67" spans="1:10" s="13" customFormat="1" ht="20.25" x14ac:dyDescent="0.3">
      <c r="A67" s="89"/>
      <c r="B67" s="54"/>
      <c r="C67" s="69"/>
      <c r="D67" s="23"/>
      <c r="F67" s="85">
        <f>Jäitekoormus!F115/1000</f>
        <v>2.7699999999999999E-2</v>
      </c>
      <c r="H67" s="20"/>
    </row>
    <row r="68" spans="1:10" s="13" customFormat="1" ht="20.25" x14ac:dyDescent="0.3">
      <c r="A68" s="89"/>
      <c r="B68" s="54"/>
      <c r="C68" s="69"/>
      <c r="D68" s="23"/>
      <c r="F68" s="53">
        <v>9.81</v>
      </c>
      <c r="H68" s="20"/>
    </row>
    <row r="69" spans="1:10" s="13" customFormat="1" ht="20.25" x14ac:dyDescent="0.3">
      <c r="A69" s="89"/>
      <c r="B69" s="54"/>
      <c r="C69" s="69"/>
      <c r="D69" s="23"/>
      <c r="F69" s="13">
        <v>3.1415999999999999</v>
      </c>
      <c r="G69" s="44"/>
    </row>
    <row r="70" spans="1:10" s="13" customFormat="1" ht="20.25" x14ac:dyDescent="0.3">
      <c r="A70" s="89"/>
      <c r="B70" s="54"/>
      <c r="C70" s="69"/>
      <c r="D70" s="23"/>
      <c r="F70" s="53">
        <v>900</v>
      </c>
      <c r="H70" s="20"/>
      <c r="I70" s="19"/>
    </row>
    <row r="71" spans="1:10" s="13" customFormat="1" ht="20.25" x14ac:dyDescent="0.3">
      <c r="A71" s="89"/>
      <c r="B71" s="54"/>
      <c r="C71" s="69"/>
      <c r="D71" s="23"/>
      <c r="F71" s="84">
        <f>'TUULEKOORMUS 1'!F334*'TUULEKOORMUS 1'!F337*'TUULEKOORMUS 1'!F342*1.2</f>
        <v>750.63642571246237</v>
      </c>
      <c r="H71" s="20"/>
      <c r="I71" s="19"/>
    </row>
    <row r="72" spans="1:10" s="13" customFormat="1" ht="20.25" x14ac:dyDescent="0.3">
      <c r="A72" s="89"/>
      <c r="B72" s="54"/>
      <c r="C72" s="69"/>
      <c r="D72" s="23"/>
      <c r="F72" s="86">
        <v>3</v>
      </c>
      <c r="G72" s="72"/>
      <c r="H72" s="20"/>
      <c r="I72" s="19"/>
    </row>
    <row r="73" spans="1:10" s="13" customFormat="1" ht="20.25" x14ac:dyDescent="0.3">
      <c r="A73" s="89"/>
      <c r="B73" s="54"/>
      <c r="C73" s="69"/>
      <c r="D73" s="23"/>
      <c r="E73" s="51"/>
      <c r="G73" s="52"/>
      <c r="H73" s="20"/>
      <c r="I73" s="19"/>
    </row>
    <row r="74" spans="1:10" s="13" customFormat="1" ht="20.25" x14ac:dyDescent="0.3">
      <c r="A74" s="89"/>
      <c r="B74" s="54"/>
      <c r="C74" s="23"/>
      <c r="E74" s="51"/>
      <c r="F74" s="53"/>
      <c r="G74" s="52"/>
      <c r="H74" s="20"/>
      <c r="I74" s="19"/>
    </row>
    <row r="75" spans="1:10" s="13" customFormat="1" ht="20.25" x14ac:dyDescent="0.3">
      <c r="A75" s="89"/>
      <c r="B75" s="54"/>
      <c r="C75" s="23"/>
      <c r="D75" s="69"/>
      <c r="F75" s="53">
        <f>1.5</f>
        <v>1.5</v>
      </c>
      <c r="G75" s="52"/>
      <c r="H75" s="20"/>
      <c r="I75" s="19"/>
    </row>
    <row r="76" spans="1:10" s="13" customFormat="1" ht="20.25" x14ac:dyDescent="0.3">
      <c r="A76" s="89"/>
      <c r="B76" s="54"/>
      <c r="C76" s="23"/>
      <c r="D76" s="23"/>
      <c r="F76" s="53">
        <f>F75*F66</f>
        <v>18.713670064776444</v>
      </c>
      <c r="H76" s="20"/>
      <c r="I76" s="19"/>
    </row>
    <row r="77" spans="1:10" s="13" customFormat="1" ht="20.25" x14ac:dyDescent="0.3">
      <c r="A77" s="89"/>
      <c r="B77" s="54"/>
      <c r="C77" s="23"/>
      <c r="E77" s="71"/>
      <c r="F77" s="53"/>
      <c r="G77" s="72"/>
      <c r="H77" s="20"/>
      <c r="I77" s="19"/>
    </row>
    <row r="78" spans="1:10" s="13" customFormat="1" ht="20.25" x14ac:dyDescent="0.3">
      <c r="A78" s="89"/>
      <c r="B78" s="54"/>
      <c r="C78" s="23"/>
      <c r="D78" s="23"/>
      <c r="F78" s="66">
        <f>SQRT(F67^2+((4*F76)/(F68*F69*F70)))</f>
        <v>5.8872761861808419E-2</v>
      </c>
      <c r="H78" s="20" t="str">
        <f>[3]!EQS(F78,"Units= ; EqnPrefix=Valem  ; EqnNo= 0; Multiplication= 1; ShowWorking= 0; EqnStyle= 2; Eqp$H$303_2")</f>
        <v/>
      </c>
    </row>
    <row r="79" spans="1:10" s="13" customFormat="1" ht="20.25" x14ac:dyDescent="0.3">
      <c r="A79" s="89"/>
      <c r="B79" s="54"/>
      <c r="C79" s="23"/>
      <c r="E79" s="71"/>
      <c r="F79" s="66"/>
      <c r="G79" s="72"/>
      <c r="H79" s="20"/>
      <c r="I79" s="19"/>
    </row>
    <row r="80" spans="1:10" s="13" customFormat="1" ht="20.25" x14ac:dyDescent="0.3">
      <c r="A80" s="89"/>
      <c r="B80" s="54"/>
      <c r="C80" s="23"/>
      <c r="D80" s="23"/>
      <c r="F80" s="53">
        <f>F71*F78</f>
        <v>44.192039535768842</v>
      </c>
      <c r="H80" s="20" t="str">
        <f>[3]!EQS(F80,"Units= ; EqnPrefix=Valem  ; EqnNo= 0; Multiplication= 1; ShowWorking= 0; EqnStyle= 2; Eqp$H$303_2")</f>
        <v/>
      </c>
    </row>
    <row r="81" spans="1:9" s="13" customFormat="1" ht="20.25" x14ac:dyDescent="0.3">
      <c r="A81" s="89"/>
      <c r="B81" s="54"/>
      <c r="C81" s="23"/>
      <c r="F81" s="53"/>
      <c r="G81" s="72"/>
      <c r="H81" s="20"/>
      <c r="I81" s="19"/>
    </row>
    <row r="82" spans="1:9" s="13" customFormat="1" ht="20.25" x14ac:dyDescent="0.3">
      <c r="A82" s="89"/>
      <c r="B82" s="54"/>
      <c r="C82" s="23"/>
      <c r="D82" s="23"/>
      <c r="F82" s="53">
        <f>F80*F72</f>
        <v>132.57611860730651</v>
      </c>
      <c r="H82" s="20" t="str">
        <f>[3]!EQS(F82,"Units= ; EqnPrefix=Valem  ; EqnNo= 0; Multiplication= 1; ShowWorking= 0; EqnStyle= 2; Eqp$H$303_2")</f>
        <v/>
      </c>
    </row>
    <row r="83" spans="1:9" s="13" customFormat="1" ht="20.25" x14ac:dyDescent="0.3">
      <c r="A83" s="89"/>
      <c r="B83" s="54"/>
      <c r="C83" s="23"/>
      <c r="D83" s="23"/>
      <c r="F83" s="94">
        <f>COS(RADIANS(4))^2</f>
        <v>0.99513403437078507</v>
      </c>
      <c r="G83" s="72"/>
      <c r="H83" s="20"/>
      <c r="I83" s="70"/>
    </row>
    <row r="84" spans="1:9" s="13" customFormat="1" ht="20.25" x14ac:dyDescent="0.3">
      <c r="A84" s="89"/>
      <c r="B84" s="54"/>
      <c r="C84" s="24"/>
      <c r="D84" s="24"/>
      <c r="F84" s="34">
        <f>F82*F83</f>
        <v>131.93100777090865</v>
      </c>
      <c r="H84" s="20"/>
      <c r="I84" s="70"/>
    </row>
    <row r="85" spans="1:9" s="13" customFormat="1" ht="20.25" x14ac:dyDescent="0.3">
      <c r="A85" s="89"/>
      <c r="B85" s="54"/>
      <c r="C85" s="23"/>
      <c r="D85" s="23"/>
      <c r="F85" s="94">
        <f>COS(RADIANS(4))^2</f>
        <v>0.99513403437078507</v>
      </c>
      <c r="G85" s="72"/>
      <c r="H85" s="20"/>
      <c r="I85" s="70"/>
    </row>
    <row r="86" spans="1:9" s="13" customFormat="1" ht="20.25" x14ac:dyDescent="0.3">
      <c r="A86" s="89"/>
      <c r="B86" s="54"/>
      <c r="C86" s="23"/>
      <c r="D86" s="23"/>
      <c r="F86" s="34">
        <f>F85*F82</f>
        <v>131.93100777090865</v>
      </c>
      <c r="H86" s="20"/>
      <c r="I86" s="70"/>
    </row>
    <row r="87" spans="1:9" s="13" customFormat="1" ht="20.25" x14ac:dyDescent="0.3">
      <c r="A87" s="89"/>
      <c r="B87" s="54"/>
      <c r="C87" s="23"/>
      <c r="D87" s="23"/>
      <c r="E87" s="71"/>
      <c r="F87" s="53"/>
      <c r="G87" s="52"/>
      <c r="H87" s="20"/>
      <c r="I87" s="70"/>
    </row>
    <row r="88" spans="1:9" s="13" customFormat="1" ht="20.25" x14ac:dyDescent="0.3">
      <c r="A88" s="89"/>
      <c r="B88" s="54"/>
      <c r="C88" s="23"/>
      <c r="D88" s="23"/>
      <c r="E88" s="51"/>
      <c r="F88" s="53"/>
      <c r="G88" s="52"/>
      <c r="H88" s="20"/>
      <c r="I88" s="19"/>
    </row>
    <row r="89" spans="1:9" s="13" customFormat="1" ht="20.25" x14ac:dyDescent="0.3">
      <c r="A89" s="89"/>
      <c r="B89" s="54"/>
      <c r="C89" s="23"/>
      <c r="E89" s="51"/>
      <c r="F89" s="53"/>
      <c r="G89" s="52"/>
      <c r="H89" s="20"/>
      <c r="I89" s="19"/>
    </row>
    <row r="90" spans="1:9" s="13" customFormat="1" ht="20.25" x14ac:dyDescent="0.3">
      <c r="A90" s="89"/>
      <c r="B90" s="54"/>
      <c r="C90" s="23"/>
      <c r="D90" s="69"/>
      <c r="F90" s="53">
        <v>0.35</v>
      </c>
      <c r="G90" s="52"/>
      <c r="H90" s="20"/>
      <c r="I90" s="19"/>
    </row>
    <row r="91" spans="1:9" s="13" customFormat="1" ht="20.25" x14ac:dyDescent="0.3">
      <c r="A91" s="89"/>
      <c r="B91" s="54"/>
      <c r="C91" s="23"/>
      <c r="D91" s="69"/>
      <c r="F91" s="53">
        <f>F90*F66</f>
        <v>4.3665230151145034</v>
      </c>
      <c r="H91" s="20"/>
      <c r="I91" s="19"/>
    </row>
    <row r="92" spans="1:9" s="13" customFormat="1" ht="20.25" x14ac:dyDescent="0.3">
      <c r="A92" s="89"/>
      <c r="B92" s="54"/>
      <c r="C92" s="23"/>
      <c r="D92" s="69"/>
      <c r="F92" s="66">
        <f>SQRT(F67^2+(4*F91)/(F68*F69*F70))</f>
        <v>3.7376322551699502E-2</v>
      </c>
      <c r="H92" s="20"/>
      <c r="I92" s="19"/>
    </row>
    <row r="93" spans="1:9" s="13" customFormat="1" ht="20.25" x14ac:dyDescent="0.3">
      <c r="A93" s="89"/>
      <c r="B93" s="54"/>
      <c r="C93" s="23"/>
      <c r="E93" s="71"/>
      <c r="F93" s="66"/>
      <c r="G93" s="72"/>
      <c r="H93" s="20"/>
      <c r="I93" s="19"/>
    </row>
    <row r="94" spans="1:9" s="13" customFormat="1" ht="20.25" x14ac:dyDescent="0.3">
      <c r="A94" s="89"/>
      <c r="B94" s="54"/>
      <c r="C94" s="23"/>
      <c r="D94" s="23"/>
      <c r="F94" s="53">
        <f>F71*F92</f>
        <v>28.056029166483814</v>
      </c>
      <c r="H94" s="20" t="str">
        <f>[3]!EQS(F94,"Units= ; EqnPrefix=Valem  ; EqnNo= 0; Multiplication= 1; ShowWorking= 0; EqnStyle= 2; Eqp$H$303_2")</f>
        <v/>
      </c>
    </row>
    <row r="95" spans="1:9" s="13" customFormat="1" ht="20.25" x14ac:dyDescent="0.3">
      <c r="A95" s="89"/>
      <c r="B95" s="54"/>
      <c r="C95" s="23"/>
      <c r="F95" s="53"/>
      <c r="G95" s="72"/>
      <c r="H95" s="20"/>
      <c r="I95" s="19"/>
    </row>
    <row r="96" spans="1:9" s="13" customFormat="1" ht="20.25" x14ac:dyDescent="0.3">
      <c r="A96" s="89"/>
      <c r="B96" s="54"/>
      <c r="C96" s="23"/>
      <c r="D96" s="23"/>
      <c r="F96" s="53">
        <f>F94*F72</f>
        <v>84.168087499451445</v>
      </c>
      <c r="H96" s="20" t="str">
        <f>[3]!EQS(F96,"Units= ; EqnPrefix=Valem  ; EqnNo= 0; Multiplication= 1; ShowWorking= 0; EqnStyle= 2; Eqp$H$303_2")</f>
        <v/>
      </c>
    </row>
    <row r="97" spans="1:10" s="13" customFormat="1" ht="20.25" x14ac:dyDescent="0.3">
      <c r="A97" s="89"/>
      <c r="B97" s="54"/>
      <c r="C97" s="23"/>
      <c r="D97" s="23"/>
      <c r="F97" s="94">
        <f>COS(RADIANS(4))^2</f>
        <v>0.99513403437078507</v>
      </c>
      <c r="G97" s="72"/>
      <c r="H97" s="20"/>
      <c r="I97" s="70"/>
    </row>
    <row r="98" spans="1:10" s="13" customFormat="1" ht="20.25" x14ac:dyDescent="0.3">
      <c r="A98" s="89"/>
      <c r="B98" s="54"/>
      <c r="C98" s="23"/>
      <c r="D98" s="23"/>
      <c r="F98" s="34">
        <f>F96*F97</f>
        <v>83.758528478602358</v>
      </c>
      <c r="H98" s="20"/>
      <c r="I98" s="70"/>
    </row>
    <row r="99" spans="1:10" s="13" customFormat="1" ht="20.25" x14ac:dyDescent="0.3">
      <c r="A99" s="89"/>
      <c r="B99" s="54"/>
      <c r="C99" s="23"/>
      <c r="D99" s="23"/>
      <c r="F99" s="94">
        <f>COS(RADIANS(4))^2</f>
        <v>0.99513403437078507</v>
      </c>
      <c r="G99" s="72"/>
      <c r="H99" s="20"/>
      <c r="I99" s="70"/>
    </row>
    <row r="100" spans="1:10" s="13" customFormat="1" ht="20.25" x14ac:dyDescent="0.3">
      <c r="A100" s="89"/>
      <c r="B100" s="54"/>
      <c r="C100" s="23"/>
      <c r="D100" s="23"/>
      <c r="F100" s="34">
        <f>F99*F96</f>
        <v>83.758528478602358</v>
      </c>
      <c r="H100" s="20"/>
      <c r="I100" s="70"/>
    </row>
    <row r="102" spans="1:10" s="13" customFormat="1" ht="20.25" x14ac:dyDescent="0.3">
      <c r="A102" s="89"/>
      <c r="C102" s="23"/>
      <c r="D102" s="23"/>
      <c r="E102" s="51"/>
      <c r="F102" s="53"/>
      <c r="G102" s="52"/>
      <c r="H102" s="20"/>
      <c r="I102" s="19"/>
    </row>
    <row r="103" spans="1:10" s="13" customFormat="1" ht="20.25" x14ac:dyDescent="0.3">
      <c r="A103" s="89"/>
      <c r="B103" s="54"/>
      <c r="D103" s="23"/>
      <c r="E103" s="51"/>
      <c r="F103" s="53"/>
      <c r="G103" s="52"/>
      <c r="H103" s="20"/>
      <c r="I103" s="19"/>
    </row>
    <row r="104" spans="1:10" s="13" customFormat="1" ht="20.25" x14ac:dyDescent="0.3">
      <c r="A104" s="89"/>
      <c r="B104" s="54"/>
      <c r="C104" s="69"/>
      <c r="E104" s="51"/>
      <c r="F104" s="53"/>
      <c r="G104" s="52"/>
      <c r="H104" s="20"/>
      <c r="I104" s="19"/>
    </row>
    <row r="105" spans="1:10" s="13" customFormat="1" ht="20.25" x14ac:dyDescent="0.3">
      <c r="A105" s="89"/>
      <c r="B105" s="54"/>
      <c r="C105" s="69"/>
      <c r="D105" s="23"/>
      <c r="F105" s="84">
        <f>Jäitekoormus!F134</f>
        <v>12.142202324713148</v>
      </c>
      <c r="H105" s="20"/>
    </row>
    <row r="106" spans="1:10" s="13" customFormat="1" ht="20.25" x14ac:dyDescent="0.3">
      <c r="A106" s="89"/>
      <c r="B106" s="54"/>
      <c r="C106" s="69"/>
      <c r="D106" s="23"/>
      <c r="F106" s="85">
        <f>Jäitekoormus!F129/1000</f>
        <v>1.6E-2</v>
      </c>
      <c r="H106" s="20"/>
    </row>
    <row r="107" spans="1:10" s="13" customFormat="1" ht="20.25" x14ac:dyDescent="0.3">
      <c r="A107" s="89"/>
      <c r="B107" s="54"/>
      <c r="C107" s="69"/>
      <c r="D107" s="23"/>
      <c r="F107" s="53">
        <v>9.81</v>
      </c>
      <c r="H107" s="20"/>
    </row>
    <row r="108" spans="1:10" s="13" customFormat="1" ht="20.25" x14ac:dyDescent="0.3">
      <c r="A108" s="89"/>
      <c r="B108" s="54"/>
      <c r="C108" s="69"/>
      <c r="D108" s="23"/>
      <c r="F108" s="13">
        <v>3.1415999999999999</v>
      </c>
      <c r="G108" s="44"/>
    </row>
    <row r="109" spans="1:10" s="13" customFormat="1" ht="20.25" x14ac:dyDescent="0.3">
      <c r="A109" s="89"/>
      <c r="B109" s="54"/>
      <c r="C109" s="69"/>
      <c r="D109" s="23"/>
      <c r="F109" s="53">
        <v>900</v>
      </c>
      <c r="H109" s="20"/>
      <c r="I109" s="19"/>
    </row>
    <row r="110" spans="1:10" s="13" customFormat="1" ht="20.25" x14ac:dyDescent="0.3">
      <c r="A110" s="89"/>
      <c r="B110" s="54"/>
      <c r="C110" s="69"/>
      <c r="D110" s="23"/>
      <c r="F110" s="84">
        <f>'TUULEKOORMUS 1'!F390*'TUULEKOORMUS 1'!F393*'TUULEKOORMUS 1'!F398*1.2</f>
        <v>772.83675827785851</v>
      </c>
      <c r="H110" s="20"/>
      <c r="I110" s="19"/>
    </row>
    <row r="111" spans="1:10" s="13" customFormat="1" ht="20.25" x14ac:dyDescent="0.3">
      <c r="A111" s="89"/>
      <c r="B111" s="54"/>
      <c r="C111" s="69"/>
      <c r="D111" s="23"/>
      <c r="F111" s="86">
        <v>1</v>
      </c>
      <c r="G111" s="72"/>
      <c r="H111" s="20"/>
      <c r="I111" s="19"/>
    </row>
    <row r="112" spans="1:10" s="13" customFormat="1" ht="20.25" x14ac:dyDescent="0.3">
      <c r="A112" s="89"/>
      <c r="B112" s="54"/>
      <c r="C112" s="69"/>
      <c r="D112" s="23"/>
      <c r="E112" s="51"/>
      <c r="G112" s="52"/>
      <c r="H112" s="20"/>
      <c r="I112" s="19"/>
    </row>
    <row r="113" spans="1:9" s="13" customFormat="1" ht="20.25" x14ac:dyDescent="0.3">
      <c r="A113" s="89"/>
      <c r="B113" s="54"/>
      <c r="C113" s="23"/>
      <c r="E113" s="51"/>
      <c r="F113" s="53"/>
      <c r="G113" s="52"/>
      <c r="H113" s="20"/>
      <c r="I113" s="19"/>
    </row>
    <row r="114" spans="1:9" s="13" customFormat="1" ht="20.25" x14ac:dyDescent="0.3">
      <c r="A114" s="89"/>
      <c r="B114" s="54"/>
      <c r="C114" s="23"/>
      <c r="D114" s="69"/>
      <c r="F114" s="53">
        <f>1.5</f>
        <v>1.5</v>
      </c>
      <c r="G114" s="52"/>
      <c r="H114" s="20"/>
      <c r="I114" s="19"/>
    </row>
    <row r="115" spans="1:9" s="13" customFormat="1" ht="20.25" x14ac:dyDescent="0.3">
      <c r="A115" s="89"/>
      <c r="B115" s="54"/>
      <c r="C115" s="23"/>
      <c r="D115" s="23"/>
      <c r="F115" s="53">
        <f>F114*F105</f>
        <v>18.213303487069723</v>
      </c>
      <c r="H115" s="20"/>
      <c r="I115" s="19"/>
    </row>
    <row r="116" spans="1:9" s="13" customFormat="1" ht="20.25" x14ac:dyDescent="0.3">
      <c r="A116" s="89"/>
      <c r="B116" s="54"/>
      <c r="C116" s="23"/>
      <c r="E116" s="71"/>
      <c r="F116" s="53"/>
      <c r="G116" s="72"/>
      <c r="H116" s="20"/>
      <c r="I116" s="19"/>
    </row>
    <row r="117" spans="1:9" s="13" customFormat="1" ht="20.25" x14ac:dyDescent="0.3">
      <c r="A117" s="89"/>
      <c r="B117" s="54"/>
      <c r="C117" s="23"/>
      <c r="D117" s="23"/>
      <c r="F117" s="66">
        <f>SQRT(F106^2+((4*F115)/(F107*F108*F109)))</f>
        <v>5.3689420354242401E-2</v>
      </c>
      <c r="H117" s="20" t="str">
        <f>[3]!EQS(F117,"Units= ; EqnPrefix=Valem  ; EqnNo= 0; Multiplication= 1; ShowWorking= 0; EqnStyle= 2; Eqp$H$303_2")</f>
        <v/>
      </c>
    </row>
    <row r="118" spans="1:9" s="13" customFormat="1" ht="20.25" x14ac:dyDescent="0.3">
      <c r="A118" s="89"/>
      <c r="B118" s="54"/>
      <c r="C118" s="23"/>
      <c r="E118" s="71"/>
      <c r="F118" s="66"/>
      <c r="G118" s="72"/>
      <c r="H118" s="20"/>
      <c r="I118" s="19"/>
    </row>
    <row r="119" spans="1:9" s="13" customFormat="1" ht="20.25" x14ac:dyDescent="0.3">
      <c r="A119" s="89"/>
      <c r="B119" s="54"/>
      <c r="C119" s="23"/>
      <c r="D119" s="23"/>
      <c r="F119" s="53">
        <f>F110*F117</f>
        <v>41.493157580389969</v>
      </c>
      <c r="H119" s="20" t="str">
        <f>[3]!EQS(F119,"Units= ; EqnPrefix=Valem  ; EqnNo= 0; Multiplication= 1; ShowWorking= 0; EqnStyle= 2; Eqp$H$303_2")</f>
        <v/>
      </c>
    </row>
    <row r="120" spans="1:9" s="13" customFormat="1" ht="20.25" x14ac:dyDescent="0.3">
      <c r="A120" s="89"/>
      <c r="B120" s="54"/>
      <c r="C120" s="23"/>
      <c r="F120" s="53"/>
      <c r="G120" s="72"/>
      <c r="H120" s="20"/>
      <c r="I120" s="19"/>
    </row>
    <row r="121" spans="1:9" s="13" customFormat="1" ht="20.25" x14ac:dyDescent="0.3">
      <c r="A121" s="89"/>
      <c r="B121" s="54"/>
      <c r="C121" s="23"/>
      <c r="D121" s="23"/>
      <c r="F121" s="53">
        <f>F119*F111</f>
        <v>41.493157580389969</v>
      </c>
      <c r="H121" s="20" t="str">
        <f>[3]!EQS(F121,"Units= ; EqnPrefix=Valem  ; EqnNo= 0; Multiplication= 1; ShowWorking= 0; EqnStyle= 2; Eqp$H$303_2")</f>
        <v/>
      </c>
    </row>
    <row r="122" spans="1:9" s="13" customFormat="1" ht="20.25" x14ac:dyDescent="0.3">
      <c r="A122" s="89"/>
      <c r="B122" s="54"/>
      <c r="C122" s="23"/>
      <c r="D122" s="23"/>
      <c r="F122" s="94">
        <f>COS(RADIANS(4))^2</f>
        <v>0.99513403437078507</v>
      </c>
      <c r="G122" s="52"/>
      <c r="H122" s="20"/>
      <c r="I122" s="70"/>
    </row>
    <row r="123" spans="1:9" s="13" customFormat="1" ht="20.25" x14ac:dyDescent="0.3">
      <c r="A123" s="89"/>
      <c r="B123" s="54"/>
      <c r="C123" s="24"/>
      <c r="D123" s="24"/>
      <c r="F123" s="34">
        <f>F121*F122</f>
        <v>41.291253301756193</v>
      </c>
      <c r="G123" s="52"/>
      <c r="H123" s="20"/>
      <c r="I123" s="70"/>
    </row>
    <row r="124" spans="1:9" s="13" customFormat="1" ht="20.25" x14ac:dyDescent="0.3">
      <c r="A124" s="89"/>
      <c r="B124" s="54"/>
      <c r="C124" s="23"/>
      <c r="D124" s="23"/>
      <c r="F124" s="94">
        <f>COS(RADIANS(4))^2</f>
        <v>0.99513403437078507</v>
      </c>
      <c r="G124" s="52"/>
      <c r="H124" s="20"/>
      <c r="I124" s="70"/>
    </row>
    <row r="125" spans="1:9" s="13" customFormat="1" ht="20.25" x14ac:dyDescent="0.3">
      <c r="A125" s="89"/>
      <c r="B125" s="54"/>
      <c r="C125" s="23"/>
      <c r="D125" s="23"/>
      <c r="F125" s="34">
        <f>F124*F121</f>
        <v>41.291253301756193</v>
      </c>
      <c r="G125" s="52"/>
      <c r="H125" s="20"/>
      <c r="I125" s="70"/>
    </row>
    <row r="126" spans="1:9" s="13" customFormat="1" ht="20.25" x14ac:dyDescent="0.3">
      <c r="A126" s="89"/>
      <c r="B126" s="54"/>
      <c r="C126" s="23"/>
      <c r="D126" s="23"/>
      <c r="E126" s="71"/>
      <c r="F126" s="53"/>
      <c r="G126" s="52"/>
      <c r="H126" s="20"/>
      <c r="I126" s="70"/>
    </row>
    <row r="127" spans="1:9" s="13" customFormat="1" ht="20.25" x14ac:dyDescent="0.3">
      <c r="A127" s="89"/>
      <c r="B127" s="54"/>
      <c r="C127" s="23"/>
      <c r="D127" s="23"/>
      <c r="E127" s="51"/>
      <c r="F127" s="53"/>
      <c r="G127" s="52"/>
      <c r="H127" s="20"/>
      <c r="I127" s="19"/>
    </row>
    <row r="128" spans="1:9" s="13" customFormat="1" ht="20.25" x14ac:dyDescent="0.3">
      <c r="A128" s="89"/>
      <c r="B128" s="54"/>
      <c r="C128" s="23"/>
      <c r="E128" s="51"/>
      <c r="F128" s="53"/>
      <c r="G128" s="52"/>
      <c r="H128" s="20"/>
      <c r="I128" s="19"/>
    </row>
    <row r="129" spans="1:10" s="13" customFormat="1" ht="20.25" x14ac:dyDescent="0.3">
      <c r="A129" s="89"/>
      <c r="B129" s="54"/>
      <c r="C129" s="23"/>
      <c r="D129" s="69"/>
      <c r="F129" s="53">
        <v>0.35</v>
      </c>
      <c r="G129" s="52"/>
      <c r="H129" s="20"/>
      <c r="I129" s="19"/>
    </row>
    <row r="130" spans="1:10" s="13" customFormat="1" ht="20.25" x14ac:dyDescent="0.3">
      <c r="A130" s="89"/>
      <c r="B130" s="54"/>
      <c r="C130" s="23"/>
      <c r="D130" s="69"/>
      <c r="F130" s="53">
        <f>F129*F105</f>
        <v>4.2497708136496017</v>
      </c>
      <c r="H130" s="20"/>
      <c r="I130" s="19"/>
    </row>
    <row r="131" spans="1:10" s="13" customFormat="1" ht="20.25" x14ac:dyDescent="0.3">
      <c r="A131" s="89"/>
      <c r="B131" s="54"/>
      <c r="C131" s="23"/>
      <c r="D131" s="69"/>
      <c r="F131" s="66">
        <f>SQRT(F106^2+(4*F130)/(F107*F108*F109))</f>
        <v>2.9476474803828315E-2</v>
      </c>
      <c r="H131" s="20"/>
      <c r="I131" s="19"/>
    </row>
    <row r="132" spans="1:10" s="13" customFormat="1" ht="20.25" x14ac:dyDescent="0.3">
      <c r="A132" s="89"/>
      <c r="B132" s="54"/>
      <c r="C132" s="23"/>
      <c r="E132" s="71"/>
      <c r="F132" s="66"/>
      <c r="G132" s="72"/>
      <c r="H132" s="20"/>
      <c r="I132" s="19"/>
    </row>
    <row r="133" spans="1:10" s="13" customFormat="1" ht="20.25" x14ac:dyDescent="0.3">
      <c r="A133" s="89"/>
      <c r="B133" s="54"/>
      <c r="C133" s="23"/>
      <c r="D133" s="23"/>
      <c r="F133" s="53">
        <f>F110*F131</f>
        <v>22.78050323284965</v>
      </c>
      <c r="H133" s="20" t="str">
        <f>[3]!EQS(F133,"Units= ; EqnPrefix=Valem  ; EqnNo= 0; Multiplication= 1; ShowWorking= 0; EqnStyle= 2; Eqp$H$303_2")</f>
        <v/>
      </c>
    </row>
    <row r="134" spans="1:10" s="13" customFormat="1" ht="20.25" x14ac:dyDescent="0.3">
      <c r="A134" s="89"/>
      <c r="B134" s="54"/>
      <c r="C134" s="23"/>
      <c r="F134" s="53"/>
      <c r="G134" s="72"/>
      <c r="H134" s="20"/>
      <c r="I134" s="19"/>
    </row>
    <row r="135" spans="1:10" s="13" customFormat="1" ht="20.25" x14ac:dyDescent="0.3">
      <c r="A135" s="89"/>
      <c r="B135" s="54"/>
      <c r="C135" s="23"/>
      <c r="D135" s="23"/>
      <c r="F135" s="53">
        <f>F133*F111</f>
        <v>22.78050323284965</v>
      </c>
      <c r="H135" s="20" t="str">
        <f>[3]!EQS(F135,"Units= ; EqnPrefix=Valem  ; EqnNo= 0; Multiplication= 1; ShowWorking= 0; EqnStyle= 2; Eqp$H$303_2")</f>
        <v/>
      </c>
    </row>
    <row r="136" spans="1:10" s="13" customFormat="1" ht="20.25" x14ac:dyDescent="0.3">
      <c r="A136" s="89"/>
      <c r="B136" s="54"/>
      <c r="C136" s="23"/>
      <c r="D136" s="23"/>
      <c r="F136" s="94">
        <f>COS(RADIANS(4))^2</f>
        <v>0.99513403437078507</v>
      </c>
      <c r="G136" s="72"/>
      <c r="H136" s="20"/>
      <c r="I136" s="70"/>
    </row>
    <row r="137" spans="1:10" s="13" customFormat="1" ht="20.25" x14ac:dyDescent="0.3">
      <c r="A137" s="89"/>
      <c r="B137" s="54"/>
      <c r="C137" s="23"/>
      <c r="D137" s="23"/>
      <c r="F137" s="34">
        <f>F135*F136</f>
        <v>22.669654087102383</v>
      </c>
      <c r="H137" s="20"/>
      <c r="I137" s="70"/>
    </row>
    <row r="138" spans="1:10" s="13" customFormat="1" ht="20.25" x14ac:dyDescent="0.3">
      <c r="A138" s="89"/>
      <c r="B138" s="54"/>
      <c r="C138" s="23"/>
      <c r="D138" s="23"/>
      <c r="F138" s="94">
        <f>COS(RADIANS(4))^2</f>
        <v>0.99513403437078507</v>
      </c>
      <c r="G138" s="72"/>
      <c r="H138" s="20"/>
      <c r="I138" s="70"/>
    </row>
    <row r="139" spans="1:10" s="13" customFormat="1" ht="20.25" x14ac:dyDescent="0.3">
      <c r="A139" s="89"/>
      <c r="B139" s="54"/>
      <c r="C139" s="23"/>
      <c r="D139" s="23"/>
      <c r="F139" s="34">
        <f>F138*F135</f>
        <v>22.669654087102383</v>
      </c>
      <c r="H139" s="20"/>
      <c r="I139" s="70"/>
    </row>
    <row r="141" spans="1:10" s="13" customFormat="1" ht="20.25" x14ac:dyDescent="0.3">
      <c r="A141" s="89"/>
      <c r="B141" s="54"/>
      <c r="C141" s="23"/>
      <c r="D141" s="23"/>
      <c r="E141" s="74"/>
      <c r="F141" s="34"/>
      <c r="G141" s="75"/>
      <c r="H141" s="20"/>
      <c r="I141" s="70"/>
      <c r="J141" s="70"/>
    </row>
    <row r="143" spans="1:10" s="13" customFormat="1" ht="18" outlineLevel="1" x14ac:dyDescent="0.25">
      <c r="A143" s="54"/>
      <c r="B143" s="54"/>
      <c r="C143" s="23"/>
      <c r="D143" s="23"/>
      <c r="F143" s="13">
        <v>21</v>
      </c>
    </row>
    <row r="144" spans="1:10" s="13" customFormat="1" ht="18" outlineLevel="1" x14ac:dyDescent="0.25">
      <c r="A144" s="54"/>
      <c r="B144" s="54"/>
      <c r="C144" s="23"/>
      <c r="D144" s="23"/>
      <c r="F144" s="13">
        <f>F143</f>
        <v>21</v>
      </c>
    </row>
    <row r="145" spans="1:12" s="13" customFormat="1" ht="18" outlineLevel="1" x14ac:dyDescent="0.25">
      <c r="A145" s="54"/>
      <c r="B145" s="54"/>
      <c r="C145" s="23"/>
      <c r="D145" s="23"/>
      <c r="F145" s="13">
        <v>1.2250000000000001</v>
      </c>
    </row>
    <row r="146" spans="1:12" s="13" customFormat="1" ht="18" outlineLevel="1" x14ac:dyDescent="0.25">
      <c r="A146" s="54"/>
      <c r="B146" s="54"/>
      <c r="C146" s="23"/>
      <c r="D146" s="23"/>
      <c r="F146" s="13">
        <v>0.19</v>
      </c>
      <c r="G146" s="44"/>
    </row>
    <row r="147" spans="1:12" s="13" customFormat="1" ht="18" outlineLevel="1" x14ac:dyDescent="0.25">
      <c r="A147" s="54"/>
      <c r="B147" s="54"/>
      <c r="C147" s="23"/>
      <c r="D147" s="23"/>
      <c r="F147" s="13">
        <v>0.05</v>
      </c>
    </row>
    <row r="148" spans="1:12" s="13" customFormat="1" ht="18" outlineLevel="1" x14ac:dyDescent="0.25">
      <c r="A148" s="54"/>
      <c r="B148" s="54"/>
      <c r="C148" s="23"/>
      <c r="D148" s="23"/>
      <c r="F148" s="13">
        <v>10</v>
      </c>
    </row>
    <row r="149" spans="1:12" s="13" customFormat="1" ht="18" outlineLevel="1" x14ac:dyDescent="0.25">
      <c r="A149" s="54"/>
      <c r="B149" s="54"/>
      <c r="C149" s="23"/>
      <c r="D149" s="23"/>
      <c r="F149" s="13">
        <v>1.1499999999999999</v>
      </c>
      <c r="G149" s="44"/>
    </row>
    <row r="150" spans="1:12" s="13" customFormat="1" ht="18" outlineLevel="1" x14ac:dyDescent="0.25">
      <c r="A150" s="54"/>
      <c r="B150" s="54"/>
      <c r="C150" s="23"/>
      <c r="D150" s="23"/>
      <c r="E150" s="14"/>
      <c r="G150" s="44"/>
    </row>
    <row r="151" spans="1:12" s="13" customFormat="1" ht="18" x14ac:dyDescent="0.25">
      <c r="A151" s="54"/>
      <c r="B151" s="54"/>
      <c r="C151" s="23"/>
      <c r="D151" s="23"/>
      <c r="E151" s="14"/>
      <c r="G151" s="44"/>
    </row>
    <row r="152" spans="1:12" s="13" customFormat="1" ht="18" x14ac:dyDescent="0.25">
      <c r="A152" s="54"/>
      <c r="C152" s="24"/>
      <c r="D152" s="24"/>
      <c r="E152" s="18"/>
      <c r="F152" s="18"/>
      <c r="G152" s="46"/>
      <c r="H152" s="18"/>
      <c r="I152" s="18"/>
      <c r="J152" s="18"/>
      <c r="K152" s="18"/>
      <c r="L152" s="18"/>
    </row>
    <row r="153" spans="1:12" s="13" customFormat="1" ht="18" outlineLevel="1" x14ac:dyDescent="0.25">
      <c r="A153" s="54"/>
      <c r="B153" s="55"/>
      <c r="D153" s="24"/>
      <c r="E153" s="18"/>
      <c r="F153" s="18"/>
      <c r="G153" s="46"/>
      <c r="H153" s="18"/>
      <c r="I153" s="18"/>
      <c r="J153" s="18"/>
      <c r="K153" s="18"/>
      <c r="L153" s="18"/>
    </row>
    <row r="154" spans="1:12" s="13" customFormat="1" ht="18" outlineLevel="1" x14ac:dyDescent="0.25">
      <c r="A154" s="54"/>
      <c r="B154" s="54"/>
      <c r="D154" s="23"/>
      <c r="E154" s="14"/>
      <c r="G154" s="44"/>
      <c r="K154" s="26"/>
    </row>
    <row r="155" spans="1:12" s="13" customFormat="1" ht="18" outlineLevel="1" x14ac:dyDescent="0.25">
      <c r="A155" s="54"/>
      <c r="B155" s="54"/>
      <c r="C155" s="23"/>
      <c r="D155" s="23"/>
      <c r="F155" s="22">
        <v>36</v>
      </c>
    </row>
    <row r="156" spans="1:12" s="13" customFormat="1" ht="18" outlineLevel="1" x14ac:dyDescent="0.25">
      <c r="A156" s="54"/>
      <c r="B156" s="54"/>
      <c r="C156" s="23"/>
      <c r="D156" s="23"/>
      <c r="F156" s="22">
        <f>0.324+0.02</f>
        <v>0.34400000000000003</v>
      </c>
    </row>
    <row r="157" spans="1:12" s="13" customFormat="1" ht="18" outlineLevel="1" x14ac:dyDescent="0.25">
      <c r="A157" s="54"/>
      <c r="B157" s="54"/>
      <c r="D157" s="26"/>
      <c r="E157" s="17"/>
      <c r="F157" s="16"/>
      <c r="G157" s="45"/>
      <c r="I157" s="21"/>
    </row>
    <row r="158" spans="1:12" s="13" customFormat="1" ht="18" outlineLevel="1" x14ac:dyDescent="0.25">
      <c r="A158" s="54"/>
      <c r="B158" s="54"/>
      <c r="C158" s="23"/>
      <c r="D158" s="23"/>
      <c r="F158" s="33">
        <f>F156*F155</f>
        <v>12.384</v>
      </c>
      <c r="H158" s="20" t="str">
        <f>[3]!EQS(F158,"Units= ; EqnPrefix=Valem  ; EqnNo= 0; Multiplication= 1; ShowWorking= 1; EqnStyle=2; Eqp$G$17_0")</f>
        <v/>
      </c>
      <c r="L158" s="15"/>
    </row>
    <row r="159" spans="1:12" s="13" customFormat="1" ht="18" outlineLevel="1" x14ac:dyDescent="0.25">
      <c r="A159" s="54"/>
      <c r="B159" s="54"/>
      <c r="D159" s="23"/>
      <c r="F159" s="16"/>
      <c r="G159" s="45"/>
      <c r="I159" s="21"/>
    </row>
    <row r="160" spans="1:12" s="13" customFormat="1" ht="16.5" customHeight="1" outlineLevel="1" x14ac:dyDescent="0.25">
      <c r="A160" s="54"/>
      <c r="B160" s="54"/>
      <c r="C160" s="23"/>
      <c r="D160" s="23"/>
      <c r="F160" s="30">
        <f>F146*LN(F155/F147)*F143</f>
        <v>26.251212335920307</v>
      </c>
      <c r="H160" s="20" t="str">
        <f>[3]!EQS(F160,"Units= ; EqnPrefix=Valem  ; EqnNo= 0; Multiplication= 1; ShowWorking= 0; EqnStyle= 2; Eqp$H$21_2")</f>
        <v/>
      </c>
      <c r="J160" s="20"/>
    </row>
    <row r="161" spans="1:13" s="13" customFormat="1" ht="12" customHeight="1" outlineLevel="1" x14ac:dyDescent="0.25">
      <c r="A161" s="54"/>
      <c r="B161" s="54"/>
      <c r="C161" s="23"/>
      <c r="D161" s="23"/>
      <c r="E161" s="17"/>
      <c r="F161" s="30"/>
      <c r="G161" s="45"/>
      <c r="H161" s="20" t="str">
        <f>[3]!EQS(F160,"Units= ; EqnPrefix=Valem  ; EqnNo= 0; Multiplication= 1; ShowWorking= 1; EqnStyle= 2; Eqp$H$21_$H$22_3")</f>
        <v/>
      </c>
      <c r="J161" s="20"/>
    </row>
    <row r="162" spans="1:13" s="13" customFormat="1" ht="18" outlineLevel="1" x14ac:dyDescent="0.25">
      <c r="A162" s="54"/>
      <c r="B162" s="54"/>
      <c r="D162" s="29"/>
      <c r="F162" s="30"/>
      <c r="G162" s="45"/>
      <c r="H162" s="20"/>
      <c r="I162" s="28"/>
      <c r="J162" s="20"/>
    </row>
    <row r="163" spans="1:13" s="13" customFormat="1" ht="18" outlineLevel="1" x14ac:dyDescent="0.25">
      <c r="A163" s="54"/>
      <c r="B163" s="54"/>
      <c r="C163" s="23"/>
      <c r="D163" s="23"/>
      <c r="F163" s="30">
        <f>1/2*F145*F160^2</f>
        <v>422.08976632716445</v>
      </c>
      <c r="H163" s="20" t="str">
        <f>[3]!EQS(F163,"Units= ; EqnPrefix=Valem  ; EqnNo= 0; Multiplication= 1; ShowWorking= 0; EqnStyle= 2; Eqp$G$21_0")</f>
        <v/>
      </c>
      <c r="J163" s="20"/>
      <c r="M163" s="28"/>
    </row>
    <row r="164" spans="1:13" s="13" customFormat="1" ht="18" outlineLevel="1" x14ac:dyDescent="0.25">
      <c r="A164" s="54"/>
      <c r="B164" s="54"/>
      <c r="C164" s="23"/>
      <c r="D164" s="23"/>
      <c r="E164" s="25"/>
      <c r="F164" s="30"/>
      <c r="G164" s="47"/>
      <c r="H164" s="20" t="str">
        <f>[3]!EQS(F163,"Units= ; EqnPrefix=Valem  ; EqnNo= 0; Multiplication= 1; ShowWorking= 1; EqnStyle= 2; Eqp$G$21_$G$25_1")</f>
        <v/>
      </c>
      <c r="J164" s="20"/>
    </row>
    <row r="165" spans="1:13" s="13" customFormat="1" ht="18" outlineLevel="1" x14ac:dyDescent="0.25">
      <c r="A165" s="54"/>
      <c r="B165" s="54"/>
      <c r="D165" s="23"/>
      <c r="E165" s="25"/>
      <c r="F165" s="30"/>
      <c r="G165" s="47"/>
      <c r="I165" s="28"/>
      <c r="J165" s="20"/>
    </row>
    <row r="166" spans="1:13" s="13" customFormat="1" ht="18" outlineLevel="1" x14ac:dyDescent="0.25">
      <c r="A166" s="54"/>
      <c r="B166" s="54"/>
      <c r="C166" s="23"/>
      <c r="D166" s="23"/>
      <c r="F166" s="30">
        <f>(1+2.28/LN(F155/F147))^2</f>
        <v>1.8131807308313552</v>
      </c>
      <c r="G166" s="47"/>
      <c r="H166" s="20" t="str">
        <f>[3]!EQS(F166,"Units= ; EqnPrefix=Valem  ; EqnNo= 0; Multiplication= 1; ShowWorking= 0; EqnStyle= 2; Eqp$G$24_0")</f>
        <v/>
      </c>
      <c r="J166" s="20"/>
    </row>
    <row r="167" spans="1:13" s="13" customFormat="1" ht="18" outlineLevel="1" x14ac:dyDescent="0.25">
      <c r="A167" s="54"/>
      <c r="B167" s="54"/>
      <c r="C167" s="23"/>
      <c r="D167" s="23"/>
      <c r="E167" s="25"/>
      <c r="F167" s="30"/>
      <c r="G167" s="47"/>
      <c r="H167" s="20" t="str">
        <f>[3]!EQS(F166,"Units= ; EqnPrefix=Valem  ; EqnNo= 0; Multiplication= 1; ShowWorking= 1; EqnStyle= 2; Eqp$G$24_$G$28_1")</f>
        <v/>
      </c>
      <c r="J167" s="20"/>
    </row>
    <row r="168" spans="1:13" s="13" customFormat="1" ht="18" outlineLevel="1" x14ac:dyDescent="0.25">
      <c r="A168" s="54"/>
      <c r="B168" s="54"/>
      <c r="E168" s="25"/>
      <c r="F168" s="30"/>
      <c r="G168" s="47"/>
      <c r="J168" s="20"/>
    </row>
    <row r="169" spans="1:13" s="13" customFormat="1" ht="18" outlineLevel="1" x14ac:dyDescent="0.25">
      <c r="A169" s="54"/>
      <c r="B169" s="54"/>
      <c r="C169" s="23"/>
      <c r="D169" s="23"/>
      <c r="F169" s="13">
        <v>1.1499999999999999</v>
      </c>
      <c r="G169" s="44"/>
      <c r="J169" s="20"/>
    </row>
    <row r="170" spans="1:13" s="13" customFormat="1" ht="18" outlineLevel="1" x14ac:dyDescent="0.25">
      <c r="A170" s="54"/>
      <c r="B170" s="54"/>
      <c r="E170" s="25"/>
      <c r="F170" s="32"/>
      <c r="G170" s="44"/>
      <c r="H170" s="20"/>
      <c r="I170" s="29"/>
      <c r="J170" s="20"/>
    </row>
    <row r="171" spans="1:13" s="13" customFormat="1" ht="18" outlineLevel="1" x14ac:dyDescent="0.25">
      <c r="A171" s="54"/>
      <c r="B171" s="54"/>
      <c r="D171" s="23"/>
      <c r="F171" s="30">
        <v>0.88</v>
      </c>
      <c r="G171" s="44"/>
      <c r="H171" s="20"/>
      <c r="J171" s="20"/>
    </row>
    <row r="172" spans="1:13" s="13" customFormat="1" ht="18" outlineLevel="1" x14ac:dyDescent="0.25">
      <c r="A172" s="54"/>
      <c r="B172" s="54"/>
      <c r="D172" s="23"/>
      <c r="E172" s="20"/>
      <c r="F172" s="20"/>
      <c r="G172" s="44"/>
      <c r="H172" s="20"/>
      <c r="I172" s="28"/>
      <c r="J172" s="20"/>
    </row>
    <row r="173" spans="1:13" s="13" customFormat="1" ht="18" x14ac:dyDescent="0.25">
      <c r="A173" s="54"/>
      <c r="B173" s="54"/>
      <c r="D173" s="23"/>
      <c r="G173" s="44"/>
    </row>
    <row r="174" spans="1:13" s="13" customFormat="1" ht="18" x14ac:dyDescent="0.25">
      <c r="A174" s="54"/>
      <c r="B174" s="54"/>
      <c r="C174" s="23"/>
      <c r="D174" s="23"/>
      <c r="F174" s="34">
        <f>F163*F166*F169*F171*F156</f>
        <v>266.43107238692852</v>
      </c>
      <c r="H174" s="20" t="str">
        <f>[3]!EQS(F174,"Units= ; EqnPrefix=Valem  ; EqnNo= 0; Multiplication= 1; ShowWorking= 0; EqnStyle= 2; Eqp$G$39_0")</f>
        <v/>
      </c>
    </row>
    <row r="175" spans="1:13" s="13" customFormat="1" ht="18" x14ac:dyDescent="0.25">
      <c r="A175" s="54"/>
      <c r="B175" s="54"/>
      <c r="C175" s="23"/>
      <c r="D175" s="23"/>
      <c r="G175" s="44"/>
      <c r="H175" s="13" t="str">
        <f>[3]!EQS(F174,"Units= ; EqnPrefix=Valem  ; EqnNo= 0; Multiplication= 1; ShowWorking= 1; EqnStyle= 2; Eqp$G$39_$G$40_1")</f>
        <v/>
      </c>
    </row>
    <row r="176" spans="1:13" s="13" customFormat="1" ht="18" x14ac:dyDescent="0.25">
      <c r="A176" s="54"/>
      <c r="B176" s="54"/>
      <c r="D176" s="23"/>
      <c r="G176" s="44"/>
    </row>
    <row r="177" spans="1:12" s="13" customFormat="1" ht="18" x14ac:dyDescent="0.25">
      <c r="A177" s="54"/>
      <c r="B177" s="54"/>
      <c r="C177" s="23"/>
      <c r="D177" s="23"/>
      <c r="F177" s="53">
        <f>COS(RADIANS(0))*F174</f>
        <v>266.43107238692852</v>
      </c>
    </row>
    <row r="178" spans="1:12" s="13" customFormat="1" ht="18" x14ac:dyDescent="0.25">
      <c r="A178" s="54"/>
      <c r="B178" s="54"/>
      <c r="C178" s="23"/>
      <c r="D178" s="23"/>
      <c r="F178" s="53">
        <f>SIN(RADIANS(0))*F174</f>
        <v>0</v>
      </c>
    </row>
    <row r="179" spans="1:12" s="13" customFormat="1" ht="18" x14ac:dyDescent="0.25">
      <c r="A179" s="54"/>
      <c r="B179" s="54"/>
      <c r="C179" s="23"/>
      <c r="D179" s="23"/>
      <c r="G179" s="44"/>
    </row>
    <row r="180" spans="1:12" s="13" customFormat="1" ht="18" x14ac:dyDescent="0.25">
      <c r="A180" s="54"/>
      <c r="C180" s="24"/>
      <c r="D180" s="24"/>
      <c r="E180" s="18"/>
      <c r="F180" s="18"/>
      <c r="G180" s="46"/>
      <c r="H180" s="18"/>
      <c r="I180" s="18"/>
      <c r="J180" s="18"/>
      <c r="K180" s="18"/>
      <c r="L180" s="18"/>
    </row>
    <row r="181" spans="1:12" s="13" customFormat="1" ht="18" outlineLevel="1" x14ac:dyDescent="0.25">
      <c r="A181" s="54"/>
      <c r="B181" s="54"/>
      <c r="D181" s="23"/>
      <c r="E181" s="14"/>
      <c r="G181" s="44"/>
    </row>
    <row r="182" spans="1:12" s="13" customFormat="1" ht="18" outlineLevel="1" x14ac:dyDescent="0.25">
      <c r="A182" s="54"/>
      <c r="B182" s="54"/>
      <c r="C182" s="23"/>
      <c r="D182" s="23"/>
      <c r="F182" s="22">
        <v>14</v>
      </c>
    </row>
    <row r="183" spans="1:12" s="13" customFormat="1" ht="18" outlineLevel="1" x14ac:dyDescent="0.25">
      <c r="A183" s="54"/>
      <c r="B183" s="54"/>
      <c r="C183" s="23"/>
      <c r="D183" s="23"/>
      <c r="F183" s="22">
        <f>0.273+0.02</f>
        <v>0.29300000000000004</v>
      </c>
    </row>
    <row r="184" spans="1:12" s="13" customFormat="1" ht="18" outlineLevel="1" x14ac:dyDescent="0.25">
      <c r="A184" s="54"/>
      <c r="B184" s="54"/>
      <c r="C184" s="23"/>
      <c r="D184" s="23"/>
      <c r="F184" s="22">
        <v>15.5</v>
      </c>
    </row>
    <row r="185" spans="1:12" s="13" customFormat="1" ht="18" outlineLevel="1" x14ac:dyDescent="0.25">
      <c r="A185" s="54"/>
      <c r="B185" s="54"/>
      <c r="D185" s="26"/>
      <c r="E185" s="17"/>
      <c r="F185" s="16"/>
      <c r="G185" s="45"/>
      <c r="I185" s="21"/>
    </row>
    <row r="186" spans="1:12" s="13" customFormat="1" ht="18" outlineLevel="1" x14ac:dyDescent="0.25">
      <c r="A186" s="54"/>
      <c r="B186" s="54"/>
      <c r="C186" s="23"/>
      <c r="D186" s="23"/>
      <c r="F186" s="33">
        <f>F183*F184</f>
        <v>4.541500000000001</v>
      </c>
      <c r="H186" s="20" t="str">
        <f>[3]!EQS(F186,"Units= ; EqnPrefix=Valem  ; EqnNo= 0; Multiplication= 1; ShowWorking= 1; EqnStyle=2; Eqp$G$17_0")</f>
        <v/>
      </c>
    </row>
    <row r="187" spans="1:12" s="13" customFormat="1" ht="18" outlineLevel="1" x14ac:dyDescent="0.25">
      <c r="A187" s="54"/>
      <c r="B187" s="54"/>
      <c r="D187" s="23"/>
      <c r="F187" s="16"/>
      <c r="G187" s="45"/>
      <c r="I187" s="21"/>
    </row>
    <row r="188" spans="1:12" s="13" customFormat="1" ht="18" outlineLevel="1" x14ac:dyDescent="0.25">
      <c r="A188" s="54"/>
      <c r="B188" s="54"/>
      <c r="C188" s="23"/>
      <c r="D188" s="23"/>
      <c r="E188" s="17"/>
      <c r="F188" s="16"/>
      <c r="G188" s="45"/>
      <c r="I188" s="21"/>
    </row>
    <row r="189" spans="1:12" s="13" customFormat="1" ht="18" outlineLevel="1" x14ac:dyDescent="0.25">
      <c r="A189" s="54"/>
      <c r="B189" s="54"/>
      <c r="C189" s="23"/>
      <c r="D189" s="23"/>
      <c r="G189" s="44"/>
    </row>
    <row r="190" spans="1:12" s="13" customFormat="1" ht="16.5" customHeight="1" outlineLevel="1" x14ac:dyDescent="0.25">
      <c r="A190" s="54"/>
      <c r="B190" s="54"/>
      <c r="C190" s="23"/>
      <c r="D190" s="23"/>
      <c r="F190" s="30">
        <f>F146*LN(F182/F147)*F143</f>
        <v>22.482810516645301</v>
      </c>
      <c r="H190" s="20" t="str">
        <f>[3]!EQS(F190,"Units= ; EqnPrefix=Valem  ; EqnNo= 0; Multiplication= 1; ShowWorking= 0; EqnStyle= 2; Eqp$H$54_2")</f>
        <v/>
      </c>
      <c r="J190" s="20"/>
    </row>
    <row r="191" spans="1:12" s="13" customFormat="1" ht="12" customHeight="1" outlineLevel="1" x14ac:dyDescent="0.25">
      <c r="A191" s="54"/>
      <c r="B191" s="54"/>
      <c r="C191" s="23"/>
      <c r="D191" s="23"/>
      <c r="E191" s="17"/>
      <c r="F191" s="30"/>
      <c r="G191" s="45"/>
      <c r="H191" s="20" t="str">
        <f>[3]!EQS(F190,"Units= ; EqnPrefix=Valem  ; EqnNo= 0; Multiplication= 1; ShowWorking= 1; EqnStyle= 2; Eqp$H$54_$H$55_3")</f>
        <v/>
      </c>
      <c r="J191" s="20"/>
    </row>
    <row r="192" spans="1:12" s="13" customFormat="1" ht="18" outlineLevel="1" x14ac:dyDescent="0.25">
      <c r="A192" s="54"/>
      <c r="B192" s="54"/>
      <c r="D192" s="29"/>
      <c r="F192" s="30"/>
      <c r="G192" s="45"/>
      <c r="H192" s="20"/>
      <c r="I192" s="28"/>
      <c r="J192" s="20"/>
    </row>
    <row r="193" spans="1:10" s="13" customFormat="1" ht="18" outlineLevel="1" x14ac:dyDescent="0.25">
      <c r="A193" s="54"/>
      <c r="B193" s="54"/>
      <c r="C193" s="23"/>
      <c r="D193" s="23"/>
      <c r="F193" s="30">
        <f>1/2*F145*F190^2</f>
        <v>309.60452084551815</v>
      </c>
      <c r="H193" s="20" t="str">
        <f>[3]!EQS(F193,"Units= ; EqnPrefix=Valem  ; EqnNo= 0; Multiplication= 1; ShowWorking= 0; EqnStyle= 2; Eqp$G$21_0")</f>
        <v/>
      </c>
      <c r="J193" s="20"/>
    </row>
    <row r="194" spans="1:10" s="13" customFormat="1" ht="18" outlineLevel="1" x14ac:dyDescent="0.25">
      <c r="A194" s="54"/>
      <c r="B194" s="54"/>
      <c r="C194" s="23"/>
      <c r="D194" s="23"/>
      <c r="E194" s="25"/>
      <c r="F194" s="30"/>
      <c r="G194" s="47"/>
      <c r="H194" s="20" t="str">
        <f>[3]!EQS(F193,"Units= ; EqnPrefix=Valem  ; EqnNo= 0; Multiplication= 1; ShowWorking= 1; EqnStyle= 2; Eqp$G$21_$G$25_1")</f>
        <v/>
      </c>
      <c r="J194" s="20"/>
    </row>
    <row r="195" spans="1:10" s="13" customFormat="1" ht="18" outlineLevel="1" x14ac:dyDescent="0.25">
      <c r="A195" s="54"/>
      <c r="B195" s="54"/>
      <c r="D195" s="23"/>
      <c r="E195" s="25"/>
      <c r="F195" s="30"/>
      <c r="G195" s="47"/>
      <c r="I195" s="28"/>
      <c r="J195" s="20"/>
    </row>
    <row r="196" spans="1:10" s="13" customFormat="1" ht="18" outlineLevel="1" x14ac:dyDescent="0.25">
      <c r="A196" s="54"/>
      <c r="B196" s="54"/>
      <c r="C196" s="23"/>
      <c r="D196" s="23"/>
      <c r="F196" s="30">
        <f>(1+2.28/LN(F182/F147))^2</f>
        <v>1.9729829854343099</v>
      </c>
      <c r="G196" s="47"/>
      <c r="H196" s="20" t="str">
        <f>[3]!EQS(F196,"Units= ; EqnPrefix=Valem  ; EqnNo= 0; Multiplication= 1; ShowWorking= 0; EqnStyle= 2; Eqp$G$24_0")</f>
        <v/>
      </c>
      <c r="J196" s="20"/>
    </row>
    <row r="197" spans="1:10" s="13" customFormat="1" ht="18" outlineLevel="1" x14ac:dyDescent="0.25">
      <c r="A197" s="54"/>
      <c r="B197" s="54"/>
      <c r="C197" s="23"/>
      <c r="D197" s="23"/>
      <c r="E197" s="25"/>
      <c r="F197" s="30"/>
      <c r="G197" s="47"/>
      <c r="H197" s="20" t="str">
        <f>[3]!EQS(F196,"Units= ; EqnPrefix=Valem  ; EqnNo= 0; Multiplication= 1; ShowWorking= 1; EqnStyle= 2; Eqp$G$24_$G$28_1")</f>
        <v/>
      </c>
      <c r="J197" s="20"/>
    </row>
    <row r="198" spans="1:10" s="13" customFormat="1" ht="18" outlineLevel="1" x14ac:dyDescent="0.25">
      <c r="A198" s="54"/>
      <c r="B198" s="54"/>
      <c r="E198" s="25"/>
      <c r="F198" s="30"/>
      <c r="G198" s="47"/>
      <c r="J198" s="20"/>
    </row>
    <row r="199" spans="1:10" s="13" customFormat="1" ht="18" outlineLevel="1" x14ac:dyDescent="0.25">
      <c r="A199" s="54"/>
      <c r="B199" s="54"/>
      <c r="C199" s="23"/>
      <c r="D199" s="23"/>
      <c r="F199" s="13">
        <v>1.1499999999999999</v>
      </c>
      <c r="G199" s="44"/>
      <c r="J199" s="20"/>
    </row>
    <row r="200" spans="1:10" s="13" customFormat="1" ht="18" outlineLevel="1" x14ac:dyDescent="0.25">
      <c r="A200" s="54"/>
      <c r="B200" s="54"/>
      <c r="E200" s="25"/>
      <c r="F200" s="32"/>
      <c r="G200" s="44"/>
      <c r="H200" s="20"/>
      <c r="I200" s="29"/>
      <c r="J200" s="20"/>
    </row>
    <row r="201" spans="1:10" s="13" customFormat="1" ht="18" outlineLevel="1" x14ac:dyDescent="0.25">
      <c r="A201" s="54"/>
      <c r="B201" s="54"/>
      <c r="C201" s="23"/>
      <c r="D201" s="23"/>
      <c r="F201" s="93">
        <v>1.88</v>
      </c>
      <c r="G201" s="44"/>
      <c r="H201" s="20"/>
      <c r="J201" s="20"/>
    </row>
    <row r="202" spans="1:10" s="13" customFormat="1" ht="18" outlineLevel="1" x14ac:dyDescent="0.25">
      <c r="A202" s="54"/>
      <c r="B202" s="54"/>
      <c r="C202" s="23"/>
      <c r="D202" s="23"/>
      <c r="E202" s="20"/>
      <c r="F202" s="20"/>
      <c r="G202" s="44"/>
      <c r="H202" s="20"/>
      <c r="I202" s="28"/>
      <c r="J202" s="20"/>
    </row>
    <row r="203" spans="1:10" s="13" customFormat="1" ht="18" outlineLevel="1" x14ac:dyDescent="0.25">
      <c r="A203" s="54"/>
      <c r="B203" s="54"/>
      <c r="D203" s="23"/>
      <c r="E203" s="20"/>
      <c r="F203" s="20"/>
      <c r="G203" s="44"/>
      <c r="H203" s="20"/>
      <c r="I203" s="28"/>
      <c r="J203" s="20"/>
    </row>
    <row r="204" spans="1:10" s="13" customFormat="1" ht="18" outlineLevel="1" x14ac:dyDescent="0.25">
      <c r="A204" s="54"/>
      <c r="B204" s="54"/>
      <c r="C204" s="23"/>
      <c r="D204" s="23"/>
      <c r="F204" s="95">
        <f>COS(RADIANS(90))^2</f>
        <v>3.7524718414124473E-33</v>
      </c>
      <c r="G204" s="44"/>
      <c r="H204" s="20" t="str">
        <f>[3]!EQS(F204,"Units= ; EqnPrefix=Valem  ; EqnNo= 0; Multiplication= 1; ShowWorking= 0; EqnStyle= 2; Eqp$H$75_2")</f>
        <v/>
      </c>
      <c r="J204" s="20"/>
    </row>
    <row r="205" spans="1:10" s="13" customFormat="1" ht="18" x14ac:dyDescent="0.25">
      <c r="A205" s="54"/>
      <c r="B205" s="54"/>
      <c r="D205" s="23"/>
      <c r="G205" s="44"/>
    </row>
    <row r="206" spans="1:10" s="13" customFormat="1" ht="18" x14ac:dyDescent="0.25">
      <c r="A206" s="54"/>
      <c r="B206" s="54"/>
      <c r="C206" s="23"/>
      <c r="D206" s="23"/>
      <c r="F206" s="34">
        <f>F193*F196*F199*F201*F183*F204</f>
        <v>1.4520159452750842E-30</v>
      </c>
      <c r="H206" s="20" t="str">
        <f>[3]!EQS(F206,"Units= ; EqnPrefix=Valem  ; EqnNo= 0; Multiplication= 1; ShowWorking= 0; EqnStyle= 2; Eqp$G$39_0")</f>
        <v/>
      </c>
    </row>
    <row r="207" spans="1:10" s="13" customFormat="1" ht="18" x14ac:dyDescent="0.25">
      <c r="A207" s="54"/>
      <c r="B207" s="54"/>
      <c r="C207" s="23"/>
      <c r="D207" s="23"/>
      <c r="G207" s="44"/>
      <c r="H207" s="13" t="str">
        <f>[3]!EQS(F206,"Units= ; EqnPrefix=Valem  ; EqnNo= 0; Multiplication= 1; ShowWorking= 1; EqnStyle= 2; Eqp$G$39_$G$40_1")</f>
        <v/>
      </c>
    </row>
    <row r="208" spans="1:10" s="13" customFormat="1" ht="18" x14ac:dyDescent="0.25">
      <c r="A208" s="54"/>
      <c r="B208" s="54"/>
      <c r="C208" s="23"/>
      <c r="D208" s="23"/>
      <c r="G208" s="44"/>
    </row>
    <row r="209" spans="1:12" s="13" customFormat="1" ht="18" x14ac:dyDescent="0.25">
      <c r="A209" s="54"/>
      <c r="B209" s="54"/>
      <c r="C209" s="23"/>
      <c r="D209" s="23"/>
      <c r="G209" s="44"/>
    </row>
    <row r="210" spans="1:12" s="13" customFormat="1" ht="18" x14ac:dyDescent="0.25">
      <c r="A210" s="54"/>
      <c r="C210" s="24"/>
      <c r="D210" s="24"/>
      <c r="E210" s="18"/>
      <c r="F210" s="18"/>
      <c r="G210" s="46"/>
      <c r="H210" s="18"/>
      <c r="I210" s="18"/>
      <c r="J210" s="18"/>
      <c r="K210" s="18"/>
      <c r="L210" s="18"/>
    </row>
    <row r="211" spans="1:12" s="13" customFormat="1" ht="18" outlineLevel="1" x14ac:dyDescent="0.25">
      <c r="A211" s="54"/>
      <c r="B211" s="54"/>
      <c r="D211" s="23"/>
      <c r="E211" s="14"/>
      <c r="G211" s="44"/>
    </row>
    <row r="212" spans="1:12" s="13" customFormat="1" ht="18" outlineLevel="1" x14ac:dyDescent="0.25">
      <c r="A212" s="54"/>
      <c r="B212" s="54"/>
      <c r="C212" s="23"/>
      <c r="D212" s="23"/>
      <c r="F212" s="22">
        <v>28</v>
      </c>
    </row>
    <row r="213" spans="1:12" s="13" customFormat="1" ht="18" outlineLevel="1" x14ac:dyDescent="0.25">
      <c r="A213" s="54"/>
      <c r="B213" s="54"/>
      <c r="C213" s="23"/>
      <c r="D213" s="23"/>
      <c r="F213" s="22">
        <f>0.22+0.02</f>
        <v>0.24</v>
      </c>
    </row>
    <row r="214" spans="1:12" s="13" customFormat="1" ht="18" outlineLevel="1" x14ac:dyDescent="0.25">
      <c r="A214" s="54"/>
      <c r="B214" s="54"/>
      <c r="C214" s="23"/>
      <c r="D214" s="23"/>
      <c r="F214" s="22">
        <v>23</v>
      </c>
    </row>
    <row r="215" spans="1:12" s="13" customFormat="1" ht="18" outlineLevel="1" x14ac:dyDescent="0.25">
      <c r="A215" s="54"/>
      <c r="B215" s="54"/>
      <c r="D215" s="26"/>
      <c r="E215" s="17"/>
      <c r="F215" s="16"/>
      <c r="G215" s="45"/>
      <c r="I215" s="21"/>
    </row>
    <row r="216" spans="1:12" s="13" customFormat="1" ht="18" outlineLevel="1" x14ac:dyDescent="0.25">
      <c r="A216" s="54"/>
      <c r="B216" s="54"/>
      <c r="C216" s="23"/>
      <c r="D216" s="23"/>
      <c r="F216" s="33">
        <f>F213*F214</f>
        <v>5.52</v>
      </c>
      <c r="H216" s="20" t="str">
        <f>[3]!EQS(F216,"Units= ; EqnPrefix=Valem  ; EqnNo= 0; Multiplication= 1; ShowWorking= 1; EqnStyle=2; Eqp$G$17_0")</f>
        <v/>
      </c>
    </row>
    <row r="217" spans="1:12" s="13" customFormat="1" ht="18" outlineLevel="1" x14ac:dyDescent="0.25">
      <c r="A217" s="54"/>
      <c r="B217" s="54"/>
      <c r="D217" s="23"/>
      <c r="E217" s="25"/>
      <c r="F217" s="33"/>
      <c r="G217" s="47"/>
      <c r="H217" s="20"/>
      <c r="I217" s="19"/>
    </row>
    <row r="218" spans="1:12" s="13" customFormat="1" ht="18" outlineLevel="1" x14ac:dyDescent="0.25">
      <c r="A218" s="54"/>
      <c r="B218" s="54"/>
      <c r="D218" s="23"/>
      <c r="F218" s="16"/>
      <c r="G218" s="45"/>
      <c r="I218" s="21"/>
    </row>
    <row r="219" spans="1:12" s="13" customFormat="1" ht="18" outlineLevel="1" x14ac:dyDescent="0.25">
      <c r="A219" s="54"/>
      <c r="B219" s="54"/>
      <c r="C219" s="23"/>
      <c r="D219" s="23"/>
      <c r="E219" s="17"/>
      <c r="F219" s="16"/>
      <c r="G219" s="45"/>
      <c r="I219" s="21"/>
    </row>
    <row r="220" spans="1:12" s="13" customFormat="1" ht="18" outlineLevel="1" x14ac:dyDescent="0.25">
      <c r="A220" s="54"/>
      <c r="B220" s="54"/>
      <c r="C220" s="23"/>
      <c r="D220" s="23"/>
      <c r="G220" s="44"/>
    </row>
    <row r="221" spans="1:12" s="13" customFormat="1" ht="16.5" customHeight="1" outlineLevel="1" x14ac:dyDescent="0.25">
      <c r="A221" s="54"/>
      <c r="B221" s="54"/>
      <c r="C221" s="23"/>
      <c r="D221" s="23"/>
      <c r="F221" s="30">
        <f>F146*LN(F212/F147)*F143</f>
        <v>25.248467767079489</v>
      </c>
      <c r="H221" s="20" t="str">
        <f>[3]!EQS(F221,"Units= ; EqnPrefix=Valem  ; EqnNo= 0; Multiplication= 1; ShowWorking= 0; EqnStyle= 2; Eqp$H$54_2")</f>
        <v/>
      </c>
      <c r="J221" s="20"/>
    </row>
    <row r="222" spans="1:12" s="13" customFormat="1" ht="12" customHeight="1" outlineLevel="1" x14ac:dyDescent="0.25">
      <c r="A222" s="54"/>
      <c r="B222" s="54"/>
      <c r="C222" s="23"/>
      <c r="D222" s="23"/>
      <c r="E222" s="17"/>
      <c r="F222" s="30"/>
      <c r="G222" s="45"/>
      <c r="H222" s="20" t="str">
        <f>[3]!EQS(F221,"Units= ; EqnPrefix=Valem  ; EqnNo= 0; Multiplication= 1; ShowWorking= 1; EqnStyle= 2; Eqp$H$54_$H$55_3")</f>
        <v/>
      </c>
      <c r="J222" s="20"/>
    </row>
    <row r="223" spans="1:12" s="13" customFormat="1" ht="18" outlineLevel="1" x14ac:dyDescent="0.25">
      <c r="A223" s="54"/>
      <c r="B223" s="54"/>
      <c r="D223" s="29"/>
      <c r="F223" s="30"/>
      <c r="G223" s="45"/>
      <c r="H223" s="20"/>
      <c r="I223" s="28"/>
      <c r="J223" s="20"/>
    </row>
    <row r="224" spans="1:12" s="13" customFormat="1" ht="18" outlineLevel="1" x14ac:dyDescent="0.25">
      <c r="A224" s="54"/>
      <c r="B224" s="54"/>
      <c r="C224" s="23"/>
      <c r="D224" s="23"/>
      <c r="F224" s="30">
        <f>1/2*F145*F221^2</f>
        <v>390.45963880846682</v>
      </c>
      <c r="H224" s="20" t="str">
        <f>[3]!EQS(F224,"Units= ; EqnPrefix=Valem  ; EqnNo= 0; Multiplication= 1; ShowWorking= 0; EqnStyle= 2; Eqp$G$21_0")</f>
        <v/>
      </c>
      <c r="J224" s="20"/>
    </row>
    <row r="225" spans="1:17" s="13" customFormat="1" ht="18" outlineLevel="1" x14ac:dyDescent="0.25">
      <c r="A225" s="54"/>
      <c r="B225" s="54"/>
      <c r="C225" s="23"/>
      <c r="D225" s="23"/>
      <c r="E225" s="25"/>
      <c r="F225" s="30"/>
      <c r="G225" s="47"/>
      <c r="H225" s="20" t="str">
        <f>[3]!EQS(F224,"Units= ; EqnPrefix=Valem  ; EqnNo= 0; Multiplication= 1; ShowWorking= 1; EqnStyle= 2; Eqp$G$21_$G$25_1")</f>
        <v/>
      </c>
      <c r="J225" s="20"/>
    </row>
    <row r="226" spans="1:17" s="13" customFormat="1" ht="18" outlineLevel="1" x14ac:dyDescent="0.25">
      <c r="A226" s="54"/>
      <c r="B226" s="54"/>
      <c r="D226" s="23"/>
      <c r="E226" s="25"/>
      <c r="F226" s="30"/>
      <c r="G226" s="47"/>
      <c r="I226" s="28"/>
      <c r="J226" s="20"/>
    </row>
    <row r="227" spans="1:17" s="13" customFormat="1" ht="18" outlineLevel="1" x14ac:dyDescent="0.25">
      <c r="A227" s="54"/>
      <c r="B227" s="54"/>
      <c r="C227" s="23"/>
      <c r="D227" s="23"/>
      <c r="F227" s="30">
        <f>(1+2.28/LN(F212/F147))^2</f>
        <v>1.8504351691877789</v>
      </c>
      <c r="G227" s="47"/>
      <c r="H227" s="20" t="str">
        <f>[3]!EQS(F227,"Units= ; EqnPrefix=Valem  ; EqnNo= 0; Multiplication= 1; ShowWorking= 0; EqnStyle= 2; Eqp$G$24_0")</f>
        <v/>
      </c>
      <c r="J227" s="20"/>
    </row>
    <row r="228" spans="1:17" s="13" customFormat="1" ht="18" outlineLevel="1" x14ac:dyDescent="0.25">
      <c r="A228" s="54"/>
      <c r="B228" s="54"/>
      <c r="C228" s="23"/>
      <c r="D228" s="23"/>
      <c r="E228" s="25"/>
      <c r="F228" s="30"/>
      <c r="G228" s="47"/>
      <c r="H228" s="20" t="str">
        <f>[3]!EQS(F227,"Units= ; EqnPrefix=Valem  ; EqnNo= 0; Multiplication= 1; ShowWorking= 1; EqnStyle= 2; Eqp$G$24_$G$28_1")</f>
        <v/>
      </c>
      <c r="J228" s="20"/>
    </row>
    <row r="229" spans="1:17" s="13" customFormat="1" ht="18" outlineLevel="1" x14ac:dyDescent="0.25">
      <c r="A229" s="54"/>
      <c r="B229" s="54"/>
      <c r="E229" s="25"/>
      <c r="F229" s="30"/>
      <c r="G229" s="47"/>
      <c r="J229" s="20"/>
    </row>
    <row r="230" spans="1:17" s="13" customFormat="1" ht="18" outlineLevel="1" x14ac:dyDescent="0.25">
      <c r="A230" s="54"/>
      <c r="B230" s="54"/>
      <c r="C230" s="23"/>
      <c r="D230" s="23"/>
      <c r="F230" s="13">
        <v>1.1499999999999999</v>
      </c>
      <c r="G230" s="44"/>
      <c r="J230" s="20"/>
    </row>
    <row r="231" spans="1:17" s="13" customFormat="1" ht="18" outlineLevel="1" x14ac:dyDescent="0.25">
      <c r="A231" s="54"/>
      <c r="B231" s="54"/>
      <c r="D231" s="23"/>
      <c r="E231" s="20"/>
      <c r="F231" s="37"/>
      <c r="G231" s="44"/>
      <c r="H231" s="20"/>
      <c r="I231" s="28"/>
      <c r="J231" s="20"/>
    </row>
    <row r="232" spans="1:17" s="13" customFormat="1" ht="18" outlineLevel="1" x14ac:dyDescent="0.25">
      <c r="A232" s="54"/>
      <c r="B232" s="54"/>
      <c r="C232" s="23"/>
      <c r="D232" s="23"/>
      <c r="F232" s="96">
        <v>1.75</v>
      </c>
      <c r="G232" s="44"/>
      <c r="H232" s="20"/>
      <c r="I232" s="13">
        <v>1.75</v>
      </c>
      <c r="J232" s="13">
        <v>1.84</v>
      </c>
      <c r="K232" s="13">
        <v>2</v>
      </c>
    </row>
    <row r="233" spans="1:17" s="13" customFormat="1" ht="18" outlineLevel="1" x14ac:dyDescent="0.25">
      <c r="A233" s="54"/>
      <c r="B233" s="54"/>
      <c r="C233" s="23"/>
      <c r="D233" s="23"/>
      <c r="E233" s="20"/>
      <c r="F233" s="37"/>
      <c r="G233" s="44"/>
      <c r="H233" s="20"/>
      <c r="I233" s="13">
        <v>1.68</v>
      </c>
      <c r="J233" s="34">
        <f>(J232-I232)/(K232-I232)*(K233-I233)+I233</f>
        <v>1.752</v>
      </c>
      <c r="K233" s="13">
        <v>1.88</v>
      </c>
      <c r="Q233" s="53"/>
    </row>
    <row r="234" spans="1:17" s="13" customFormat="1" ht="18" outlineLevel="1" x14ac:dyDescent="0.25">
      <c r="A234" s="54"/>
      <c r="B234" s="54"/>
      <c r="D234" s="23"/>
      <c r="E234" s="20"/>
      <c r="F234" s="20"/>
      <c r="G234" s="44"/>
      <c r="H234" s="20"/>
      <c r="I234" s="28"/>
      <c r="J234" s="20"/>
    </row>
    <row r="235" spans="1:17" s="13" customFormat="1" ht="18" outlineLevel="1" x14ac:dyDescent="0.25">
      <c r="A235" s="54"/>
      <c r="B235" s="54"/>
      <c r="C235" s="23"/>
      <c r="D235" s="23"/>
      <c r="F235" s="91">
        <f>COS(RADIANS(90))^2</f>
        <v>3.7524718414124473E-33</v>
      </c>
      <c r="G235" s="44"/>
      <c r="H235" s="20" t="str">
        <f>[3]!EQS(F235,"Units= ; EqnPrefix=Valem  ; EqnNo= 0; Multiplication= 1; ShowWorking= 0; EqnStyle= 2; Eqp$H$75_2")</f>
        <v/>
      </c>
      <c r="J235" s="20"/>
    </row>
    <row r="236" spans="1:17" s="13" customFormat="1" ht="18" outlineLevel="1" x14ac:dyDescent="0.25">
      <c r="A236" s="54"/>
      <c r="B236" s="54"/>
      <c r="D236" s="23"/>
      <c r="G236" s="44"/>
    </row>
    <row r="237" spans="1:17" s="13" customFormat="1" ht="18" x14ac:dyDescent="0.25">
      <c r="A237" s="54"/>
      <c r="B237" s="54"/>
      <c r="C237" s="23"/>
      <c r="D237" s="23"/>
      <c r="F237" s="34">
        <f>F224*F227*F230*F232*F213*F235</f>
        <v>1.3095274153188585E-30</v>
      </c>
      <c r="H237" s="20" t="str">
        <f>[3]!EQS(F237,"Units= ; EqnPrefix=Valem  ; EqnNo= 0; Multiplication= 1; ShowWorking= 0; EqnStyle= 2; Eqp$G$39_0")</f>
        <v/>
      </c>
    </row>
    <row r="238" spans="1:17" s="13" customFormat="1" ht="18" x14ac:dyDescent="0.25">
      <c r="A238" s="54"/>
      <c r="B238" s="54"/>
      <c r="C238" s="23"/>
      <c r="D238" s="23"/>
      <c r="G238" s="44"/>
      <c r="H238" s="13" t="str">
        <f>[3]!EQS(F237,"Units= ; EqnPrefix=Valem  ; EqnNo= 0; Multiplication= 1; ShowWorking= 1; EqnStyle= 2; Eqp$G$39_$G$40_1")</f>
        <v/>
      </c>
    </row>
    <row r="239" spans="1:17" s="13" customFormat="1" ht="18" x14ac:dyDescent="0.25">
      <c r="A239" s="54"/>
      <c r="B239" s="54"/>
      <c r="C239" s="23"/>
      <c r="D239" s="23"/>
      <c r="G239" s="44"/>
    </row>
    <row r="240" spans="1:17" s="13" customFormat="1" ht="18" x14ac:dyDescent="0.25">
      <c r="A240" s="54"/>
      <c r="B240" s="54"/>
      <c r="C240" s="23"/>
      <c r="D240" s="23"/>
      <c r="G240" s="44"/>
    </row>
    <row r="241" spans="1:12" s="13" customFormat="1" ht="18" x14ac:dyDescent="0.25">
      <c r="A241" s="54"/>
      <c r="C241" s="24"/>
      <c r="D241" s="24"/>
      <c r="E241" s="18"/>
      <c r="F241" s="18"/>
      <c r="G241" s="46"/>
      <c r="H241" s="18"/>
      <c r="I241" s="18"/>
      <c r="J241" s="18"/>
      <c r="K241" s="18"/>
      <c r="L241" s="18"/>
    </row>
    <row r="242" spans="1:12" s="13" customFormat="1" ht="18" outlineLevel="1" x14ac:dyDescent="0.25">
      <c r="A242" s="54"/>
      <c r="B242" s="54"/>
      <c r="D242" s="23"/>
      <c r="E242" s="14"/>
      <c r="G242" s="44"/>
    </row>
    <row r="243" spans="1:12" s="13" customFormat="1" ht="18" outlineLevel="1" x14ac:dyDescent="0.25">
      <c r="A243" s="54"/>
      <c r="B243" s="54"/>
      <c r="C243" s="23"/>
      <c r="D243" s="23"/>
      <c r="F243" s="22">
        <v>36</v>
      </c>
    </row>
    <row r="244" spans="1:12" s="13" customFormat="1" ht="18" outlineLevel="1" x14ac:dyDescent="0.25">
      <c r="A244" s="54"/>
      <c r="B244" s="54"/>
      <c r="C244" s="23"/>
      <c r="D244" s="23"/>
      <c r="F244" s="22">
        <v>0.25</v>
      </c>
    </row>
    <row r="245" spans="1:12" s="13" customFormat="1" ht="18" outlineLevel="1" x14ac:dyDescent="0.25">
      <c r="A245" s="54"/>
      <c r="B245" s="54"/>
      <c r="C245" s="23"/>
      <c r="D245" s="23"/>
      <c r="F245" s="22">
        <v>0.25</v>
      </c>
    </row>
    <row r="246" spans="1:12" s="13" customFormat="1" ht="18" outlineLevel="1" x14ac:dyDescent="0.25">
      <c r="A246" s="54"/>
      <c r="B246" s="54"/>
      <c r="C246" s="23"/>
      <c r="D246" s="23"/>
      <c r="F246" s="22">
        <v>23</v>
      </c>
    </row>
    <row r="247" spans="1:12" s="13" customFormat="1" ht="18" outlineLevel="1" x14ac:dyDescent="0.25">
      <c r="A247" s="54"/>
      <c r="B247" s="54"/>
      <c r="D247" s="26"/>
      <c r="E247" s="17"/>
      <c r="F247" s="16"/>
      <c r="G247" s="45"/>
      <c r="I247" s="21"/>
    </row>
    <row r="248" spans="1:12" s="13" customFormat="1" ht="18" outlineLevel="1" x14ac:dyDescent="0.25">
      <c r="A248" s="54"/>
      <c r="B248" s="54"/>
      <c r="C248" s="23"/>
      <c r="D248" s="23"/>
      <c r="F248" s="33">
        <f>F244*F246</f>
        <v>5.75</v>
      </c>
      <c r="H248" s="20" t="str">
        <f>[3]!EQS(F248,"Units= ; EqnPrefix=Valem  ; EqnNo= 0; Multiplication= 1; ShowWorking= 1; EqnStyle=2; Eqp$G$17_0")</f>
        <v/>
      </c>
    </row>
    <row r="249" spans="1:12" s="13" customFormat="1" ht="18" outlineLevel="1" x14ac:dyDescent="0.25">
      <c r="A249" s="54"/>
      <c r="B249" s="54"/>
      <c r="D249" s="23"/>
      <c r="E249" s="25"/>
      <c r="F249" s="33"/>
      <c r="G249" s="47"/>
      <c r="H249" s="20"/>
      <c r="I249" s="19"/>
    </row>
    <row r="250" spans="1:12" s="13" customFormat="1" ht="18" outlineLevel="1" x14ac:dyDescent="0.25">
      <c r="A250" s="54"/>
      <c r="B250" s="54"/>
      <c r="C250" s="36"/>
      <c r="D250" s="23"/>
      <c r="F250" s="33">
        <f>F245*F244</f>
        <v>6.25E-2</v>
      </c>
      <c r="H250" s="20" t="str">
        <f>[3]!EQS(F250,"Units= ; EqnPrefix=Valem  ; EqnNo= 0; Multiplication= 1; ShowWorking= 1; EqnStyle= 2; Eqp$H$137_2")</f>
        <v/>
      </c>
    </row>
    <row r="251" spans="1:12" s="13" customFormat="1" ht="18" outlineLevel="1" x14ac:dyDescent="0.25">
      <c r="A251" s="54"/>
      <c r="B251" s="54"/>
      <c r="D251" s="23"/>
      <c r="F251" s="16"/>
      <c r="G251" s="45"/>
      <c r="I251" s="21"/>
    </row>
    <row r="252" spans="1:12" s="13" customFormat="1" ht="18" outlineLevel="1" x14ac:dyDescent="0.25">
      <c r="A252" s="54"/>
      <c r="B252" s="54"/>
      <c r="C252" s="23"/>
      <c r="D252" s="23"/>
      <c r="E252" s="17"/>
      <c r="F252" s="16"/>
      <c r="G252" s="45"/>
      <c r="I252" s="21"/>
    </row>
    <row r="253" spans="1:12" s="13" customFormat="1" ht="18" outlineLevel="1" x14ac:dyDescent="0.25">
      <c r="A253" s="54"/>
      <c r="B253" s="54"/>
      <c r="C253" s="23"/>
      <c r="D253" s="23"/>
      <c r="G253" s="44"/>
    </row>
    <row r="254" spans="1:12" s="13" customFormat="1" ht="18" outlineLevel="1" x14ac:dyDescent="0.25">
      <c r="A254" s="54"/>
      <c r="B254" s="54"/>
      <c r="C254" s="23"/>
      <c r="D254" s="23"/>
      <c r="F254" s="30">
        <f>F146*LN(F243/F147)*F143</f>
        <v>26.251212335920307</v>
      </c>
      <c r="H254" s="20" t="str">
        <f>[3]!EQS(F254,"Units= ; EqnPrefix=Valem  ; EqnNo= 0; Multiplication= 1; ShowWorking= 0; EqnStyle= 2; Eqp$H$54_2")</f>
        <v/>
      </c>
      <c r="J254" s="20"/>
    </row>
    <row r="255" spans="1:12" s="13" customFormat="1" ht="18" outlineLevel="1" x14ac:dyDescent="0.25">
      <c r="A255" s="54"/>
      <c r="B255" s="54"/>
      <c r="C255" s="23"/>
      <c r="D255" s="23"/>
      <c r="E255" s="17"/>
      <c r="F255" s="30"/>
      <c r="G255" s="45"/>
      <c r="H255" s="20" t="str">
        <f>[3]!EQS(F254,"Units= ; EqnPrefix=Valem  ; EqnNo= 0; Multiplication= 1; ShowWorking= 1; EqnStyle= 2; Eqp$H$54_$H$55_3")</f>
        <v/>
      </c>
      <c r="J255" s="20"/>
    </row>
    <row r="256" spans="1:12" s="13" customFormat="1" ht="18" outlineLevel="1" x14ac:dyDescent="0.25">
      <c r="A256" s="54"/>
      <c r="B256" s="54"/>
      <c r="D256" s="29"/>
      <c r="F256" s="30"/>
      <c r="G256" s="45"/>
      <c r="H256" s="20"/>
      <c r="I256" s="28"/>
      <c r="J256" s="20"/>
    </row>
    <row r="257" spans="1:12" s="13" customFormat="1" ht="18" outlineLevel="1" x14ac:dyDescent="0.25">
      <c r="A257" s="54"/>
      <c r="B257" s="54"/>
      <c r="C257" s="23"/>
      <c r="D257" s="23"/>
      <c r="F257" s="30">
        <f>1/2*F145*F254^2</f>
        <v>422.08976632716445</v>
      </c>
      <c r="H257" s="20" t="str">
        <f>[3]!EQS(F257,"Units= ; EqnPrefix=Valem  ; EqnNo= 0; Multiplication= 1; ShowWorking= 0; EqnStyle= 2; Eqp$G$21_0")</f>
        <v/>
      </c>
      <c r="J257" s="20"/>
    </row>
    <row r="258" spans="1:12" s="13" customFormat="1" ht="18" outlineLevel="1" x14ac:dyDescent="0.25">
      <c r="A258" s="54"/>
      <c r="B258" s="54"/>
      <c r="C258" s="23"/>
      <c r="D258" s="23"/>
      <c r="E258" s="25"/>
      <c r="F258" s="30"/>
      <c r="G258" s="47"/>
      <c r="H258" s="20" t="str">
        <f>[3]!EQS(F257,"Units= ; EqnPrefix=Valem  ; EqnNo= 0; Multiplication= 1; ShowWorking= 1; EqnStyle= 2; Eqp$G$21_$G$25_1")</f>
        <v/>
      </c>
      <c r="J258" s="20"/>
    </row>
    <row r="259" spans="1:12" s="13" customFormat="1" ht="18" outlineLevel="1" x14ac:dyDescent="0.25">
      <c r="A259" s="54"/>
      <c r="B259" s="54"/>
      <c r="D259" s="23"/>
      <c r="E259" s="25"/>
      <c r="F259" s="30"/>
      <c r="G259" s="47"/>
      <c r="I259" s="28"/>
      <c r="J259" s="20"/>
    </row>
    <row r="260" spans="1:12" s="13" customFormat="1" ht="18" outlineLevel="1" x14ac:dyDescent="0.25">
      <c r="A260" s="54"/>
      <c r="B260" s="54"/>
      <c r="C260" s="23"/>
      <c r="D260" s="23"/>
      <c r="F260" s="30">
        <f>(1+2.28/LN(F243/F147))^2</f>
        <v>1.8131807308313552</v>
      </c>
      <c r="G260" s="47"/>
      <c r="H260" s="20" t="str">
        <f>[3]!EQS(F260,"Units= ; EqnPrefix=Valem  ; EqnNo= 0; Multiplication= 1; ShowWorking= 0; EqnStyle= 2; Eqp$G$24_0")</f>
        <v/>
      </c>
      <c r="J260" s="20"/>
    </row>
    <row r="261" spans="1:12" s="13" customFormat="1" ht="18" outlineLevel="1" x14ac:dyDescent="0.25">
      <c r="A261" s="54"/>
      <c r="B261" s="54"/>
      <c r="C261" s="23"/>
      <c r="D261" s="23"/>
      <c r="E261" s="25"/>
      <c r="F261" s="30"/>
      <c r="G261" s="47"/>
      <c r="H261" s="20" t="str">
        <f>[3]!EQS(F260,"Units= ; EqnPrefix=Valem  ; EqnNo= 0; Multiplication= 1; ShowWorking= 1; EqnStyle= 2; Eqp$G$24_$G$28_1")</f>
        <v/>
      </c>
      <c r="J261" s="20"/>
    </row>
    <row r="262" spans="1:12" s="13" customFormat="1" ht="18" outlineLevel="1" x14ac:dyDescent="0.25">
      <c r="A262" s="54"/>
      <c r="B262" s="54"/>
      <c r="E262" s="25"/>
      <c r="F262" s="30"/>
      <c r="G262" s="47"/>
      <c r="J262" s="20"/>
    </row>
    <row r="263" spans="1:12" s="13" customFormat="1" ht="18" outlineLevel="1" x14ac:dyDescent="0.25">
      <c r="A263" s="54"/>
      <c r="B263" s="54"/>
      <c r="C263" s="23"/>
      <c r="D263" s="23"/>
      <c r="F263" s="13">
        <v>1.1499999999999999</v>
      </c>
      <c r="G263" s="44"/>
      <c r="J263" s="20"/>
    </row>
    <row r="264" spans="1:12" s="13" customFormat="1" ht="18" outlineLevel="1" x14ac:dyDescent="0.25">
      <c r="A264" s="54"/>
      <c r="B264" s="54"/>
      <c r="D264" s="23"/>
      <c r="E264" s="20"/>
      <c r="F264" s="37"/>
      <c r="G264" s="44"/>
      <c r="H264" s="20"/>
      <c r="I264" s="28"/>
      <c r="J264" s="20"/>
    </row>
    <row r="265" spans="1:12" s="13" customFormat="1" ht="18" outlineLevel="1" x14ac:dyDescent="0.25">
      <c r="A265" s="54"/>
      <c r="B265" s="54"/>
      <c r="C265" s="23"/>
      <c r="D265" s="23"/>
      <c r="F265" s="96">
        <v>1.58</v>
      </c>
      <c r="G265" s="44"/>
      <c r="H265" s="20"/>
      <c r="J265" s="13">
        <v>1.5</v>
      </c>
      <c r="K265" s="13">
        <v>1.62</v>
      </c>
      <c r="L265" s="13">
        <v>1.75</v>
      </c>
    </row>
    <row r="266" spans="1:12" s="13" customFormat="1" ht="18" outlineLevel="1" x14ac:dyDescent="0.25">
      <c r="A266" s="54"/>
      <c r="B266" s="54"/>
      <c r="C266" s="23"/>
      <c r="D266" s="23"/>
      <c r="E266" s="20"/>
      <c r="F266" s="37"/>
      <c r="G266" s="44"/>
      <c r="H266" s="20"/>
      <c r="J266" s="13">
        <v>1.48</v>
      </c>
      <c r="K266" s="34">
        <f>(K265-J265)/(L265-J265)*(L266-J266)+J266</f>
        <v>1.5760000000000001</v>
      </c>
      <c r="L266" s="13">
        <v>1.68</v>
      </c>
    </row>
    <row r="267" spans="1:12" s="13" customFormat="1" ht="18" outlineLevel="1" x14ac:dyDescent="0.25">
      <c r="A267" s="54"/>
      <c r="B267" s="54"/>
      <c r="D267" s="23"/>
      <c r="E267" s="20"/>
      <c r="F267" s="37"/>
      <c r="G267" s="44"/>
      <c r="H267" s="20"/>
      <c r="J267" s="28"/>
      <c r="K267" s="20"/>
    </row>
    <row r="268" spans="1:12" s="13" customFormat="1" ht="18" outlineLevel="1" x14ac:dyDescent="0.25">
      <c r="A268" s="54"/>
      <c r="B268" s="54"/>
      <c r="C268" s="43"/>
      <c r="D268" s="23"/>
      <c r="F268" s="96">
        <v>1.75</v>
      </c>
      <c r="G268" s="44"/>
      <c r="H268" s="20"/>
      <c r="J268" s="13">
        <v>1.75</v>
      </c>
      <c r="K268" s="13">
        <v>1.84</v>
      </c>
      <c r="L268" s="13">
        <v>2</v>
      </c>
    </row>
    <row r="269" spans="1:12" s="13" customFormat="1" ht="18" outlineLevel="1" x14ac:dyDescent="0.25">
      <c r="A269" s="54"/>
      <c r="B269" s="54"/>
      <c r="C269" s="23"/>
      <c r="D269" s="23"/>
      <c r="E269" s="20"/>
      <c r="F269" s="37"/>
      <c r="G269" s="44"/>
      <c r="H269" s="20"/>
      <c r="J269" s="13">
        <v>1.68</v>
      </c>
      <c r="K269" s="34">
        <f>(K268-J268)/(L268-J268)*(L269-J269)+J269</f>
        <v>1.752</v>
      </c>
      <c r="L269" s="13">
        <v>1.88</v>
      </c>
    </row>
    <row r="270" spans="1:12" s="13" customFormat="1" ht="18" outlineLevel="1" x14ac:dyDescent="0.25">
      <c r="A270" s="54"/>
      <c r="B270" s="54"/>
      <c r="D270" s="23"/>
      <c r="E270" s="20"/>
      <c r="F270" s="20"/>
      <c r="G270" s="44"/>
      <c r="H270" s="20"/>
      <c r="I270" s="28"/>
      <c r="J270" s="20"/>
    </row>
    <row r="271" spans="1:12" s="13" customFormat="1" ht="18" outlineLevel="1" x14ac:dyDescent="0.25">
      <c r="A271" s="54"/>
      <c r="B271" s="54"/>
      <c r="C271" s="23"/>
      <c r="D271" s="23"/>
      <c r="F271" s="91">
        <f>COS(RADIANS(90))^2</f>
        <v>3.7524718414124473E-33</v>
      </c>
      <c r="G271" s="44"/>
      <c r="H271" s="20" t="str">
        <f>[3]!EQS(F271,"Units= ; EqnPrefix=Valem  ; EqnNo= 0; Multiplication= 1; ShowWorking= 0; EqnStyle= 2; Eqp$H$75_2")</f>
        <v/>
      </c>
      <c r="J271" s="20"/>
    </row>
    <row r="272" spans="1:12" s="13" customFormat="1" ht="18" outlineLevel="1" x14ac:dyDescent="0.25">
      <c r="A272" s="54"/>
      <c r="B272" s="54"/>
      <c r="D272" s="23"/>
      <c r="E272" s="42"/>
      <c r="F272" s="40"/>
      <c r="G272" s="44"/>
      <c r="H272" s="20"/>
      <c r="I272" s="28"/>
      <c r="J272" s="20"/>
    </row>
    <row r="273" spans="1:12" s="13" customFormat="1" ht="18" outlineLevel="1" x14ac:dyDescent="0.25">
      <c r="A273" s="54"/>
      <c r="B273" s="54"/>
      <c r="C273" s="23"/>
      <c r="D273" s="23"/>
      <c r="F273" s="91">
        <f>COS(RADIANS(0))^2</f>
        <v>1</v>
      </c>
      <c r="G273" s="44"/>
      <c r="H273" s="20" t="str">
        <f>[3]!EQS(F273,"Units= ; EqnPrefix=Valem  ; EqnNo= 0; Multiplication= 1; ShowWorking= 0; EqnStyle= 2; Eqp$H$75_2")</f>
        <v/>
      </c>
      <c r="J273" s="20"/>
    </row>
    <row r="274" spans="1:12" s="13" customFormat="1" ht="18" x14ac:dyDescent="0.25">
      <c r="A274" s="54"/>
      <c r="B274" s="54"/>
      <c r="D274" s="23"/>
      <c r="G274" s="44"/>
    </row>
    <row r="275" spans="1:12" s="13" customFormat="1" ht="18" x14ac:dyDescent="0.25">
      <c r="A275" s="54"/>
      <c r="B275" s="54"/>
      <c r="C275" s="23"/>
      <c r="D275" s="23"/>
      <c r="F275" s="34">
        <f>F257*F260*F263*F265*F244*F271</f>
        <v>1.30454269040586E-30</v>
      </c>
      <c r="H275" s="20" t="str">
        <f>[3]!EQS(F275,"Units= ; EqnPrefix=Valem  ; EqnNo= 0; Multiplication= 1; ShowWorking= 0; EqnStyle= 2; Eqp$G$39_0")</f>
        <v/>
      </c>
    </row>
    <row r="276" spans="1:12" s="13" customFormat="1" ht="18" x14ac:dyDescent="0.25">
      <c r="A276" s="54"/>
      <c r="B276" s="54"/>
      <c r="C276" s="23"/>
      <c r="D276" s="23"/>
      <c r="G276" s="44"/>
      <c r="H276" s="13" t="str">
        <f>[3]!EQS(F275,"Units= ; EqnPrefix=Valem  ; EqnNo= 0; Multiplication= 1; ShowWorking= 1; EqnStyle= 2; Eqp$G$39_$G$40_1")</f>
        <v/>
      </c>
    </row>
    <row r="277" spans="1:12" s="13" customFormat="1" ht="18" x14ac:dyDescent="0.25">
      <c r="A277" s="54"/>
      <c r="B277" s="54"/>
      <c r="D277" s="23"/>
      <c r="G277" s="44"/>
    </row>
    <row r="278" spans="1:12" s="13" customFormat="1" ht="18" x14ac:dyDescent="0.25">
      <c r="A278" s="54"/>
      <c r="B278" s="54"/>
      <c r="C278" s="23"/>
      <c r="D278" s="23"/>
      <c r="F278" s="34">
        <f>F257*F260*F263*F268*F245*F244*F273</f>
        <v>96.263539053647932</v>
      </c>
      <c r="H278" s="20" t="str">
        <f>[3]!EQS(F278,"Units= ; EqnPrefix=Valem  ; EqnNo= 0; Multiplication= 1; ShowWorking= 0; EqnStyle= 2; Eqp$G$39_0")</f>
        <v/>
      </c>
    </row>
    <row r="279" spans="1:12" s="13" customFormat="1" ht="18" x14ac:dyDescent="0.25">
      <c r="A279" s="54"/>
      <c r="B279" s="54"/>
      <c r="C279" s="23"/>
      <c r="D279" s="23"/>
      <c r="G279" s="44"/>
      <c r="H279" s="13" t="str">
        <f>[3]!EQS(F278,"Units= ; EqnPrefix=Valem  ; EqnNo= 0; Multiplication= 1; ShowWorking= 1; EqnStyle= 2; Eqp$G$39_$G$40_1")</f>
        <v/>
      </c>
    </row>
    <row r="280" spans="1:12" s="13" customFormat="1" ht="18" x14ac:dyDescent="0.25">
      <c r="A280" s="54"/>
      <c r="C280" s="24"/>
      <c r="D280" s="24"/>
      <c r="E280" s="18"/>
      <c r="F280" s="18"/>
      <c r="G280" s="46"/>
      <c r="H280" s="18"/>
      <c r="I280" s="18"/>
      <c r="J280" s="18"/>
      <c r="K280" s="18"/>
      <c r="L280" s="18"/>
    </row>
    <row r="281" spans="1:12" s="13" customFormat="1" ht="18" outlineLevel="1" x14ac:dyDescent="0.25">
      <c r="A281" s="54"/>
      <c r="B281" s="54"/>
      <c r="D281" s="23"/>
      <c r="E281" s="14"/>
      <c r="G281" s="44"/>
    </row>
    <row r="282" spans="1:12" s="13" customFormat="1" ht="18" outlineLevel="1" x14ac:dyDescent="0.25">
      <c r="A282" s="54"/>
      <c r="B282" s="54"/>
      <c r="C282" s="23"/>
      <c r="D282" s="23"/>
      <c r="F282" s="22">
        <v>41</v>
      </c>
    </row>
    <row r="283" spans="1:12" s="13" customFormat="1" ht="18" outlineLevel="1" x14ac:dyDescent="0.25">
      <c r="A283" s="54"/>
      <c r="B283" s="54"/>
      <c r="C283" s="23"/>
      <c r="D283" s="23"/>
      <c r="F283" s="22">
        <f>0.25+0.02</f>
        <v>0.27</v>
      </c>
    </row>
    <row r="284" spans="1:12" s="13" customFormat="1" ht="18" outlineLevel="1" x14ac:dyDescent="0.25">
      <c r="A284" s="54"/>
      <c r="B284" s="54"/>
      <c r="C284" s="23"/>
      <c r="D284" s="23"/>
      <c r="F284" s="22">
        <f>0.15+0.2</f>
        <v>0.35</v>
      </c>
    </row>
    <row r="285" spans="1:12" s="13" customFormat="1" ht="18" outlineLevel="1" x14ac:dyDescent="0.25">
      <c r="A285" s="54"/>
      <c r="B285" s="54"/>
      <c r="C285" s="23"/>
      <c r="D285" s="23"/>
      <c r="F285" s="22">
        <v>5</v>
      </c>
    </row>
    <row r="286" spans="1:12" s="13" customFormat="1" ht="18" outlineLevel="1" x14ac:dyDescent="0.25">
      <c r="A286" s="54"/>
      <c r="B286" s="54"/>
      <c r="D286" s="26"/>
      <c r="E286" s="17"/>
      <c r="F286" s="16"/>
      <c r="G286" s="45"/>
      <c r="I286" s="21"/>
    </row>
    <row r="287" spans="1:12" s="13" customFormat="1" ht="18" outlineLevel="1" x14ac:dyDescent="0.25">
      <c r="A287" s="54"/>
      <c r="B287" s="54"/>
      <c r="C287" s="23"/>
      <c r="D287" s="23"/>
      <c r="F287" s="33">
        <f>F284*F285</f>
        <v>1.75</v>
      </c>
      <c r="H287" s="20" t="str">
        <f>[3]!EQS(F287,"Units= ; EqnPrefix=Valem  ; EqnNo= 0; Multiplication= 1; ShowWorking= 1; EqnStyle=2; Eqp$G$17_0")</f>
        <v/>
      </c>
    </row>
    <row r="288" spans="1:12" s="13" customFormat="1" ht="18" outlineLevel="1" x14ac:dyDescent="0.25">
      <c r="A288" s="54"/>
      <c r="B288" s="54"/>
      <c r="D288" s="23"/>
      <c r="E288" s="25"/>
      <c r="F288" s="33"/>
      <c r="G288" s="47"/>
      <c r="H288" s="20"/>
      <c r="I288" s="19"/>
    </row>
    <row r="289" spans="1:12" s="13" customFormat="1" ht="18" outlineLevel="1" x14ac:dyDescent="0.25">
      <c r="A289" s="54"/>
      <c r="B289" s="54"/>
      <c r="C289" s="36"/>
      <c r="D289" s="23"/>
      <c r="F289" s="33">
        <f>F285*F283</f>
        <v>1.35</v>
      </c>
      <c r="H289" s="20" t="str">
        <f>[3]!EQS(F289,"Units= ; EqnPrefix=Valem  ; EqnNo= 0; Multiplication= 1; ShowWorking= 1; EqnStyle= 2; Eqp$H$137_2")</f>
        <v/>
      </c>
    </row>
    <row r="290" spans="1:12" s="13" customFormat="1" ht="18" outlineLevel="1" x14ac:dyDescent="0.25">
      <c r="A290" s="54"/>
      <c r="B290" s="54"/>
      <c r="D290" s="23"/>
      <c r="F290" s="16"/>
      <c r="G290" s="45"/>
      <c r="I290" s="21"/>
    </row>
    <row r="291" spans="1:12" s="13" customFormat="1" ht="18" outlineLevel="1" x14ac:dyDescent="0.25">
      <c r="A291" s="54"/>
      <c r="B291" s="54"/>
      <c r="C291" s="23"/>
      <c r="D291" s="23"/>
      <c r="E291" s="17"/>
      <c r="F291" s="16"/>
      <c r="G291" s="45"/>
      <c r="I291" s="21"/>
    </row>
    <row r="292" spans="1:12" s="13" customFormat="1" ht="18" outlineLevel="1" x14ac:dyDescent="0.25">
      <c r="A292" s="54"/>
      <c r="B292" s="54"/>
      <c r="C292" s="23"/>
      <c r="D292" s="23"/>
      <c r="G292" s="44"/>
    </row>
    <row r="293" spans="1:12" s="13" customFormat="1" ht="18" outlineLevel="1" x14ac:dyDescent="0.25">
      <c r="A293" s="54"/>
      <c r="B293" s="54"/>
      <c r="C293" s="23"/>
      <c r="D293" s="23"/>
      <c r="F293" s="30">
        <f>F146*LN(F282/F147)*F143</f>
        <v>26.770124317630611</v>
      </c>
      <c r="H293" s="20" t="str">
        <f>[3]!EQS(F293,"Units= ; EqnPrefix=Valem  ; EqnNo= 0; Multiplication= 1; ShowWorking= 0; EqnStyle= 2; Eqp$H$54_2")</f>
        <v/>
      </c>
      <c r="J293" s="20"/>
    </row>
    <row r="294" spans="1:12" s="13" customFormat="1" ht="18" outlineLevel="1" x14ac:dyDescent="0.25">
      <c r="A294" s="54"/>
      <c r="B294" s="54"/>
      <c r="C294" s="23"/>
      <c r="D294" s="23"/>
      <c r="E294" s="17"/>
      <c r="F294" s="30"/>
      <c r="G294" s="45"/>
      <c r="H294" s="20" t="str">
        <f>[3]!EQS(F293,"Units= ; EqnPrefix=Valem  ; EqnNo= 0; Multiplication= 1; ShowWorking= 1; EqnStyle= 2; Eqp$H$54_$H$55_3")</f>
        <v/>
      </c>
      <c r="J294" s="20"/>
    </row>
    <row r="295" spans="1:12" s="13" customFormat="1" ht="18" outlineLevel="1" x14ac:dyDescent="0.25">
      <c r="A295" s="54"/>
      <c r="B295" s="54"/>
      <c r="D295" s="29"/>
      <c r="F295" s="30"/>
      <c r="G295" s="45"/>
      <c r="H295" s="20"/>
      <c r="I295" s="28"/>
      <c r="J295" s="20"/>
    </row>
    <row r="296" spans="1:12" s="13" customFormat="1" ht="18" outlineLevel="1" x14ac:dyDescent="0.25">
      <c r="A296" s="54"/>
      <c r="B296" s="54"/>
      <c r="C296" s="23"/>
      <c r="D296" s="23"/>
      <c r="F296" s="30">
        <f>1/2*F145*F293^2</f>
        <v>438.94172803860613</v>
      </c>
      <c r="H296" s="20" t="str">
        <f>[3]!EQS(F296,"Units= ; EqnPrefix=Valem  ; EqnNo= 0; Multiplication= 1; ShowWorking= 0; EqnStyle= 2; Eqp$G$21_0")</f>
        <v/>
      </c>
      <c r="J296" s="20"/>
    </row>
    <row r="297" spans="1:12" s="13" customFormat="1" ht="18" outlineLevel="1" x14ac:dyDescent="0.25">
      <c r="A297" s="54"/>
      <c r="B297" s="54"/>
      <c r="C297" s="23"/>
      <c r="D297" s="23"/>
      <c r="E297" s="25"/>
      <c r="F297" s="30"/>
      <c r="G297" s="47"/>
      <c r="H297" s="20" t="str">
        <f>[3]!EQS(F296,"Units= ; EqnPrefix=Valem  ; EqnNo= 0; Multiplication= 1; ShowWorking= 1; EqnStyle= 2; Eqp$G$21_$G$25_1")</f>
        <v/>
      </c>
      <c r="J297" s="20"/>
    </row>
    <row r="298" spans="1:12" s="13" customFormat="1" ht="18" outlineLevel="1" x14ac:dyDescent="0.25">
      <c r="A298" s="54"/>
      <c r="B298" s="54"/>
      <c r="D298" s="23"/>
      <c r="E298" s="25"/>
      <c r="F298" s="30"/>
      <c r="G298" s="47"/>
      <c r="I298" s="28"/>
      <c r="J298" s="20"/>
    </row>
    <row r="299" spans="1:12" s="13" customFormat="1" ht="18" outlineLevel="1" x14ac:dyDescent="0.25">
      <c r="A299" s="54"/>
      <c r="B299" s="54"/>
      <c r="C299" s="23"/>
      <c r="D299" s="23"/>
      <c r="F299" s="30">
        <f>(1+2.28/LN(F282/F147))^2</f>
        <v>1.7951352851913878</v>
      </c>
      <c r="G299" s="47"/>
      <c r="H299" s="20" t="str">
        <f>[3]!EQS(F299,"Units= ; EqnPrefix=Valem  ; EqnNo= 0; Multiplication= 1; ShowWorking= 0; EqnStyle= 2; Eqp$G$24_0")</f>
        <v/>
      </c>
      <c r="J299" s="20"/>
    </row>
    <row r="300" spans="1:12" s="13" customFormat="1" ht="18" outlineLevel="1" x14ac:dyDescent="0.25">
      <c r="A300" s="54"/>
      <c r="B300" s="54"/>
      <c r="C300" s="23"/>
      <c r="D300" s="23"/>
      <c r="E300" s="25"/>
      <c r="F300" s="30"/>
      <c r="G300" s="47"/>
      <c r="H300" s="20" t="str">
        <f>[3]!EQS(F299,"Units= ; EqnPrefix=Valem  ; EqnNo= 0; Multiplication= 1; ShowWorking= 1; EqnStyle= 2; Eqp$G$24_$G$28_1")</f>
        <v/>
      </c>
      <c r="J300" s="20"/>
    </row>
    <row r="301" spans="1:12" s="13" customFormat="1" ht="18" outlineLevel="1" x14ac:dyDescent="0.25">
      <c r="A301" s="54"/>
      <c r="B301" s="54"/>
      <c r="E301" s="25"/>
      <c r="F301" s="30"/>
      <c r="G301" s="47"/>
      <c r="J301" s="20"/>
    </row>
    <row r="302" spans="1:12" s="13" customFormat="1" ht="18" outlineLevel="1" x14ac:dyDescent="0.25">
      <c r="A302" s="54"/>
      <c r="B302" s="54"/>
      <c r="C302" s="23"/>
      <c r="D302" s="23"/>
      <c r="F302" s="13">
        <v>1.1499999999999999</v>
      </c>
      <c r="G302" s="44"/>
      <c r="J302" s="20"/>
    </row>
    <row r="303" spans="1:12" s="13" customFormat="1" ht="18" outlineLevel="1" x14ac:dyDescent="0.25">
      <c r="A303" s="54"/>
      <c r="B303" s="54"/>
      <c r="D303" s="23"/>
      <c r="E303" s="20"/>
      <c r="F303" s="37"/>
      <c r="G303" s="44"/>
      <c r="H303" s="20"/>
      <c r="I303" s="28"/>
      <c r="J303" s="20"/>
    </row>
    <row r="304" spans="1:12" s="13" customFormat="1" ht="18" outlineLevel="1" x14ac:dyDescent="0.25">
      <c r="A304" s="54"/>
      <c r="B304" s="54"/>
      <c r="C304" s="23"/>
      <c r="D304" s="23"/>
      <c r="F304" s="96">
        <v>1.5</v>
      </c>
      <c r="G304" s="44"/>
      <c r="H304" s="20"/>
      <c r="J304" s="13">
        <v>1.5</v>
      </c>
      <c r="K304" s="13">
        <v>1.53</v>
      </c>
      <c r="L304" s="13">
        <v>1.75</v>
      </c>
    </row>
    <row r="305" spans="1:12" s="13" customFormat="1" ht="18" outlineLevel="1" x14ac:dyDescent="0.25">
      <c r="A305" s="54"/>
      <c r="B305" s="54"/>
      <c r="C305" s="23"/>
      <c r="D305" s="23"/>
      <c r="E305" s="20"/>
      <c r="F305" s="37"/>
      <c r="G305" s="44"/>
      <c r="H305" s="20"/>
      <c r="J305" s="13">
        <v>1.48</v>
      </c>
      <c r="K305" s="34">
        <f>(K304-J304)/(L304-J304)*(L305-J305)+J305</f>
        <v>1.504</v>
      </c>
      <c r="L305" s="13">
        <v>1.68</v>
      </c>
    </row>
    <row r="306" spans="1:12" s="13" customFormat="1" ht="18" outlineLevel="1" x14ac:dyDescent="0.25">
      <c r="A306" s="54"/>
      <c r="B306" s="54"/>
      <c r="D306" s="23"/>
      <c r="E306" s="20"/>
      <c r="F306" s="37"/>
      <c r="G306" s="44"/>
      <c r="H306" s="20"/>
      <c r="J306" s="28"/>
      <c r="K306" s="20"/>
    </row>
    <row r="307" spans="1:12" s="13" customFormat="1" ht="18" outlineLevel="1" x14ac:dyDescent="0.25">
      <c r="A307" s="54"/>
      <c r="B307" s="54"/>
      <c r="C307" s="43"/>
      <c r="D307" s="23"/>
      <c r="F307" s="96">
        <v>1.5</v>
      </c>
      <c r="G307" s="44"/>
      <c r="H307" s="20"/>
      <c r="J307" s="13">
        <v>1.75</v>
      </c>
      <c r="K307" s="13">
        <v>1.53</v>
      </c>
      <c r="L307" s="13">
        <v>2</v>
      </c>
    </row>
    <row r="308" spans="1:12" s="13" customFormat="1" ht="18" outlineLevel="1" x14ac:dyDescent="0.25">
      <c r="A308" s="54"/>
      <c r="B308" s="54"/>
      <c r="C308" s="23"/>
      <c r="D308" s="23"/>
      <c r="E308" s="20"/>
      <c r="F308" s="37"/>
      <c r="G308" s="44"/>
      <c r="H308" s="20"/>
      <c r="J308" s="13">
        <v>1.68</v>
      </c>
      <c r="K308" s="34">
        <f>(K307-J307)/(L307-J307)*(L308-J308)+J308</f>
        <v>1.504</v>
      </c>
      <c r="L308" s="13">
        <v>1.88</v>
      </c>
    </row>
    <row r="309" spans="1:12" s="13" customFormat="1" ht="18" outlineLevel="1" x14ac:dyDescent="0.25">
      <c r="A309" s="54"/>
      <c r="B309" s="54"/>
      <c r="D309" s="23"/>
      <c r="E309" s="20"/>
      <c r="F309" s="20"/>
      <c r="G309" s="44"/>
      <c r="H309" s="20"/>
      <c r="I309" s="28"/>
      <c r="J309" s="20"/>
    </row>
    <row r="310" spans="1:12" s="13" customFormat="1" ht="18" outlineLevel="1" x14ac:dyDescent="0.25">
      <c r="A310" s="54"/>
      <c r="B310" s="54"/>
      <c r="C310" s="23"/>
      <c r="D310" s="23"/>
      <c r="F310" s="91">
        <f>COS(RADIANS(90))^2</f>
        <v>3.7524718414124473E-33</v>
      </c>
      <c r="G310" s="44"/>
      <c r="H310" s="20" t="str">
        <f>[3]!EQS(F310,"Units= ; EqnPrefix=Valem  ; EqnNo= 0; Multiplication= 1; ShowWorking= 0; EqnStyle= 2; Eqp$H$75_2")</f>
        <v/>
      </c>
      <c r="J310" s="20"/>
    </row>
    <row r="311" spans="1:12" s="13" customFormat="1" ht="18" outlineLevel="1" x14ac:dyDescent="0.25">
      <c r="A311" s="54"/>
      <c r="B311" s="54"/>
      <c r="D311" s="23"/>
      <c r="E311" s="42"/>
      <c r="F311" s="40"/>
      <c r="G311" s="44"/>
      <c r="H311" s="20"/>
      <c r="I311" s="28"/>
      <c r="J311" s="20"/>
    </row>
    <row r="312" spans="1:12" s="13" customFormat="1" ht="18" outlineLevel="1" x14ac:dyDescent="0.25">
      <c r="A312" s="54"/>
      <c r="B312" s="54"/>
      <c r="C312" s="23"/>
      <c r="D312" s="23"/>
      <c r="F312" s="91">
        <f>COS(RADIANS(0))^2</f>
        <v>1</v>
      </c>
      <c r="G312" s="44"/>
      <c r="H312" s="20" t="str">
        <f>[3]!EQS(F312,"Units= ; EqnPrefix=Valem  ; EqnNo= 0; Multiplication= 1; ShowWorking= 0; EqnStyle= 2; Eqp$H$75_2")</f>
        <v/>
      </c>
      <c r="J312" s="20"/>
    </row>
    <row r="313" spans="1:12" s="13" customFormat="1" ht="18" x14ac:dyDescent="0.25">
      <c r="A313" s="54"/>
      <c r="B313" s="54"/>
      <c r="D313" s="23"/>
      <c r="G313" s="44"/>
    </row>
    <row r="314" spans="1:12" s="13" customFormat="1" ht="18" x14ac:dyDescent="0.25">
      <c r="A314" s="54"/>
      <c r="B314" s="54"/>
      <c r="C314" s="23"/>
      <c r="D314" s="23"/>
      <c r="F314" s="34">
        <f>F296*F299*F302*F304*F284*F310</f>
        <v>1.7851661296848244E-30</v>
      </c>
      <c r="H314" s="20" t="str">
        <f>[3]!EQS(F314,"Units= ; EqnPrefix=Valem  ; EqnNo= 0; Multiplication= 1; ShowWorking= 0; EqnStyle= 2; Eqp$G$39_0")</f>
        <v/>
      </c>
    </row>
    <row r="315" spans="1:12" s="13" customFormat="1" ht="18" x14ac:dyDescent="0.25">
      <c r="A315" s="54"/>
      <c r="B315" s="54"/>
      <c r="C315" s="23"/>
      <c r="D315" s="23"/>
      <c r="G315" s="44"/>
      <c r="H315" s="13" t="str">
        <f>[3]!EQS(F314,"Units= ; EqnPrefix=Valem  ; EqnNo= 0; Multiplication= 1; ShowWorking= 1; EqnStyle= 2; Eqp$G$39_$G$40_1")</f>
        <v/>
      </c>
    </row>
    <row r="316" spans="1:12" s="13" customFormat="1" ht="18" x14ac:dyDescent="0.25">
      <c r="A316" s="54"/>
      <c r="B316" s="54"/>
      <c r="D316" s="23"/>
      <c r="G316" s="44"/>
    </row>
    <row r="317" spans="1:12" s="13" customFormat="1" ht="18" x14ac:dyDescent="0.25">
      <c r="A317" s="54"/>
      <c r="B317" s="54"/>
      <c r="C317" s="23"/>
      <c r="D317" s="23"/>
      <c r="F317" s="34">
        <f>F296*F299*F302*F307*F283*F312</f>
        <v>366.99226946552619</v>
      </c>
      <c r="H317" s="20" t="str">
        <f>[3]!EQS(F317,"Units= ; EqnPrefix=Valem  ; EqnNo= 0; Multiplication= 1; ShowWorking= 0; EqnStyle= 2; Eqp$G$39_0")</f>
        <v/>
      </c>
    </row>
    <row r="318" spans="1:12" s="13" customFormat="1" ht="18" x14ac:dyDescent="0.25">
      <c r="A318" s="54"/>
      <c r="B318" s="54"/>
      <c r="C318" s="23"/>
      <c r="D318" s="23"/>
      <c r="G318" s="44"/>
      <c r="H318" s="13" t="str">
        <f>[3]!EQS(F317,"Units= ; EqnPrefix=Valem  ; EqnNo= 0; Multiplication= 1; ShowWorking= 1; EqnStyle= 2; Eqp$G$39_$G$40_1")</f>
        <v/>
      </c>
    </row>
    <row r="321" spans="1:10" s="13" customFormat="1" ht="20.25" x14ac:dyDescent="0.3">
      <c r="A321" s="89"/>
      <c r="C321" s="23"/>
      <c r="D321" s="23"/>
      <c r="E321" s="51"/>
      <c r="F321" s="53"/>
      <c r="G321" s="52"/>
      <c r="H321" s="20"/>
      <c r="I321" s="19"/>
    </row>
    <row r="322" spans="1:10" s="13" customFormat="1" ht="20.25" x14ac:dyDescent="0.3">
      <c r="A322" s="89"/>
      <c r="B322" s="54"/>
      <c r="D322" s="23"/>
      <c r="E322" s="51"/>
      <c r="F322" s="53"/>
      <c r="G322" s="52"/>
      <c r="H322" s="20"/>
      <c r="I322" s="19"/>
    </row>
    <row r="323" spans="1:10" s="13" customFormat="1" ht="20.25" x14ac:dyDescent="0.3">
      <c r="A323" s="89"/>
      <c r="B323" s="54"/>
      <c r="C323" s="69"/>
      <c r="E323" s="51"/>
      <c r="F323" s="53"/>
      <c r="G323" s="52"/>
      <c r="H323" s="20"/>
      <c r="I323" s="19"/>
    </row>
    <row r="324" spans="1:10" s="13" customFormat="1" ht="20.25" x14ac:dyDescent="0.3">
      <c r="A324" s="89"/>
      <c r="B324" s="54"/>
      <c r="C324" s="69"/>
      <c r="D324" s="23"/>
      <c r="F324" s="84">
        <f>Jäitekoormus!F76</f>
        <v>11.428248816311019</v>
      </c>
      <c r="H324" s="20"/>
    </row>
    <row r="325" spans="1:10" s="13" customFormat="1" ht="20.25" x14ac:dyDescent="0.3">
      <c r="A325" s="89"/>
      <c r="B325" s="54"/>
      <c r="C325" s="69"/>
      <c r="D325" s="23"/>
      <c r="F325" s="85">
        <f>Jäitekoormus!F71</f>
        <v>2.01E-2</v>
      </c>
      <c r="H325" s="20"/>
    </row>
    <row r="326" spans="1:10" s="13" customFormat="1" ht="20.25" x14ac:dyDescent="0.3">
      <c r="A326" s="89"/>
      <c r="B326" s="54"/>
      <c r="C326" s="69"/>
      <c r="D326" s="23"/>
      <c r="F326" s="53">
        <v>9.81</v>
      </c>
      <c r="H326" s="20"/>
    </row>
    <row r="327" spans="1:10" s="13" customFormat="1" ht="20.25" x14ac:dyDescent="0.3">
      <c r="A327" s="89"/>
      <c r="B327" s="54"/>
      <c r="C327" s="69"/>
      <c r="D327" s="23"/>
      <c r="F327" s="13">
        <v>3.1415999999999999</v>
      </c>
      <c r="G327" s="44"/>
    </row>
    <row r="328" spans="1:10" s="13" customFormat="1" ht="20.25" x14ac:dyDescent="0.3">
      <c r="A328" s="89"/>
      <c r="B328" s="54"/>
      <c r="C328" s="69"/>
      <c r="D328" s="23"/>
      <c r="F328" s="53">
        <v>900</v>
      </c>
      <c r="H328" s="20"/>
      <c r="I328" s="19"/>
    </row>
    <row r="329" spans="1:10" s="13" customFormat="1" ht="20.25" x14ac:dyDescent="0.3">
      <c r="A329" s="89"/>
      <c r="B329" s="54"/>
      <c r="C329" s="69"/>
      <c r="D329" s="23"/>
      <c r="F329" s="84">
        <f>'TUULEKOORMUS 2'!F240*'TUULEKOORMUS 2'!F243*'TUULEKOORMUS 2'!F246*1.2</f>
        <v>1056.148542760023</v>
      </c>
      <c r="H329" s="20"/>
      <c r="I329" s="19"/>
    </row>
    <row r="330" spans="1:10" s="13" customFormat="1" ht="20.25" x14ac:dyDescent="0.3">
      <c r="A330" s="89"/>
      <c r="B330" s="54"/>
      <c r="C330" s="69"/>
      <c r="D330" s="23"/>
      <c r="F330" s="86">
        <v>1</v>
      </c>
      <c r="G330" s="72"/>
      <c r="H330" s="20"/>
      <c r="I330" s="19"/>
    </row>
    <row r="331" spans="1:10" s="13" customFormat="1" ht="20.25" x14ac:dyDescent="0.3">
      <c r="A331" s="89"/>
      <c r="B331" s="54"/>
      <c r="C331" s="69"/>
      <c r="D331" s="23"/>
      <c r="E331" s="51"/>
      <c r="G331" s="52"/>
      <c r="H331" s="20"/>
      <c r="I331" s="19"/>
    </row>
    <row r="332" spans="1:10" s="13" customFormat="1" ht="20.25" x14ac:dyDescent="0.3">
      <c r="A332" s="89"/>
      <c r="B332" s="54"/>
      <c r="C332" s="23"/>
      <c r="E332" s="51"/>
      <c r="F332" s="53"/>
      <c r="G332" s="52"/>
      <c r="H332" s="20"/>
      <c r="I332" s="19"/>
    </row>
    <row r="333" spans="1:10" s="13" customFormat="1" ht="20.25" x14ac:dyDescent="0.3">
      <c r="A333" s="89"/>
      <c r="B333" s="54"/>
      <c r="C333" s="23"/>
      <c r="D333" s="69"/>
      <c r="F333" s="53">
        <f>1.5</f>
        <v>1.5</v>
      </c>
      <c r="G333" s="52"/>
      <c r="H333" s="20"/>
      <c r="I333" s="19"/>
    </row>
    <row r="334" spans="1:10" s="13" customFormat="1" ht="20.25" x14ac:dyDescent="0.3">
      <c r="A334" s="89"/>
      <c r="B334" s="54"/>
      <c r="C334" s="23"/>
      <c r="D334" s="23"/>
      <c r="F334" s="53">
        <f>F333*F324</f>
        <v>17.142373224466528</v>
      </c>
      <c r="H334" s="20"/>
      <c r="I334" s="19"/>
    </row>
    <row r="335" spans="1:10" s="13" customFormat="1" ht="20.25" x14ac:dyDescent="0.3">
      <c r="A335" s="89"/>
      <c r="B335" s="54"/>
      <c r="C335" s="23"/>
      <c r="E335" s="71"/>
      <c r="F335" s="53"/>
      <c r="G335" s="72"/>
      <c r="H335" s="20"/>
      <c r="I335" s="19"/>
    </row>
    <row r="336" spans="1:10" s="13" customFormat="1" ht="20.25" x14ac:dyDescent="0.3">
      <c r="A336" s="89"/>
      <c r="B336" s="54"/>
      <c r="C336" s="23"/>
      <c r="D336" s="23"/>
      <c r="F336" s="66">
        <f>SQRT(F325^2+((4*F334)/(F326*F327*F328)))</f>
        <v>5.3629508846544494E-2</v>
      </c>
      <c r="H336" s="20" t="str">
        <f>[3]!EQS(F336,"Units= ; EqnPrefix=Valem  ; EqnNo= 0; Multiplication= 1; ShowWorking= 0; EqnStyle= 2; Eqp$H$303_2")</f>
        <v/>
      </c>
    </row>
    <row r="337" spans="1:9" s="13" customFormat="1" ht="20.25" x14ac:dyDescent="0.3">
      <c r="A337" s="89"/>
      <c r="B337" s="54"/>
      <c r="C337" s="23"/>
      <c r="E337" s="71"/>
      <c r="F337" s="66"/>
      <c r="G337" s="72"/>
      <c r="H337" s="20"/>
      <c r="I337" s="19"/>
    </row>
    <row r="338" spans="1:9" s="13" customFormat="1" ht="20.25" x14ac:dyDescent="0.3">
      <c r="A338" s="89"/>
      <c r="B338" s="54"/>
      <c r="C338" s="23"/>
      <c r="D338" s="23"/>
      <c r="F338" s="53">
        <f>F329*F336</f>
        <v>56.640727617213727</v>
      </c>
      <c r="H338" s="20" t="str">
        <f>[3]!EQS(F338,"Units= ; EqnPrefix=Valem  ; EqnNo= 0; Multiplication= 1; ShowWorking= 0; EqnStyle= 2; Eqp$H$303_2")</f>
        <v/>
      </c>
    </row>
    <row r="339" spans="1:9" s="13" customFormat="1" ht="20.25" x14ac:dyDescent="0.3">
      <c r="A339" s="89"/>
      <c r="B339" s="54"/>
      <c r="C339" s="23"/>
      <c r="F339" s="53"/>
      <c r="G339" s="72"/>
      <c r="H339" s="20"/>
      <c r="I339" s="19"/>
    </row>
    <row r="340" spans="1:9" s="13" customFormat="1" ht="20.25" x14ac:dyDescent="0.3">
      <c r="A340" s="89"/>
      <c r="B340" s="54"/>
      <c r="C340" s="23"/>
      <c r="D340" s="23"/>
      <c r="F340" s="53">
        <f>F338*F330</f>
        <v>56.640727617213727</v>
      </c>
      <c r="H340" s="20" t="str">
        <f>[3]!EQS(F340,"Units= ; EqnPrefix=Valem  ; EqnNo= 0; Multiplication= 1; ShowWorking= 0; EqnStyle= 2; Eqp$H$303_2")</f>
        <v/>
      </c>
    </row>
    <row r="341" spans="1:9" s="13" customFormat="1" ht="20.25" x14ac:dyDescent="0.3">
      <c r="A341" s="89"/>
      <c r="B341" s="54"/>
      <c r="C341" s="23"/>
      <c r="D341" s="23"/>
      <c r="F341" s="84">
        <f>'TUULEKOORMUS 3'!F255</f>
        <v>0.50000000000000011</v>
      </c>
      <c r="G341" s="52"/>
      <c r="H341" s="20"/>
      <c r="I341" s="70"/>
    </row>
    <row r="342" spans="1:9" s="13" customFormat="1" ht="20.25" x14ac:dyDescent="0.3">
      <c r="A342" s="89"/>
      <c r="B342" s="54"/>
      <c r="C342" s="24"/>
      <c r="D342" s="24"/>
      <c r="F342" s="34">
        <f>F340*F341</f>
        <v>28.320363808606871</v>
      </c>
      <c r="G342" s="52"/>
      <c r="H342" s="20"/>
      <c r="I342" s="70"/>
    </row>
    <row r="343" spans="1:9" s="13" customFormat="1" ht="20.25" x14ac:dyDescent="0.3">
      <c r="A343" s="89"/>
      <c r="B343" s="54"/>
      <c r="C343" s="23"/>
      <c r="D343" s="23"/>
      <c r="F343" s="84">
        <f>'TUULEKOORMUS 3'!F257</f>
        <v>0.50000000000000011</v>
      </c>
      <c r="G343" s="52"/>
      <c r="H343" s="20"/>
      <c r="I343" s="70"/>
    </row>
    <row r="344" spans="1:9" s="13" customFormat="1" ht="20.25" x14ac:dyDescent="0.3">
      <c r="A344" s="89"/>
      <c r="B344" s="54"/>
      <c r="C344" s="23"/>
      <c r="D344" s="23"/>
      <c r="F344" s="34">
        <f>F343*F340</f>
        <v>28.320363808606871</v>
      </c>
      <c r="G344" s="52"/>
      <c r="H344" s="20"/>
      <c r="I344" s="70"/>
    </row>
    <row r="345" spans="1:9" s="13" customFormat="1" ht="20.25" x14ac:dyDescent="0.3">
      <c r="A345" s="89"/>
      <c r="B345" s="54"/>
      <c r="C345" s="23"/>
      <c r="D345" s="23"/>
      <c r="E345" s="71"/>
      <c r="F345" s="53"/>
      <c r="G345" s="52"/>
      <c r="H345" s="20"/>
      <c r="I345" s="70"/>
    </row>
    <row r="346" spans="1:9" s="13" customFormat="1" ht="20.25" x14ac:dyDescent="0.3">
      <c r="A346" s="89"/>
      <c r="B346" s="54"/>
      <c r="C346" s="23"/>
      <c r="D346" s="23"/>
      <c r="E346" s="51"/>
      <c r="F346" s="53"/>
      <c r="G346" s="52"/>
      <c r="H346" s="20"/>
      <c r="I346" s="19"/>
    </row>
    <row r="347" spans="1:9" s="13" customFormat="1" ht="20.25" x14ac:dyDescent="0.3">
      <c r="A347" s="89"/>
      <c r="B347" s="54"/>
      <c r="C347" s="23"/>
      <c r="E347" s="51"/>
      <c r="F347" s="53"/>
      <c r="G347" s="52"/>
      <c r="H347" s="20"/>
      <c r="I347" s="19"/>
    </row>
    <row r="348" spans="1:9" s="13" customFormat="1" ht="20.25" x14ac:dyDescent="0.3">
      <c r="A348" s="89"/>
      <c r="B348" s="54"/>
      <c r="C348" s="23"/>
      <c r="D348" s="69"/>
      <c r="F348" s="53">
        <v>0.35</v>
      </c>
      <c r="G348" s="52"/>
      <c r="H348" s="20"/>
      <c r="I348" s="19"/>
    </row>
    <row r="349" spans="1:9" s="13" customFormat="1" ht="20.25" x14ac:dyDescent="0.3">
      <c r="A349" s="89"/>
      <c r="B349" s="54"/>
      <c r="C349" s="23"/>
      <c r="D349" s="69"/>
      <c r="F349" s="53">
        <f>F348*F324</f>
        <v>3.9998870857088562</v>
      </c>
      <c r="H349" s="20"/>
      <c r="I349" s="19"/>
    </row>
    <row r="350" spans="1:9" s="13" customFormat="1" ht="20.25" x14ac:dyDescent="0.3">
      <c r="A350" s="89"/>
      <c r="B350" s="54"/>
      <c r="C350" s="23"/>
      <c r="D350" s="69"/>
      <c r="F350" s="66">
        <f>SQRT(F325^2+(4*F349)/(F326*F327*F328))</f>
        <v>3.1318311754121933E-2</v>
      </c>
      <c r="H350" s="20"/>
      <c r="I350" s="19"/>
    </row>
    <row r="351" spans="1:9" s="13" customFormat="1" ht="20.25" x14ac:dyDescent="0.3">
      <c r="A351" s="89"/>
      <c r="B351" s="54"/>
      <c r="C351" s="23"/>
      <c r="E351" s="71"/>
      <c r="F351" s="66"/>
      <c r="G351" s="72"/>
      <c r="H351" s="20"/>
      <c r="I351" s="19"/>
    </row>
    <row r="352" spans="1:9" s="13" customFormat="1" ht="20.25" x14ac:dyDescent="0.3">
      <c r="A352" s="89"/>
      <c r="B352" s="54"/>
      <c r="C352" s="23"/>
      <c r="D352" s="23"/>
      <c r="F352" s="53">
        <f>F329*F350</f>
        <v>33.076789320819977</v>
      </c>
      <c r="H352" s="20" t="str">
        <f>[3]!EQS(F352,"Units= ; EqnPrefix=Valem  ; EqnNo= 0; Multiplication= 1; ShowWorking= 0; EqnStyle= 2; Eqp$H$303_2")</f>
        <v/>
      </c>
    </row>
    <row r="353" spans="1:9" s="13" customFormat="1" ht="20.25" x14ac:dyDescent="0.3">
      <c r="A353" s="89"/>
      <c r="B353" s="54"/>
      <c r="C353" s="23"/>
      <c r="F353" s="53"/>
      <c r="G353" s="72"/>
      <c r="H353" s="20"/>
      <c r="I353" s="19"/>
    </row>
    <row r="354" spans="1:9" s="13" customFormat="1" ht="20.25" x14ac:dyDescent="0.3">
      <c r="A354" s="89"/>
      <c r="B354" s="54"/>
      <c r="C354" s="23"/>
      <c r="D354" s="23"/>
      <c r="F354" s="53">
        <f>F352*F330</f>
        <v>33.076789320819977</v>
      </c>
      <c r="H354" s="20" t="str">
        <f>[3]!EQS(F354,"Units= ; EqnPrefix=Valem  ; EqnNo= 0; Multiplication= 1; ShowWorking= 0; EqnStyle= 2; Eqp$H$303_2")</f>
        <v/>
      </c>
    </row>
    <row r="355" spans="1:9" s="13" customFormat="1" ht="20.25" x14ac:dyDescent="0.3">
      <c r="A355" s="89"/>
      <c r="B355" s="54"/>
      <c r="C355" s="23"/>
      <c r="D355" s="23"/>
      <c r="F355" s="84">
        <f>'TUULEKOORMUS 3'!F255</f>
        <v>0.50000000000000011</v>
      </c>
      <c r="G355" s="72"/>
      <c r="H355" s="20"/>
      <c r="I355" s="70"/>
    </row>
    <row r="356" spans="1:9" s="13" customFormat="1" ht="20.25" x14ac:dyDescent="0.3">
      <c r="A356" s="89"/>
      <c r="B356" s="54"/>
      <c r="C356" s="23"/>
      <c r="D356" s="23"/>
      <c r="F356" s="34">
        <f>F354*F355</f>
        <v>16.538394660409992</v>
      </c>
      <c r="H356" s="20"/>
      <c r="I356" s="70"/>
    </row>
    <row r="357" spans="1:9" s="13" customFormat="1" ht="20.25" x14ac:dyDescent="0.3">
      <c r="A357" s="89"/>
      <c r="B357" s="54"/>
      <c r="C357" s="23"/>
      <c r="D357" s="23"/>
      <c r="F357" s="84">
        <f>'TUULEKOORMUS 3'!F257</f>
        <v>0.50000000000000011</v>
      </c>
      <c r="G357" s="72"/>
      <c r="H357" s="20"/>
      <c r="I357" s="70"/>
    </row>
    <row r="358" spans="1:9" s="13" customFormat="1" ht="20.25" x14ac:dyDescent="0.3">
      <c r="A358" s="89"/>
      <c r="B358" s="54"/>
      <c r="C358" s="23"/>
      <c r="D358" s="23"/>
      <c r="F358" s="34">
        <f>F357*F354</f>
        <v>16.538394660409992</v>
      </c>
      <c r="H358" s="20"/>
      <c r="I358" s="70"/>
    </row>
  </sheetData>
  <pageMargins left="0.7" right="0.7" top="0.75" bottom="0.75" header="0.3" footer="0.3"/>
  <pageSetup paperSize="9" orientation="portrait" horizontalDpi="300" verticalDpi="0" copies="0" r:id="rId1"/>
  <customProperties>
    <customPr name="SSCSheetTrackingNo" r:id="rId2"/>
  </customPropertie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54"/>
  <sheetViews>
    <sheetView topLeftCell="A2" workbookViewId="0">
      <selection activeCell="T14" sqref="T14"/>
    </sheetView>
  </sheetViews>
  <sheetFormatPr defaultRowHeight="15" x14ac:dyDescent="0.25"/>
  <cols>
    <col min="1" max="1" width="3.5" style="63" customWidth="1"/>
    <col min="2" max="2" width="14.75" style="64" customWidth="1"/>
    <col min="3" max="3" width="6.5" style="62" customWidth="1"/>
    <col min="4" max="4" width="7.625" style="62" bestFit="1" customWidth="1"/>
    <col min="5" max="8" width="6.5" style="62" customWidth="1"/>
    <col min="9" max="15" width="11.625" style="62" customWidth="1"/>
    <col min="16" max="18" width="9" style="62"/>
    <col min="19" max="19" width="14.25" style="62" bestFit="1" customWidth="1"/>
    <col min="20" max="20" width="14" style="62" bestFit="1" customWidth="1"/>
    <col min="21" max="16384" width="9" style="62"/>
  </cols>
  <sheetData>
    <row r="2" spans="1:20" ht="15.75" thickBot="1" x14ac:dyDescent="0.3"/>
    <row r="3" spans="1:20" x14ac:dyDescent="0.25">
      <c r="D3" s="109"/>
      <c r="F3" s="98"/>
      <c r="G3" s="100"/>
      <c r="J3" s="98"/>
      <c r="K3" s="100"/>
      <c r="M3" s="98"/>
      <c r="N3" s="100"/>
      <c r="P3" s="98"/>
      <c r="Q3" s="98"/>
      <c r="R3" s="100"/>
    </row>
    <row r="4" spans="1:20" x14ac:dyDescent="0.25">
      <c r="H4" s="115"/>
      <c r="O4" s="115">
        <v>-40</v>
      </c>
      <c r="P4" s="102">
        <v>-15</v>
      </c>
      <c r="Q4" s="102">
        <v>-5</v>
      </c>
      <c r="S4" s="110"/>
      <c r="T4" s="110"/>
    </row>
    <row r="5" spans="1:20" x14ac:dyDescent="0.25">
      <c r="O5" s="115"/>
      <c r="P5" s="102"/>
      <c r="Q5" s="102"/>
      <c r="R5" s="104"/>
      <c r="S5" s="110"/>
      <c r="T5" s="110"/>
    </row>
    <row r="6" spans="1:20" x14ac:dyDescent="0.25">
      <c r="D6" s="110"/>
      <c r="E6" s="115"/>
      <c r="F6" s="102"/>
      <c r="G6" s="104"/>
      <c r="H6" s="115"/>
      <c r="I6" s="115"/>
      <c r="J6" s="102"/>
      <c r="K6" s="104"/>
      <c r="L6" s="102"/>
      <c r="M6" s="102"/>
      <c r="N6" s="104"/>
      <c r="O6" s="115"/>
      <c r="P6" s="102"/>
      <c r="Q6" s="102"/>
      <c r="R6" s="104"/>
      <c r="S6" s="110"/>
      <c r="T6" s="110"/>
    </row>
    <row r="7" spans="1:20" ht="15.75" thickBot="1" x14ac:dyDescent="0.3">
      <c r="D7" s="110"/>
      <c r="E7" s="115"/>
      <c r="F7" s="102"/>
      <c r="G7" s="104"/>
      <c r="H7" s="120"/>
      <c r="I7" s="120"/>
      <c r="J7" s="106"/>
      <c r="K7" s="108"/>
      <c r="L7" s="106"/>
      <c r="M7" s="106"/>
      <c r="N7" s="108"/>
      <c r="O7" s="120"/>
      <c r="P7" s="106"/>
      <c r="Q7" s="106"/>
      <c r="R7" s="108"/>
      <c r="S7" s="111"/>
      <c r="T7" s="111"/>
    </row>
    <row r="8" spans="1:20" ht="15.75" thickBot="1" x14ac:dyDescent="0.3">
      <c r="B8" s="97"/>
      <c r="C8" s="98">
        <f>'TUULEKOORMUS 1'!G40</f>
        <v>0</v>
      </c>
      <c r="D8" s="109"/>
      <c r="E8" s="116">
        <f>'TUULEKOORMUS 1'!F40</f>
        <v>216.38914697938665</v>
      </c>
      <c r="F8" s="99">
        <f>$E8</f>
        <v>216.38914697938665</v>
      </c>
      <c r="G8" s="129">
        <f>$E8</f>
        <v>216.38914697938665</v>
      </c>
      <c r="H8" s="134">
        <f>Jäitekoormus!F22</f>
        <v>89.868273784883485</v>
      </c>
      <c r="I8" s="143">
        <f>'Tuul 1+jää'!F178</f>
        <v>266.43107238692852</v>
      </c>
      <c r="J8" s="134">
        <f>'Tuul 2+jää'!F175</f>
        <v>266.43107238692852</v>
      </c>
      <c r="K8" s="144">
        <f>'Tuul 3+jää'!F174</f>
        <v>266.43107238692852</v>
      </c>
      <c r="L8" s="134">
        <f>I8</f>
        <v>266.43107238692852</v>
      </c>
      <c r="M8" s="134">
        <f t="shared" ref="M8:N12" si="0">J8</f>
        <v>266.43107238692852</v>
      </c>
      <c r="N8" s="129">
        <f t="shared" si="0"/>
        <v>266.43107238692852</v>
      </c>
    </row>
    <row r="9" spans="1:20" hidden="1" x14ac:dyDescent="0.25">
      <c r="A9" s="101"/>
      <c r="D9" s="110"/>
      <c r="E9" s="117">
        <f>'TUULEKOORMUS 1'!F43</f>
        <v>215.86203389302534</v>
      </c>
      <c r="F9" s="103">
        <f t="shared" ref="F9:G10" si="1">$E9</f>
        <v>215.86203389302534</v>
      </c>
      <c r="G9" s="130">
        <f t="shared" si="1"/>
        <v>215.86203389302534</v>
      </c>
      <c r="H9" s="135"/>
      <c r="I9" s="145">
        <f>'Tuul 1+jää'!F181</f>
        <v>265.78205968537281</v>
      </c>
      <c r="J9" s="146">
        <f>'Tuul 2+jää'!F178</f>
        <v>188.39521800360109</v>
      </c>
      <c r="K9" s="147">
        <f>'Tuul 3+jää'!F177</f>
        <v>266.43107238692852</v>
      </c>
      <c r="L9" s="146">
        <f t="shared" ref="L9:L12" si="2">I9</f>
        <v>265.78205968537281</v>
      </c>
      <c r="M9" s="146">
        <f t="shared" si="0"/>
        <v>188.39521800360109</v>
      </c>
      <c r="N9" s="130">
        <f t="shared" si="0"/>
        <v>266.43107238692852</v>
      </c>
    </row>
    <row r="10" spans="1:20" ht="15.75" hidden="1" thickBot="1" x14ac:dyDescent="0.3">
      <c r="A10" s="105"/>
      <c r="D10" s="111"/>
      <c r="E10" s="118">
        <f>'TUULEKOORMUS 1'!F44</f>
        <v>15.094543849781257</v>
      </c>
      <c r="F10" s="107">
        <f t="shared" si="1"/>
        <v>15.094543849781257</v>
      </c>
      <c r="G10" s="131">
        <f t="shared" si="1"/>
        <v>15.094543849781257</v>
      </c>
      <c r="H10" s="136"/>
      <c r="I10" s="148">
        <f>'Tuul 1+jää'!F182</f>
        <v>18.585292105577928</v>
      </c>
      <c r="J10" s="149">
        <f>'Tuul 2+jää'!F179</f>
        <v>188.39521800360106</v>
      </c>
      <c r="K10" s="150">
        <f>'Tuul 3+jää'!F178</f>
        <v>0</v>
      </c>
      <c r="L10" s="149">
        <f t="shared" si="2"/>
        <v>18.585292105577928</v>
      </c>
      <c r="M10" s="149">
        <f t="shared" si="0"/>
        <v>188.39521800360106</v>
      </c>
      <c r="N10" s="131">
        <f t="shared" si="0"/>
        <v>0</v>
      </c>
    </row>
    <row r="11" spans="1:20" x14ac:dyDescent="0.25">
      <c r="B11" s="97"/>
      <c r="D11" s="109"/>
      <c r="E11" s="119"/>
      <c r="F11" s="98"/>
      <c r="G11" s="132"/>
      <c r="H11" s="134">
        <f>Jäitekoormus!F33</f>
        <v>77.075955878754428</v>
      </c>
      <c r="I11" s="151"/>
      <c r="J11" s="137"/>
      <c r="K11" s="152"/>
      <c r="L11" s="134"/>
      <c r="M11" s="134"/>
      <c r="N11" s="129"/>
    </row>
    <row r="12" spans="1:20" ht="15.75" thickBot="1" x14ac:dyDescent="0.3">
      <c r="A12" s="105"/>
      <c r="D12" s="111"/>
      <c r="E12" s="118">
        <f>'TUULEKOORMUS 1'!F79</f>
        <v>1.8882768045303107</v>
      </c>
      <c r="F12" s="107">
        <f>'TUULEKOORMUS 2'!F79</f>
        <v>194.02899120302681</v>
      </c>
      <c r="G12" s="131">
        <f>'TUULEKOORMUS 3'!F79</f>
        <v>1.4561766518140426E-30</v>
      </c>
      <c r="H12" s="136"/>
      <c r="I12" s="148">
        <f>'Tuul 1+jää'!F210</f>
        <v>1.8828814662393241</v>
      </c>
      <c r="J12" s="149">
        <f>'Tuul 2+jää'!F207</f>
        <v>193.4745957651929</v>
      </c>
      <c r="K12" s="150">
        <f>'Tuul 3+jää'!F206</f>
        <v>1.4520159452750842E-30</v>
      </c>
      <c r="L12" s="149">
        <f t="shared" si="2"/>
        <v>1.8828814662393241</v>
      </c>
      <c r="M12" s="149">
        <f t="shared" si="0"/>
        <v>193.4745957651929</v>
      </c>
      <c r="N12" s="131">
        <f t="shared" si="0"/>
        <v>1.4520159452750842E-30</v>
      </c>
    </row>
    <row r="13" spans="1:20" x14ac:dyDescent="0.25">
      <c r="B13" s="97"/>
      <c r="D13" s="109"/>
      <c r="E13" s="119"/>
      <c r="F13" s="98"/>
      <c r="G13" s="132"/>
      <c r="H13" s="134">
        <f>Jäitekoormus!F43</f>
        <v>133.49448000000001</v>
      </c>
      <c r="I13" s="151"/>
      <c r="J13" s="137"/>
      <c r="K13" s="152"/>
      <c r="L13" s="137"/>
      <c r="M13" s="137"/>
      <c r="N13" s="132"/>
    </row>
    <row r="14" spans="1:20" ht="15.75" thickBot="1" x14ac:dyDescent="0.3">
      <c r="A14" s="105"/>
      <c r="D14" s="111"/>
      <c r="E14" s="118">
        <f>'TUULEKOORMUS 1'!F119</f>
        <v>1.6366559863949766</v>
      </c>
      <c r="F14" s="107">
        <f>'TUULEKOORMUS 2'!F119</f>
        <v>168.17381287782194</v>
      </c>
      <c r="G14" s="131">
        <f>'TUULEKOORMUS 3'!F119</f>
        <v>1.2621349945739855E-30</v>
      </c>
      <c r="H14" s="136"/>
      <c r="I14" s="148">
        <f>'Tuul 1+jää'!F241</f>
        <v>1.6981114483347088</v>
      </c>
      <c r="J14" s="149">
        <f>'Tuul 2+jää'!F238</f>
        <v>174.48863984358997</v>
      </c>
      <c r="K14" s="150">
        <f>'Tuul 3+jää'!F237</f>
        <v>1.3095274153188585E-30</v>
      </c>
      <c r="L14" s="149">
        <f>I14</f>
        <v>1.6981114483347088</v>
      </c>
      <c r="M14" s="149">
        <f t="shared" ref="M14:N14" si="3">J14</f>
        <v>174.48863984358997</v>
      </c>
      <c r="N14" s="149">
        <f t="shared" si="3"/>
        <v>1.3095274153188585E-30</v>
      </c>
    </row>
    <row r="15" spans="1:20" ht="15.75" thickBot="1" x14ac:dyDescent="0.3">
      <c r="B15" s="97"/>
      <c r="D15" s="112">
        <f>Omakaal!E10</f>
        <v>274.68</v>
      </c>
      <c r="E15" s="116">
        <f>'TUULEKOORMUS 1'!F319</f>
        <v>81.151329655142234</v>
      </c>
      <c r="F15" s="99">
        <f>$E15</f>
        <v>81.151329655142234</v>
      </c>
      <c r="G15" s="129">
        <f>$E15</f>
        <v>81.151329655142234</v>
      </c>
      <c r="H15" s="137">
        <v>0</v>
      </c>
      <c r="I15" s="143">
        <f>$E15</f>
        <v>81.151329655142234</v>
      </c>
      <c r="J15" s="134">
        <f t="shared" ref="J15:K15" si="4">$E15</f>
        <v>81.151329655142234</v>
      </c>
      <c r="K15" s="144">
        <f t="shared" si="4"/>
        <v>81.151329655142234</v>
      </c>
      <c r="L15" s="134">
        <f>I15</f>
        <v>81.151329655142234</v>
      </c>
      <c r="M15" s="134">
        <f t="shared" ref="M15:N16" si="5">J15</f>
        <v>81.151329655142234</v>
      </c>
      <c r="N15" s="129">
        <f t="shared" si="5"/>
        <v>81.151329655142234</v>
      </c>
    </row>
    <row r="16" spans="1:20" hidden="1" x14ac:dyDescent="0.25">
      <c r="A16" s="101"/>
      <c r="D16" s="113"/>
      <c r="E16" s="117">
        <f>'TUULEKOORMUS 1'!F322</f>
        <v>80.953649094753871</v>
      </c>
      <c r="F16" s="103">
        <f>'TUULEKOORMUS 2'!F322</f>
        <v>57.38265550145605</v>
      </c>
      <c r="G16" s="130">
        <f>'TUULEKOORMUS 3'!F322</f>
        <v>81.151329655142234</v>
      </c>
      <c r="H16" s="135"/>
      <c r="I16" s="145">
        <f>E16</f>
        <v>80.953649094753871</v>
      </c>
      <c r="J16" s="146">
        <f t="shared" ref="J16:K17" si="6">F16</f>
        <v>57.38265550145605</v>
      </c>
      <c r="K16" s="147">
        <f t="shared" si="6"/>
        <v>81.151329655142234</v>
      </c>
      <c r="L16" s="146">
        <f t="shared" ref="L16" si="7">I16</f>
        <v>80.953649094753871</v>
      </c>
      <c r="M16" s="146">
        <f t="shared" si="5"/>
        <v>57.38265550145605</v>
      </c>
      <c r="N16" s="130">
        <f t="shared" si="5"/>
        <v>81.151329655142234</v>
      </c>
    </row>
    <row r="17" spans="1:14" ht="15.75" hidden="1" thickBot="1" x14ac:dyDescent="0.3">
      <c r="A17" s="105"/>
      <c r="D17" s="114"/>
      <c r="E17" s="118">
        <f>'TUULEKOORMUS 1'!F323</f>
        <v>5.6608305963897863</v>
      </c>
      <c r="F17" s="107">
        <f>'TUULEKOORMUS 2'!F323</f>
        <v>57.382655501456043</v>
      </c>
      <c r="G17" s="131">
        <f>'TUULEKOORMUS 3'!F323</f>
        <v>0</v>
      </c>
      <c r="H17" s="136"/>
      <c r="I17" s="148">
        <f>E17</f>
        <v>5.6608305963897863</v>
      </c>
      <c r="J17" s="149">
        <f t="shared" si="6"/>
        <v>57.382655501456043</v>
      </c>
      <c r="K17" s="150">
        <f t="shared" si="6"/>
        <v>0</v>
      </c>
      <c r="L17" s="149">
        <f t="shared" ref="L17" si="8">I17</f>
        <v>5.6608305963897863</v>
      </c>
      <c r="M17" s="149">
        <f t="shared" ref="M17" si="9">J17</f>
        <v>57.382655501456043</v>
      </c>
      <c r="N17" s="131">
        <f t="shared" ref="N17" si="10">K17</f>
        <v>0</v>
      </c>
    </row>
    <row r="18" spans="1:14" x14ac:dyDescent="0.25">
      <c r="B18" s="97"/>
      <c r="D18" s="112"/>
      <c r="E18" s="119"/>
      <c r="F18" s="98"/>
      <c r="G18" s="132"/>
      <c r="H18" s="134">
        <f>Jäitekoormus!F94</f>
        <v>14.938104175798413</v>
      </c>
      <c r="I18" s="151"/>
      <c r="J18" s="137"/>
      <c r="K18" s="152"/>
      <c r="L18" s="137"/>
      <c r="M18" s="137"/>
      <c r="N18" s="132"/>
    </row>
    <row r="19" spans="1:14" x14ac:dyDescent="0.25">
      <c r="A19" s="101"/>
      <c r="D19" s="113"/>
      <c r="E19" s="117">
        <f>'TUULEKOORMUS 1'!F299</f>
        <v>28.778336312600743</v>
      </c>
      <c r="F19" s="103">
        <f>'TUULEKOORMUS 2'!F299</f>
        <v>16.391753308848521</v>
      </c>
      <c r="G19" s="130">
        <f>'TUULEKOORMUS 3'!F299</f>
        <v>28.638301917237641</v>
      </c>
      <c r="H19" s="135"/>
      <c r="I19" s="145">
        <f>'Tuul 1+jää'!F46</f>
        <v>65.851559873530533</v>
      </c>
      <c r="J19" s="159">
        <f>'Tuul 2+jää'!F45</f>
        <v>37.508162832093596</v>
      </c>
      <c r="K19" s="147">
        <f>'Tuul 3+jää'!F45</f>
        <v>65.531128446555741</v>
      </c>
      <c r="L19" s="159">
        <f>'Tuul 1+jää'!F60</f>
        <v>42.041329822341375</v>
      </c>
      <c r="M19" s="159">
        <f>'Tuul 2+jää'!F59</f>
        <v>23.946176031100748</v>
      </c>
      <c r="N19" s="147">
        <f>'Tuul 3+jää'!F59</f>
        <v>41.836758156419371</v>
      </c>
    </row>
    <row r="20" spans="1:14" hidden="1" x14ac:dyDescent="0.25">
      <c r="A20" s="101"/>
      <c r="D20" s="113"/>
      <c r="E20" s="117">
        <f>'TUULEKOORMUS 1'!F301</f>
        <v>28.708233731737373</v>
      </c>
      <c r="F20" s="103">
        <f>'TUULEKOORMUS 2'!F301</f>
        <v>16.351823821634806</v>
      </c>
      <c r="G20" s="130">
        <f>'TUULEKOORMUS 3'!F301</f>
        <v>28.568540453123269</v>
      </c>
      <c r="H20" s="135"/>
      <c r="I20" s="153"/>
      <c r="J20" s="135"/>
      <c r="K20" s="154"/>
      <c r="L20" s="135"/>
      <c r="M20" s="135"/>
      <c r="N20" s="155"/>
    </row>
    <row r="21" spans="1:14" hidden="1" x14ac:dyDescent="0.25">
      <c r="A21" s="101"/>
      <c r="D21" s="113"/>
      <c r="E21" s="117">
        <f>'TUULEKOORMUS 1'!F302</f>
        <v>2.0074752613895415</v>
      </c>
      <c r="F21" s="103">
        <f>'TUULEKOORMUS 2'!F302</f>
        <v>1.143430909308871</v>
      </c>
      <c r="G21" s="130">
        <f>'TUULEKOORMUS 3'!F302</f>
        <v>1.9977069557661209</v>
      </c>
      <c r="H21" s="135"/>
      <c r="I21" s="153"/>
      <c r="J21" s="135"/>
      <c r="K21" s="154"/>
      <c r="L21" s="135"/>
      <c r="M21" s="135"/>
      <c r="N21" s="155"/>
    </row>
    <row r="22" spans="1:14" ht="15.75" thickBot="1" x14ac:dyDescent="0.3">
      <c r="A22" s="101"/>
      <c r="D22" s="113"/>
      <c r="E22" s="117">
        <f>'TUULEKOORMUS 1'!F306</f>
        <v>28.220924341367322</v>
      </c>
      <c r="F22" s="103">
        <f>'TUULEKOORMUS 2'!F306</f>
        <v>12.38658300375222</v>
      </c>
      <c r="G22" s="130">
        <f>'TUULEKOORMUS 3'!F306</f>
        <v>28.638301917237641</v>
      </c>
      <c r="H22" s="135"/>
      <c r="I22" s="145">
        <f>'Tuul 1+jää'!F48</f>
        <v>64.576070998872126</v>
      </c>
      <c r="J22" s="159">
        <f>'Tuul 2+jää'!F47</f>
        <v>28.343397041436933</v>
      </c>
      <c r="K22" s="147">
        <f>'Tuul 3+jää'!F47</f>
        <v>65.531128446555741</v>
      </c>
      <c r="L22" s="159">
        <f>'Tuul 1+jää'!F62</f>
        <v>41.227024913433738</v>
      </c>
      <c r="M22" s="159">
        <f>'Tuul 2+jää'!F61</f>
        <v>18.095153791240623</v>
      </c>
      <c r="N22" s="147">
        <f>'Tuul 3+jää'!F61</f>
        <v>41.836758156419371</v>
      </c>
    </row>
    <row r="23" spans="1:14" hidden="1" x14ac:dyDescent="0.25">
      <c r="A23" s="101"/>
      <c r="D23" s="113"/>
      <c r="E23" s="117">
        <f>'TUULEKOORMUS 1'!F308</f>
        <v>28.152179588050448</v>
      </c>
      <c r="F23" s="103">
        <f>'TUULEKOORMUS 2'!F308</f>
        <v>12.356409910102563</v>
      </c>
      <c r="G23" s="130">
        <f>'TUULEKOORMUS 3'!F308</f>
        <v>28.568540453123269</v>
      </c>
      <c r="H23" s="135"/>
      <c r="I23" s="153"/>
      <c r="J23" s="135"/>
      <c r="K23" s="154"/>
      <c r="L23" s="135"/>
      <c r="M23" s="135"/>
      <c r="N23" s="155"/>
    </row>
    <row r="24" spans="1:14" ht="15.75" hidden="1" thickBot="1" x14ac:dyDescent="0.3">
      <c r="A24" s="105"/>
      <c r="D24" s="114"/>
      <c r="E24" s="118">
        <f>'TUULEKOORMUS 1'!F309</f>
        <v>1.9685921678535363</v>
      </c>
      <c r="F24" s="107">
        <f>'TUULEKOORMUS 2'!F309</f>
        <v>0.86404435208067043</v>
      </c>
      <c r="G24" s="131">
        <f>'TUULEKOORMUS 3'!F309</f>
        <v>1.9977069557661209</v>
      </c>
      <c r="H24" s="136"/>
      <c r="I24" s="156"/>
      <c r="J24" s="136"/>
      <c r="K24" s="157"/>
      <c r="L24" s="136"/>
      <c r="M24" s="136"/>
      <c r="N24" s="158"/>
    </row>
    <row r="25" spans="1:14" x14ac:dyDescent="0.25">
      <c r="B25" s="97"/>
      <c r="D25" s="112"/>
      <c r="E25" s="119"/>
      <c r="F25" s="98"/>
      <c r="G25" s="132"/>
      <c r="H25" s="137">
        <f>Jäitekoormus!F53</f>
        <v>88.29</v>
      </c>
      <c r="I25" s="151"/>
      <c r="J25" s="137"/>
      <c r="K25" s="152"/>
      <c r="L25" s="137"/>
      <c r="M25" s="137"/>
      <c r="N25" s="132"/>
    </row>
    <row r="26" spans="1:14" x14ac:dyDescent="0.25">
      <c r="A26" s="101"/>
      <c r="D26" s="113"/>
      <c r="E26" s="117">
        <f>'TUULEKOORMUS 1'!F168</f>
        <v>1.7336175661721971</v>
      </c>
      <c r="F26" s="103">
        <f>'TUULEKOORMUS 2'!F168</f>
        <v>178.13705421219058</v>
      </c>
      <c r="G26" s="130">
        <f>'TUULEKOORMUS 3'!F168</f>
        <v>1.3369085596868152E-30</v>
      </c>
      <c r="H26" s="135"/>
      <c r="I26" s="145">
        <f>'Tuul 1+jää'!F279</f>
        <v>1.6916475756868032</v>
      </c>
      <c r="J26" s="146">
        <f>'Tuul 2+jää'!F276</f>
        <v>173.82444766258718</v>
      </c>
      <c r="K26" s="147">
        <f>'Tuul 3+jää'!F275</f>
        <v>1.30454269040586E-30</v>
      </c>
      <c r="L26" s="146">
        <f>I26</f>
        <v>1.6916475756868032</v>
      </c>
      <c r="M26" s="146">
        <f t="shared" ref="M26:N28" si="11">J26</f>
        <v>173.82444766258718</v>
      </c>
      <c r="N26" s="130">
        <f t="shared" si="11"/>
        <v>1.30454269040586E-30</v>
      </c>
    </row>
    <row r="27" spans="1:14" ht="15.75" thickBot="1" x14ac:dyDescent="0.3">
      <c r="A27" s="105"/>
      <c r="D27" s="114"/>
      <c r="E27" s="118">
        <f>'TUULEKOORMUS 1'!F171</f>
        <v>100.72173035744572</v>
      </c>
      <c r="F27" s="107">
        <f>'TUULEKOORMUS 2'!F171</f>
        <v>50.607117673917791</v>
      </c>
      <c r="G27" s="131">
        <f>'TUULEKOORMUS 3'!F171</f>
        <v>101.21423534783555</v>
      </c>
      <c r="H27" s="136"/>
      <c r="I27" s="148">
        <f>'Tuul 1+jää'!F282</f>
        <v>95.795123981266286</v>
      </c>
      <c r="J27" s="149">
        <f>'Tuul 2+jää'!F279</f>
        <v>48.13176952682398</v>
      </c>
      <c r="K27" s="150">
        <f>'Tuul 3+jää'!F278</f>
        <v>96.263539053647932</v>
      </c>
      <c r="L27" s="149">
        <f>I27</f>
        <v>95.795123981266286</v>
      </c>
      <c r="M27" s="149">
        <f t="shared" si="11"/>
        <v>48.13176952682398</v>
      </c>
      <c r="N27" s="131">
        <f t="shared" si="11"/>
        <v>96.263539053647932</v>
      </c>
    </row>
    <row r="28" spans="1:14" ht="15.75" thickBot="1" x14ac:dyDescent="0.3">
      <c r="B28" s="97"/>
      <c r="D28" s="112">
        <f>Omakaal!E15</f>
        <v>470.88</v>
      </c>
      <c r="E28" s="116">
        <f>'TUULEKOORMUS 1'!F375</f>
        <v>421.40326856124921</v>
      </c>
      <c r="F28" s="99">
        <f>$E28</f>
        <v>421.40326856124921</v>
      </c>
      <c r="G28" s="129">
        <f>$E28</f>
        <v>421.40326856124921</v>
      </c>
      <c r="H28" s="137">
        <v>0</v>
      </c>
      <c r="I28" s="143">
        <f>E28</f>
        <v>421.40326856124921</v>
      </c>
      <c r="J28" s="134">
        <f t="shared" ref="J28:K28" si="12">F28</f>
        <v>421.40326856124921</v>
      </c>
      <c r="K28" s="144">
        <f t="shared" si="12"/>
        <v>421.40326856124921</v>
      </c>
      <c r="L28" s="134">
        <f>I28</f>
        <v>421.40326856124921</v>
      </c>
      <c r="M28" s="134">
        <f t="shared" si="11"/>
        <v>421.40326856124921</v>
      </c>
      <c r="N28" s="129">
        <f t="shared" si="11"/>
        <v>421.40326856124921</v>
      </c>
    </row>
    <row r="29" spans="1:14" hidden="1" x14ac:dyDescent="0.25">
      <c r="A29" s="101"/>
      <c r="D29" s="110"/>
      <c r="E29" s="117">
        <f>'TUULEKOORMUS 1'!F379</f>
        <v>420.3767513786882</v>
      </c>
      <c r="F29" s="103">
        <f>'TUULEKOORMUS 2'!F379</f>
        <v>297.97710881383517</v>
      </c>
      <c r="G29" s="130">
        <f>'TUULEKOORMUS 3'!F379</f>
        <v>421.40326856124921</v>
      </c>
      <c r="H29" s="135"/>
      <c r="I29" s="145">
        <f t="shared" ref="I29:I30" si="13">E29</f>
        <v>420.3767513786882</v>
      </c>
      <c r="J29" s="146">
        <f t="shared" ref="J29:J30" si="14">F29</f>
        <v>297.97710881383517</v>
      </c>
      <c r="K29" s="147">
        <f t="shared" ref="K29:K30" si="15">G29</f>
        <v>421.40326856124921</v>
      </c>
      <c r="L29" s="146">
        <f t="shared" ref="L29:L30" si="16">I29</f>
        <v>420.3767513786882</v>
      </c>
      <c r="M29" s="146">
        <f t="shared" ref="M29:M30" si="17">J29</f>
        <v>297.97710881383517</v>
      </c>
      <c r="N29" s="130">
        <f t="shared" ref="N29:N30" si="18">K29</f>
        <v>421.40326856124921</v>
      </c>
    </row>
    <row r="30" spans="1:14" ht="15.75" hidden="1" thickBot="1" x14ac:dyDescent="0.3">
      <c r="A30" s="105"/>
      <c r="D30" s="111"/>
      <c r="E30" s="118">
        <f>'TUULEKOORMUS 1'!F380</f>
        <v>29.395606039081365</v>
      </c>
      <c r="F30" s="107">
        <f>'TUULEKOORMUS 2'!F380</f>
        <v>297.97710881383512</v>
      </c>
      <c r="G30" s="131">
        <f>'TUULEKOORMUS 3'!F380</f>
        <v>0</v>
      </c>
      <c r="H30" s="136"/>
      <c r="I30" s="148">
        <f t="shared" si="13"/>
        <v>29.395606039081365</v>
      </c>
      <c r="J30" s="149">
        <f t="shared" si="14"/>
        <v>297.97710881383512</v>
      </c>
      <c r="K30" s="150">
        <f t="shared" si="15"/>
        <v>0</v>
      </c>
      <c r="L30" s="149">
        <f t="shared" si="16"/>
        <v>29.395606039081365</v>
      </c>
      <c r="M30" s="149">
        <f t="shared" si="17"/>
        <v>297.97710881383512</v>
      </c>
      <c r="N30" s="131">
        <f t="shared" si="18"/>
        <v>0</v>
      </c>
    </row>
    <row r="31" spans="1:14" x14ac:dyDescent="0.25">
      <c r="B31" s="97"/>
      <c r="D31" s="109"/>
      <c r="E31" s="119"/>
      <c r="F31" s="98"/>
      <c r="G31" s="132"/>
      <c r="H31" s="134">
        <f>Jäitekoormus!F122</f>
        <v>37.427340129552888</v>
      </c>
      <c r="I31" s="151"/>
      <c r="J31" s="137"/>
      <c r="K31" s="152"/>
      <c r="L31" s="137"/>
      <c r="M31" s="137"/>
      <c r="N31" s="132"/>
    </row>
    <row r="32" spans="1:14" x14ac:dyDescent="0.25">
      <c r="A32" s="101"/>
      <c r="D32" s="110"/>
      <c r="E32" s="117">
        <f>'TUULEKOORMUS 1'!F354</f>
        <v>57.179729728646819</v>
      </c>
      <c r="F32" s="103">
        <f>'TUULEKOORMUS 2'!F354</f>
        <v>32.568805013520517</v>
      </c>
      <c r="G32" s="130">
        <f>'TUULEKOORMUS 3'!F354</f>
        <v>56.901495129099423</v>
      </c>
      <c r="H32" s="135"/>
      <c r="I32" s="145">
        <f>'Tuul 1+jää'!F85</f>
        <v>132.57611860730651</v>
      </c>
      <c r="J32" s="159">
        <f>'Tuul 2+jää'!F84</f>
        <v>75.513574073567398</v>
      </c>
      <c r="K32" s="147">
        <f>'Tuul 3+jää'!F84</f>
        <v>131.93100777090865</v>
      </c>
      <c r="L32" s="159">
        <f>'Tuul 1+jää'!F99</f>
        <v>84.168087499451445</v>
      </c>
      <c r="M32" s="159">
        <f>'Tuul 2+jää'!F98</f>
        <v>47.941010619314113</v>
      </c>
      <c r="N32" s="147">
        <f>'Tuul 3+jää'!F98</f>
        <v>83.758528478602358</v>
      </c>
    </row>
    <row r="33" spans="1:14" hidden="1" x14ac:dyDescent="0.25">
      <c r="A33" s="101"/>
      <c r="D33" s="110"/>
      <c r="E33" s="117">
        <f>'TUULEKOORMUS 1'!F356</f>
        <v>57.040442780870997</v>
      </c>
      <c r="F33" s="103">
        <f>'TUULEKOORMUS 2'!F356</f>
        <v>32.489469041409997</v>
      </c>
      <c r="G33" s="130">
        <f>'TUULEKOORMUS 3'!F356</f>
        <v>56.762885946824078</v>
      </c>
      <c r="H33" s="135"/>
      <c r="I33" s="153"/>
      <c r="J33" s="135"/>
      <c r="K33" s="154"/>
      <c r="L33" s="135"/>
      <c r="M33" s="135"/>
      <c r="N33" s="155"/>
    </row>
    <row r="34" spans="1:14" hidden="1" x14ac:dyDescent="0.25">
      <c r="A34" s="101"/>
      <c r="D34" s="110"/>
      <c r="E34" s="117">
        <f>'TUULEKOORMUS 1'!F357</f>
        <v>3.9886563155125327</v>
      </c>
      <c r="F34" s="103">
        <f>'TUULEKOORMUS 2'!F357</f>
        <v>2.2718849918031805</v>
      </c>
      <c r="G34" s="130">
        <f>'TUULEKOORMUS 3'!F357</f>
        <v>3.9692476509744976</v>
      </c>
      <c r="H34" s="135"/>
      <c r="I34" s="153"/>
      <c r="J34" s="135"/>
      <c r="K34" s="154"/>
      <c r="L34" s="135"/>
      <c r="M34" s="135"/>
      <c r="N34" s="155"/>
    </row>
    <row r="35" spans="1:14" ht="15.75" thickBot="1" x14ac:dyDescent="0.3">
      <c r="A35" s="101"/>
      <c r="D35" s="110"/>
      <c r="E35" s="117">
        <f>'TUULEKOORMUS 1'!F361</f>
        <v>56.072206850450293</v>
      </c>
      <c r="F35" s="103">
        <f>'TUULEKOORMUS 2'!F361</f>
        <v>24.610924715126298</v>
      </c>
      <c r="G35" s="130">
        <f>'TUULEKOORMUS 3'!F361</f>
        <v>56.901495129099423</v>
      </c>
      <c r="H35" s="135"/>
      <c r="I35" s="145">
        <f>'Tuul 1+jää'!F87</f>
        <v>130.00823161034285</v>
      </c>
      <c r="J35" s="159">
        <f>'Tuul 2+jää'!F86</f>
        <v>57.062544533739114</v>
      </c>
      <c r="K35" s="147">
        <f>'Tuul 3+jää'!F86</f>
        <v>131.93100777090865</v>
      </c>
      <c r="L35" s="159">
        <f>'Tuul 1+jää'!F101</f>
        <v>82.537823016529487</v>
      </c>
      <c r="M35" s="159">
        <f>'Tuul 2+jää'!F100</f>
        <v>36.227076880137332</v>
      </c>
      <c r="N35" s="147">
        <f>'Tuul 3+jää'!F100</f>
        <v>83.758528478602358</v>
      </c>
    </row>
    <row r="36" spans="1:14" hidden="1" x14ac:dyDescent="0.25">
      <c r="A36" s="101"/>
      <c r="D36" s="110"/>
      <c r="E36" s="117">
        <f>'TUULEKOORMUS 1'!F363</f>
        <v>55.935617772741857</v>
      </c>
      <c r="F36" s="103">
        <f>'TUULEKOORMUS 2'!F363</f>
        <v>24.550973739461</v>
      </c>
      <c r="G36" s="130">
        <f>'TUULEKOORMUS 3'!F363</f>
        <v>56.762885946824078</v>
      </c>
      <c r="H36" s="135"/>
      <c r="I36" s="153"/>
      <c r="J36" s="135"/>
      <c r="K36" s="154"/>
      <c r="L36" s="135"/>
      <c r="M36" s="135"/>
      <c r="N36" s="155"/>
    </row>
    <row r="37" spans="1:14" ht="15.75" hidden="1" thickBot="1" x14ac:dyDescent="0.3">
      <c r="A37" s="105"/>
      <c r="D37" s="111"/>
      <c r="E37" s="118">
        <f>'TUULEKOORMUS 1'!F364</f>
        <v>3.9113994249385988</v>
      </c>
      <c r="F37" s="107">
        <f>'TUULEKOORMUS 2'!F364</f>
        <v>1.716771323709352</v>
      </c>
      <c r="G37" s="131">
        <f>'TUULEKOORMUS 3'!F364</f>
        <v>3.9692476509744976</v>
      </c>
      <c r="H37" s="136"/>
      <c r="I37" s="156"/>
      <c r="J37" s="136"/>
      <c r="K37" s="157"/>
      <c r="L37" s="136"/>
      <c r="M37" s="136"/>
      <c r="N37" s="158"/>
    </row>
    <row r="38" spans="1:14" x14ac:dyDescent="0.25">
      <c r="B38" s="97"/>
      <c r="D38" s="109"/>
      <c r="E38" s="116"/>
      <c r="F38" s="98"/>
      <c r="G38" s="132"/>
      <c r="H38" s="134">
        <f>Jäitekoormus!F64</f>
        <v>70.632000000000005</v>
      </c>
      <c r="I38" s="151"/>
      <c r="J38" s="137"/>
      <c r="K38" s="152"/>
      <c r="L38" s="137"/>
      <c r="M38" s="137"/>
      <c r="N38" s="132"/>
    </row>
    <row r="39" spans="1:14" x14ac:dyDescent="0.25">
      <c r="A39" s="101"/>
      <c r="D39" s="110"/>
      <c r="E39" s="117">
        <f>'TUULEKOORMUS 1'!F218</f>
        <v>1.0119373359971857</v>
      </c>
      <c r="F39" s="103">
        <f>'TUULEKOORMUS 2'!F218</f>
        <v>103.98114301523243</v>
      </c>
      <c r="G39" s="130">
        <f>'TUULEKOORMUS 3'!F218</f>
        <v>7.8037262240508031E-31</v>
      </c>
      <c r="H39" s="135"/>
      <c r="I39" s="145">
        <f>'Tuul 1+jää'!F318</f>
        <v>2.3148893307125165</v>
      </c>
      <c r="J39" s="146">
        <f>'Tuul 2+jää'!F315</f>
        <v>237.86535983876701</v>
      </c>
      <c r="K39" s="147">
        <f>'Tuul 3+jää'!F314</f>
        <v>1.7851661296848244E-30</v>
      </c>
      <c r="L39" s="146">
        <f>I39</f>
        <v>2.3148893307125165</v>
      </c>
      <c r="M39" s="146">
        <f t="shared" ref="M39:N40" si="19">J39</f>
        <v>237.86535983876701</v>
      </c>
      <c r="N39" s="130">
        <f t="shared" si="19"/>
        <v>1.7851661296848244E-30</v>
      </c>
    </row>
    <row r="40" spans="1:14" ht="15.75" thickBot="1" x14ac:dyDescent="0.3">
      <c r="A40" s="105"/>
      <c r="D40" s="111"/>
      <c r="E40" s="118">
        <f>'TUULEKOORMUS 1'!F221</f>
        <v>344.91724782411268</v>
      </c>
      <c r="F40" s="107">
        <f>'TUULEKOORMUS 2'!F221</f>
        <v>173.30190502538738</v>
      </c>
      <c r="G40" s="131">
        <f>'TUULEKOORMUS 3'!F221</f>
        <v>346.60381005077471</v>
      </c>
      <c r="H40" s="136"/>
      <c r="I40" s="148">
        <f>'Tuul 1+jää'!F321</f>
        <v>365.20649769611936</v>
      </c>
      <c r="J40" s="149">
        <f>'Tuul 2+jää'!F318</f>
        <v>183.49613473276312</v>
      </c>
      <c r="K40" s="150">
        <f>'Tuul 3+jää'!F317</f>
        <v>366.99226946552619</v>
      </c>
      <c r="L40" s="149">
        <f>I40</f>
        <v>365.20649769611936</v>
      </c>
      <c r="M40" s="149">
        <f t="shared" si="19"/>
        <v>183.49613473276312</v>
      </c>
      <c r="N40" s="131">
        <f t="shared" si="19"/>
        <v>366.99226946552619</v>
      </c>
    </row>
    <row r="41" spans="1:14" x14ac:dyDescent="0.25">
      <c r="B41" s="97"/>
      <c r="D41" s="109"/>
      <c r="E41" s="116"/>
      <c r="F41" s="98"/>
      <c r="G41" s="132"/>
      <c r="H41" s="134">
        <f>Jäitekoormus!F134</f>
        <v>12.142202324713148</v>
      </c>
      <c r="I41" s="151"/>
      <c r="J41" s="137"/>
      <c r="K41" s="152"/>
      <c r="L41" s="137"/>
      <c r="M41" s="137"/>
      <c r="N41" s="132"/>
    </row>
    <row r="42" spans="1:14" x14ac:dyDescent="0.25">
      <c r="A42" s="101"/>
      <c r="D42" s="110"/>
      <c r="E42" s="117">
        <f>'TUULEKOORMUS 1'!F410</f>
        <v>12.365388132445736</v>
      </c>
      <c r="F42" s="103">
        <f>'TUULEKOORMUS 2'!F410</f>
        <v>7.0431587717065005</v>
      </c>
      <c r="G42" s="130">
        <f>'TUULEKOORMUS 3'!F410</f>
        <v>12.305218578801352</v>
      </c>
      <c r="H42" s="135"/>
      <c r="I42" s="145">
        <f>'Tuul 1+jää'!F124</f>
        <v>41.493157580389969</v>
      </c>
      <c r="J42" s="159">
        <f>'Tuul 2+jää'!F123</f>
        <v>23.633944494738742</v>
      </c>
      <c r="K42" s="147">
        <f>'Tuul 3+jää'!F123</f>
        <v>41.291253301756193</v>
      </c>
      <c r="L42" s="159">
        <f>'Tuul 1+jää'!F138</f>
        <v>22.78050323284965</v>
      </c>
      <c r="M42" s="159">
        <f>'Tuul 2+jää'!F137</f>
        <v>12.975468254598065</v>
      </c>
      <c r="N42" s="147">
        <f>'Tuul 3+jää'!F137</f>
        <v>22.669654087102383</v>
      </c>
    </row>
    <row r="43" spans="1:14" hidden="1" x14ac:dyDescent="0.25">
      <c r="A43" s="101"/>
      <c r="D43" s="110"/>
      <c r="E43" s="117">
        <f>'TUULEKOORMUS 1'!F412</f>
        <v>12.335266668437331</v>
      </c>
      <c r="F43" s="103">
        <f>'TUULEKOORMUS 2'!F412</f>
        <v>7.0260019909265452</v>
      </c>
      <c r="G43" s="130">
        <f>'TUULEKOORMUS 3'!F412</f>
        <v>12.275243684801515</v>
      </c>
      <c r="H43" s="135"/>
      <c r="I43" s="153"/>
      <c r="J43" s="135"/>
      <c r="K43" s="154"/>
      <c r="L43" s="135"/>
      <c r="M43" s="135"/>
      <c r="N43" s="155"/>
    </row>
    <row r="44" spans="1:14" hidden="1" x14ac:dyDescent="0.25">
      <c r="A44" s="101"/>
      <c r="D44" s="110"/>
      <c r="E44" s="117">
        <f>'TUULEKOORMUS 1'!F413</f>
        <v>0.86256587259686957</v>
      </c>
      <c r="F44" s="103">
        <f>'TUULEKOORMUS 2'!F413</f>
        <v>0.49130591993425032</v>
      </c>
      <c r="G44" s="130">
        <f>'TUULEKOORMUS 3'!F413</f>
        <v>0.85836865670787932</v>
      </c>
      <c r="H44" s="135"/>
      <c r="I44" s="153"/>
      <c r="J44" s="135"/>
      <c r="K44" s="154"/>
      <c r="L44" s="135"/>
      <c r="M44" s="135"/>
      <c r="N44" s="155"/>
    </row>
    <row r="45" spans="1:14" ht="15.75" thickBot="1" x14ac:dyDescent="0.3">
      <c r="A45" s="101"/>
      <c r="D45" s="110"/>
      <c r="E45" s="117">
        <f>'TUULEKOORMUS 1'!F417</f>
        <v>12.125881049788044</v>
      </c>
      <c r="F45" s="103">
        <f>'TUULEKOORMUS 2'!F417</f>
        <v>5.3222293607392341</v>
      </c>
      <c r="G45" s="130">
        <f>'TUULEKOORMUS 3'!F417</f>
        <v>12.305218578801352</v>
      </c>
      <c r="H45" s="135"/>
      <c r="I45" s="145">
        <f>'Tuul 1+jää'!F126</f>
        <v>40.689470302975778</v>
      </c>
      <c r="J45" s="159">
        <f>'Tuul 2+jää'!F125</f>
        <v>17.859213085651223</v>
      </c>
      <c r="K45" s="147">
        <f>'Tuul 3+jää'!F125</f>
        <v>41.291253301756193</v>
      </c>
      <c r="L45" s="159">
        <f>'Tuul 1+jää'!F140</f>
        <v>22.339264202393533</v>
      </c>
      <c r="M45" s="159">
        <f>'Tuul 2+jää'!F139</f>
        <v>9.8050349782515838</v>
      </c>
      <c r="N45" s="147">
        <f>'Tuul 3+jää'!F139</f>
        <v>22.669654087102383</v>
      </c>
    </row>
    <row r="46" spans="1:14" hidden="1" x14ac:dyDescent="0.25">
      <c r="A46" s="101"/>
      <c r="D46" s="110"/>
      <c r="E46" s="117">
        <f>'TUULEKOORMUS 1'!F419</f>
        <v>12.09634301299541</v>
      </c>
      <c r="F46" s="103">
        <f>'TUULEKOORMUS 2'!F419</f>
        <v>5.309264677510785</v>
      </c>
      <c r="G46" s="130">
        <f>'TUULEKOORMUS 3'!F419</f>
        <v>12.275243684801515</v>
      </c>
      <c r="H46" s="135"/>
      <c r="I46" s="153"/>
      <c r="J46" s="102"/>
      <c r="K46" s="140"/>
      <c r="L46" s="102"/>
      <c r="M46" s="102"/>
      <c r="N46" s="104"/>
    </row>
    <row r="47" spans="1:14" ht="15.75" hidden="1" thickBot="1" x14ac:dyDescent="0.3">
      <c r="A47" s="105"/>
      <c r="D47" s="111"/>
      <c r="E47" s="118">
        <f>'TUULEKOORMUS 1'!F420</f>
        <v>0.84585870307392619</v>
      </c>
      <c r="F47" s="107">
        <f>'TUULEKOORMUS 2'!F420</f>
        <v>0.37125995266261919</v>
      </c>
      <c r="G47" s="131">
        <f>'TUULEKOORMUS 3'!F420</f>
        <v>0.85836865670787932</v>
      </c>
      <c r="H47" s="136"/>
      <c r="I47" s="156"/>
      <c r="J47" s="106"/>
      <c r="K47" s="141"/>
      <c r="L47" s="106"/>
      <c r="M47" s="106"/>
      <c r="N47" s="108"/>
    </row>
    <row r="48" spans="1:14" x14ac:dyDescent="0.25">
      <c r="B48" s="97"/>
      <c r="D48" s="109"/>
      <c r="E48" s="119"/>
      <c r="F48" s="98"/>
      <c r="G48" s="132"/>
      <c r="H48" s="134">
        <f>Jäitekoormus!F76</f>
        <v>11.428248816311019</v>
      </c>
      <c r="I48" s="151"/>
      <c r="J48" s="98"/>
      <c r="K48" s="139"/>
      <c r="L48" s="98"/>
      <c r="M48" s="98"/>
      <c r="N48" s="100"/>
    </row>
    <row r="49" spans="1:14" x14ac:dyDescent="0.25">
      <c r="A49" s="101"/>
      <c r="D49" s="110"/>
      <c r="E49" s="117">
        <f>'TUULEKOORMUS 1'!F259</f>
        <v>9.137068803646045</v>
      </c>
      <c r="F49" s="103">
        <f>'TUULEKOORMUS 2'!F259</f>
        <v>21.228585709476462</v>
      </c>
      <c r="G49" s="130">
        <f>'TUULEKOORMUS 3'!F259</f>
        <v>10.614292854738233</v>
      </c>
      <c r="H49" s="102"/>
      <c r="I49" s="145">
        <f>'Tuul 1+jää'!F345</f>
        <v>24.378930957045835</v>
      </c>
      <c r="J49" s="160">
        <f>'Tuul 2+jää'!F342</f>
        <v>56.640727617213727</v>
      </c>
      <c r="K49" s="138">
        <f>'Tuul 3+jää'!F342</f>
        <v>28.320363808606871</v>
      </c>
      <c r="L49" s="160">
        <f>'Tuul 1+jää'!F359</f>
        <v>14.236694990619341</v>
      </c>
      <c r="M49" s="160">
        <f>'Tuul 2+jää'!F356</f>
        <v>33.076789320819977</v>
      </c>
      <c r="N49" s="138">
        <f>'Tuul 3+jää'!F356</f>
        <v>16.538394660409992</v>
      </c>
    </row>
    <row r="50" spans="1:14" x14ac:dyDescent="0.25">
      <c r="A50" s="101"/>
      <c r="D50" s="110"/>
      <c r="E50" s="117">
        <f>'TUULEKOORMUS 1'!F261</f>
        <v>6.4608833112261737</v>
      </c>
      <c r="F50" s="103">
        <f>'TUULEKOORMUS 2'!F261</f>
        <v>15.010876910170644</v>
      </c>
      <c r="G50" s="130">
        <f>'TUULEKOORMUS 3'!F261</f>
        <v>7.505438455085323</v>
      </c>
      <c r="H50" s="102"/>
      <c r="I50" s="153"/>
      <c r="J50" s="102"/>
      <c r="K50" s="140"/>
      <c r="L50" s="102"/>
      <c r="M50" s="102"/>
      <c r="N50" s="104"/>
    </row>
    <row r="51" spans="1:14" x14ac:dyDescent="0.25">
      <c r="A51" s="101"/>
      <c r="D51" s="110"/>
      <c r="E51" s="117">
        <f>'TUULEKOORMUS 1'!F261</f>
        <v>6.4608833112261737</v>
      </c>
      <c r="F51" s="103">
        <f>'TUULEKOORMUS 2'!F261</f>
        <v>15.010876910170644</v>
      </c>
      <c r="G51" s="130">
        <f>'TUULEKOORMUS 3'!F261</f>
        <v>7.505438455085323</v>
      </c>
      <c r="H51" s="102"/>
      <c r="I51" s="153"/>
      <c r="J51" s="102"/>
      <c r="K51" s="140"/>
      <c r="L51" s="102"/>
      <c r="M51" s="102"/>
      <c r="N51" s="104"/>
    </row>
    <row r="52" spans="1:14" x14ac:dyDescent="0.25">
      <c r="A52" s="121"/>
      <c r="D52" s="123"/>
      <c r="E52" s="124">
        <f>'TUULEKOORMUS 1'!F264</f>
        <v>12.091516905830415</v>
      </c>
      <c r="F52" s="125">
        <f>'TUULEKOORMUS 2'!F264</f>
        <v>7.9659670107821104E-32</v>
      </c>
      <c r="G52" s="133">
        <f>'TUULEKOORMUS 3'!F264</f>
        <v>10.614292854738233</v>
      </c>
      <c r="H52" s="122"/>
      <c r="I52" s="162">
        <f>'Tuul 1+jää'!F347</f>
        <v>32.261796660167889</v>
      </c>
      <c r="J52" s="161">
        <f>'Tuul 2+jää'!F344</f>
        <v>2.1254273546070686E-31</v>
      </c>
      <c r="K52" s="142">
        <f>'Tuul 3+jää'!F344</f>
        <v>28.320363808606871</v>
      </c>
      <c r="L52" s="161">
        <f>'Tuul 1+jää'!F361</f>
        <v>18.840094330200635</v>
      </c>
      <c r="M52" s="161">
        <f>'Tuul 2+jää'!F358</f>
        <v>1.2411972053070891E-31</v>
      </c>
      <c r="N52" s="142">
        <f>'Tuul 3+jää'!F358</f>
        <v>16.538394660409992</v>
      </c>
    </row>
    <row r="53" spans="1:14" x14ac:dyDescent="0.25">
      <c r="A53" s="101"/>
      <c r="D53" s="110"/>
      <c r="E53" s="117">
        <f>'TUULEKOORMUS 1'!F266</f>
        <v>8.549993598944468</v>
      </c>
      <c r="F53" s="103">
        <f>'TUULEKOORMUS 2'!F266</f>
        <v>5.6327892920323625E-32</v>
      </c>
      <c r="G53" s="130">
        <f>'TUULEKOORMUS 3'!F266</f>
        <v>7.505438455085323</v>
      </c>
      <c r="H53" s="102"/>
      <c r="I53" s="115"/>
      <c r="J53" s="102"/>
      <c r="K53" s="140"/>
      <c r="L53" s="102"/>
      <c r="M53" s="102"/>
      <c r="N53" s="104"/>
    </row>
    <row r="54" spans="1:14" ht="15.75" thickBot="1" x14ac:dyDescent="0.3">
      <c r="A54" s="105"/>
      <c r="D54" s="111"/>
      <c r="E54" s="118">
        <f>'TUULEKOORMUS 1'!F266</f>
        <v>8.549993598944468</v>
      </c>
      <c r="F54" s="107">
        <f>'TUULEKOORMUS 2'!F266</f>
        <v>5.6327892920323625E-32</v>
      </c>
      <c r="G54" s="131">
        <f>'TUULEKOORMUS 3'!F266</f>
        <v>7.505438455085323</v>
      </c>
      <c r="H54" s="106"/>
      <c r="I54" s="120"/>
      <c r="J54" s="106"/>
      <c r="K54" s="108"/>
      <c r="L54" s="106"/>
      <c r="M54" s="106"/>
      <c r="N54" s="108"/>
    </row>
  </sheetData>
  <pageMargins left="0.7" right="0.7" top="0.75" bottom="0.75" header="0.3" footer="0.3"/>
  <pageSetup paperSize="9" orientation="landscape" horizontalDpi="300" verticalDpi="0" copies="0" r:id="rId1"/>
  <customProperties>
    <customPr name="SSCSheetTrackingNo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opLeftCell="A21" workbookViewId="0">
      <selection activeCell="I24" sqref="I24:O25"/>
    </sheetView>
  </sheetViews>
  <sheetFormatPr defaultRowHeight="15" x14ac:dyDescent="0.25"/>
  <cols>
    <col min="1" max="1" width="9" style="1"/>
    <col min="2" max="2" width="23.5" style="1" customWidth="1"/>
    <col min="3" max="6" width="9" style="1"/>
    <col min="7" max="7" width="9.25" style="1" customWidth="1"/>
    <col min="8" max="16384" width="9" style="1"/>
  </cols>
  <sheetData>
    <row r="2" spans="1:8" x14ac:dyDescent="0.25">
      <c r="A2" s="199"/>
      <c r="B2" s="199"/>
      <c r="D2" s="199"/>
      <c r="E2" s="206"/>
      <c r="F2" s="199"/>
      <c r="G2" s="206"/>
    </row>
    <row r="3" spans="1:8" x14ac:dyDescent="0.25">
      <c r="A3" s="205"/>
      <c r="B3" s="205"/>
    </row>
    <row r="4" spans="1:8" ht="33.75" customHeight="1" x14ac:dyDescent="0.25">
      <c r="C4" s="3">
        <v>-5</v>
      </c>
      <c r="D4" s="2">
        <v>1.4</v>
      </c>
      <c r="E4" s="4">
        <v>1</v>
      </c>
      <c r="F4" s="4"/>
      <c r="G4" s="4"/>
      <c r="H4" s="4">
        <v>1</v>
      </c>
    </row>
    <row r="5" spans="1:8" ht="30.75" customHeight="1" x14ac:dyDescent="0.25">
      <c r="C5" s="3">
        <v>-5</v>
      </c>
      <c r="D5" s="2">
        <v>1.4</v>
      </c>
      <c r="E5" s="4">
        <v>1</v>
      </c>
      <c r="F5" s="4"/>
      <c r="G5" s="4"/>
      <c r="H5" s="4">
        <v>1</v>
      </c>
    </row>
    <row r="6" spans="1:8" ht="44.25" customHeight="1" x14ac:dyDescent="0.25">
      <c r="C6" s="3">
        <v>-5</v>
      </c>
      <c r="D6" s="2">
        <v>1.4</v>
      </c>
      <c r="E6" s="4">
        <v>1</v>
      </c>
      <c r="F6" s="4"/>
      <c r="G6" s="4"/>
      <c r="H6" s="4">
        <v>1</v>
      </c>
    </row>
    <row r="7" spans="1:8" ht="19.5" customHeight="1" x14ac:dyDescent="0.25">
      <c r="C7" s="3">
        <v>-40</v>
      </c>
      <c r="D7" s="4"/>
      <c r="E7" s="4"/>
      <c r="F7" s="4"/>
      <c r="G7" s="4"/>
      <c r="H7" s="4">
        <v>1</v>
      </c>
    </row>
    <row r="8" spans="1:8" ht="21" customHeight="1" x14ac:dyDescent="0.25">
      <c r="D8" s="4"/>
      <c r="E8" s="4"/>
      <c r="F8" s="4"/>
      <c r="G8" s="4"/>
      <c r="H8" s="4">
        <v>1</v>
      </c>
    </row>
    <row r="9" spans="1:8" ht="31.5" customHeight="1" x14ac:dyDescent="0.25">
      <c r="C9" s="3">
        <v>-15</v>
      </c>
      <c r="D9" s="4">
        <v>1.4</v>
      </c>
      <c r="E9" s="4">
        <v>0.4</v>
      </c>
      <c r="F9" s="4"/>
      <c r="G9" s="4"/>
      <c r="H9" s="4">
        <v>1</v>
      </c>
    </row>
    <row r="10" spans="1:8" ht="31.5" customHeight="1" x14ac:dyDescent="0.25">
      <c r="C10" s="3">
        <v>-15</v>
      </c>
      <c r="D10" s="4">
        <v>1.4</v>
      </c>
      <c r="E10" s="4">
        <v>0.4</v>
      </c>
      <c r="F10" s="4"/>
      <c r="G10" s="4"/>
      <c r="H10" s="4">
        <v>1</v>
      </c>
    </row>
    <row r="11" spans="1:8" ht="31.5" customHeight="1" x14ac:dyDescent="0.25">
      <c r="C11" s="3">
        <v>-15</v>
      </c>
      <c r="D11" s="4">
        <v>1.4</v>
      </c>
      <c r="E11" s="4">
        <v>0.4</v>
      </c>
      <c r="F11" s="4"/>
      <c r="G11" s="4"/>
      <c r="H11" s="4">
        <v>1</v>
      </c>
    </row>
    <row r="12" spans="1:8" x14ac:dyDescent="0.25">
      <c r="C12" s="3">
        <v>-5</v>
      </c>
      <c r="D12" s="4"/>
      <c r="E12" s="4"/>
      <c r="F12" s="4">
        <v>1.4</v>
      </c>
      <c r="G12" s="4">
        <v>1</v>
      </c>
      <c r="H12" s="4">
        <v>1</v>
      </c>
    </row>
    <row r="13" spans="1:8" x14ac:dyDescent="0.25">
      <c r="C13" s="3">
        <v>-5</v>
      </c>
      <c r="D13" s="12"/>
      <c r="E13" s="4"/>
      <c r="F13" s="4">
        <v>1.4</v>
      </c>
      <c r="H13" s="4">
        <v>1</v>
      </c>
    </row>
    <row r="14" spans="1:8" x14ac:dyDescent="0.25">
      <c r="C14" s="3">
        <v>-5</v>
      </c>
      <c r="D14" s="4"/>
      <c r="E14" s="4"/>
      <c r="F14" s="4">
        <v>1.4</v>
      </c>
      <c r="H14" s="4">
        <v>1</v>
      </c>
    </row>
    <row r="15" spans="1:8" x14ac:dyDescent="0.25">
      <c r="C15" s="3">
        <v>-5</v>
      </c>
      <c r="D15" s="4"/>
      <c r="E15" s="4"/>
      <c r="F15" s="4">
        <v>1.4</v>
      </c>
      <c r="H15" s="4">
        <v>1</v>
      </c>
    </row>
    <row r="16" spans="1:8" ht="29.25" customHeight="1" x14ac:dyDescent="0.25">
      <c r="C16" s="3">
        <v>-5</v>
      </c>
      <c r="D16" s="4">
        <v>1</v>
      </c>
      <c r="E16" s="4">
        <v>0.4</v>
      </c>
      <c r="F16" s="4">
        <v>1.4</v>
      </c>
      <c r="G16" s="4">
        <v>1</v>
      </c>
      <c r="H16" s="4">
        <v>1</v>
      </c>
    </row>
    <row r="17" spans="1:15" ht="29.25" customHeight="1" x14ac:dyDescent="0.25">
      <c r="C17" s="3">
        <v>-5</v>
      </c>
      <c r="D17" s="4">
        <v>1</v>
      </c>
      <c r="E17" s="4">
        <v>0.4</v>
      </c>
      <c r="F17" s="4">
        <v>1.4</v>
      </c>
      <c r="G17" s="4">
        <v>1</v>
      </c>
      <c r="H17" s="4">
        <v>1</v>
      </c>
    </row>
    <row r="18" spans="1:15" ht="29.25" customHeight="1" x14ac:dyDescent="0.25">
      <c r="C18" s="3">
        <v>-5</v>
      </c>
      <c r="D18" s="4">
        <v>1</v>
      </c>
      <c r="E18" s="4">
        <v>0.4</v>
      </c>
      <c r="F18" s="4">
        <v>1.4</v>
      </c>
      <c r="G18" s="4">
        <v>1</v>
      </c>
      <c r="H18" s="4">
        <v>1</v>
      </c>
    </row>
    <row r="19" spans="1:15" ht="30.75" customHeight="1" x14ac:dyDescent="0.25">
      <c r="C19" s="3">
        <v>-5</v>
      </c>
      <c r="D19" s="4">
        <v>1.4</v>
      </c>
      <c r="E19" s="4">
        <v>0.7</v>
      </c>
      <c r="F19" s="4">
        <v>1</v>
      </c>
      <c r="G19" s="5">
        <v>0.35</v>
      </c>
      <c r="H19" s="4">
        <v>1</v>
      </c>
    </row>
    <row r="20" spans="1:15" ht="30.75" customHeight="1" x14ac:dyDescent="0.25">
      <c r="C20" s="3">
        <v>-5</v>
      </c>
      <c r="D20" s="4">
        <v>1.4</v>
      </c>
      <c r="E20" s="4">
        <v>0.7</v>
      </c>
      <c r="F20" s="4">
        <v>1</v>
      </c>
      <c r="G20" s="5">
        <v>0.35</v>
      </c>
      <c r="H20" s="4">
        <v>1</v>
      </c>
    </row>
    <row r="21" spans="1:15" ht="30.75" customHeight="1" x14ac:dyDescent="0.25">
      <c r="C21" s="3">
        <v>-5</v>
      </c>
      <c r="D21" s="4">
        <v>1.4</v>
      </c>
      <c r="E21" s="4">
        <v>0.7</v>
      </c>
      <c r="F21" s="4">
        <v>1</v>
      </c>
      <c r="G21" s="5">
        <v>0.35</v>
      </c>
      <c r="H21" s="4">
        <v>1</v>
      </c>
    </row>
    <row r="22" spans="1:15" x14ac:dyDescent="0.25">
      <c r="A22" s="11">
        <v>4</v>
      </c>
      <c r="C22" s="6">
        <v>-15</v>
      </c>
      <c r="D22" s="199"/>
      <c r="E22" s="200"/>
      <c r="F22" s="200"/>
      <c r="G22" s="201"/>
      <c r="H22" s="7">
        <v>1</v>
      </c>
      <c r="I22" s="199"/>
      <c r="J22" s="203"/>
      <c r="K22" s="203"/>
      <c r="L22" s="204"/>
    </row>
    <row r="23" spans="1:15" x14ac:dyDescent="0.25">
      <c r="C23" s="6">
        <v>-5</v>
      </c>
      <c r="D23" s="199"/>
      <c r="E23" s="200"/>
      <c r="F23" s="200"/>
      <c r="G23" s="201"/>
      <c r="H23" s="7">
        <v>1</v>
      </c>
    </row>
    <row r="24" spans="1:15" ht="18" customHeight="1" x14ac:dyDescent="0.25">
      <c r="C24" s="6">
        <v>-5</v>
      </c>
      <c r="D24" s="199"/>
      <c r="E24" s="200"/>
      <c r="F24" s="200"/>
      <c r="G24" s="201"/>
      <c r="H24" s="7">
        <v>1</v>
      </c>
      <c r="I24" s="199"/>
      <c r="J24" s="202"/>
      <c r="K24" s="202"/>
      <c r="L24" s="202"/>
      <c r="M24" s="202"/>
      <c r="N24" s="202"/>
      <c r="O24" s="202"/>
    </row>
    <row r="25" spans="1:15" x14ac:dyDescent="0.25">
      <c r="A25" s="8"/>
      <c r="I25" s="202"/>
      <c r="J25" s="202"/>
      <c r="K25" s="202"/>
      <c r="L25" s="202"/>
      <c r="M25" s="202"/>
      <c r="N25" s="202"/>
      <c r="O25" s="202"/>
    </row>
    <row r="26" spans="1:15" x14ac:dyDescent="0.25">
      <c r="C26" s="9"/>
      <c r="D26" s="10"/>
      <c r="E26" s="10"/>
      <c r="F26" s="10"/>
      <c r="G26" s="10"/>
      <c r="H26" s="10"/>
    </row>
    <row r="27" spans="1:15" x14ac:dyDescent="0.25">
      <c r="C27" s="9"/>
      <c r="D27" s="10"/>
      <c r="E27" s="10"/>
      <c r="F27" s="10"/>
      <c r="G27" s="10"/>
      <c r="H27" s="10"/>
    </row>
    <row r="28" spans="1:15" x14ac:dyDescent="0.25">
      <c r="C28" s="9"/>
      <c r="D28" s="10"/>
      <c r="E28" s="10"/>
      <c r="F28" s="10"/>
      <c r="G28" s="10"/>
      <c r="H28" s="10"/>
    </row>
    <row r="29" spans="1:15" x14ac:dyDescent="0.25">
      <c r="C29" s="9"/>
      <c r="D29" s="10"/>
      <c r="E29" s="10"/>
      <c r="F29" s="10"/>
      <c r="G29" s="10"/>
      <c r="H29" s="10"/>
    </row>
    <row r="30" spans="1:15" x14ac:dyDescent="0.25">
      <c r="C30" s="9"/>
      <c r="D30" s="10"/>
      <c r="E30" s="10"/>
      <c r="F30" s="10"/>
      <c r="G30" s="10"/>
      <c r="H30" s="10"/>
    </row>
    <row r="31" spans="1:15" x14ac:dyDescent="0.25">
      <c r="C31" s="9"/>
    </row>
    <row r="32" spans="1:15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</sheetData>
  <mergeCells count="9">
    <mergeCell ref="D24:G24"/>
    <mergeCell ref="D22:G22"/>
    <mergeCell ref="I24:O25"/>
    <mergeCell ref="I22:L22"/>
    <mergeCell ref="A2:A3"/>
    <mergeCell ref="B2:B3"/>
    <mergeCell ref="D2:E2"/>
    <mergeCell ref="F2:G2"/>
    <mergeCell ref="D23:G23"/>
  </mergeCells>
  <pageMargins left="0.7" right="0.7" top="0.75" bottom="0.75" header="0.3" footer="0.3"/>
  <pageSetup paperSize="9" orientation="portrait" horizontalDpi="300" verticalDpi="300" r:id="rId1"/>
  <customProperties>
    <customPr name="SSCSheetTrackingNo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R25"/>
  <sheetViews>
    <sheetView workbookViewId="0">
      <selection activeCell="L37" sqref="L37"/>
    </sheetView>
  </sheetViews>
  <sheetFormatPr defaultColWidth="5" defaultRowHeight="15.75" customHeight="1" x14ac:dyDescent="0.15"/>
  <cols>
    <col min="4" max="4" width="6.875" customWidth="1"/>
    <col min="5" max="5" width="9.375" customWidth="1"/>
    <col min="11" max="11" width="6.5" customWidth="1"/>
    <col min="12" max="12" width="8.625" customWidth="1"/>
    <col min="17" max="17" width="6.25" customWidth="1"/>
    <col min="18" max="18" width="9.375" customWidth="1"/>
  </cols>
  <sheetData>
    <row r="8" spans="4:18" ht="15.75" customHeight="1" x14ac:dyDescent="0.15">
      <c r="E8" s="126">
        <v>5.62E-4</v>
      </c>
      <c r="L8" s="126">
        <v>1.3619999999999999E-3</v>
      </c>
      <c r="R8" s="126">
        <v>1.5300000000000001E-4</v>
      </c>
    </row>
    <row r="9" spans="4:18" ht="15.75" customHeight="1" x14ac:dyDescent="0.15">
      <c r="E9">
        <v>34.04</v>
      </c>
      <c r="L9">
        <v>32.86</v>
      </c>
      <c r="R9">
        <v>45.33</v>
      </c>
    </row>
    <row r="10" spans="4:18" ht="15.75" customHeight="1" x14ac:dyDescent="0.15">
      <c r="E10" s="126">
        <f>E9*E8</f>
        <v>1.9130479999999998E-2</v>
      </c>
      <c r="L10" s="126">
        <f>L9*L8</f>
        <v>4.4755319999999994E-2</v>
      </c>
      <c r="R10" s="126">
        <f>R9*R8</f>
        <v>6.9354899999999999E-3</v>
      </c>
    </row>
    <row r="11" spans="4:18" ht="15.75" customHeight="1" x14ac:dyDescent="0.15">
      <c r="E11" s="126">
        <f>2*0.000281</f>
        <v>5.62E-4</v>
      </c>
      <c r="L11" s="126">
        <f>3*0.000454</f>
        <v>1.3619999999999999E-3</v>
      </c>
      <c r="R11" s="126">
        <f>0.000153</f>
        <v>1.5300000000000001E-4</v>
      </c>
    </row>
    <row r="12" spans="4:18" ht="15.75" customHeight="1" x14ac:dyDescent="0.15">
      <c r="E12" s="126">
        <f>2*0.975*0.00981</f>
        <v>1.9129499999999997E-2</v>
      </c>
      <c r="L12" s="126">
        <f>3*1.521*0.00981</f>
        <v>4.4763029999999995E-2</v>
      </c>
      <c r="R12" s="126">
        <f>0.707*0.00981</f>
        <v>6.9356699999999988E-3</v>
      </c>
    </row>
    <row r="13" spans="4:18" ht="15.75" customHeight="1" x14ac:dyDescent="0.15">
      <c r="E13" s="57">
        <f>(1-E12/E10)*100</f>
        <v>5.1227151644961388E-3</v>
      </c>
      <c r="L13" s="57">
        <f>(1-L12/L10)*100</f>
        <v>-1.7227002287101278E-2</v>
      </c>
      <c r="R13" s="57">
        <f>(1-R12/R10)*100</f>
        <v>-2.5953465436323597E-3</v>
      </c>
    </row>
    <row r="15" spans="4:18" ht="15.75" customHeight="1" x14ac:dyDescent="0.15">
      <c r="D15" s="127">
        <v>360</v>
      </c>
      <c r="E15" s="57">
        <f>D15*$E$10</f>
        <v>6.8869727999999997</v>
      </c>
      <c r="K15" s="127">
        <v>360</v>
      </c>
      <c r="L15" s="57">
        <f>K15*L$10</f>
        <v>16.111915199999999</v>
      </c>
      <c r="Q15" s="127">
        <v>360</v>
      </c>
      <c r="R15" s="57">
        <f>Q15*R$10</f>
        <v>2.4967763999999999</v>
      </c>
    </row>
    <row r="16" spans="4:18" ht="15.75" customHeight="1" x14ac:dyDescent="0.15">
      <c r="D16" s="127">
        <v>420</v>
      </c>
      <c r="E16" s="57">
        <f t="shared" ref="E16:E20" si="0">D16*$E$10</f>
        <v>8.0348015999999998</v>
      </c>
      <c r="K16" s="127">
        <v>420</v>
      </c>
      <c r="L16" s="57">
        <f t="shared" ref="L16:L20" si="1">K16*L$10</f>
        <v>18.797234399999997</v>
      </c>
      <c r="Q16" s="127">
        <v>420</v>
      </c>
      <c r="R16" s="57">
        <f t="shared" ref="R16:R20" si="2">Q16*R$10</f>
        <v>2.9129057999999999</v>
      </c>
    </row>
    <row r="17" spans="3:18" ht="15.75" customHeight="1" x14ac:dyDescent="0.15">
      <c r="D17" s="127">
        <v>210</v>
      </c>
      <c r="E17" s="57">
        <f t="shared" si="0"/>
        <v>4.0174007999999999</v>
      </c>
      <c r="K17" s="127">
        <v>210</v>
      </c>
      <c r="L17" s="57">
        <f t="shared" si="1"/>
        <v>9.3986171999999986</v>
      </c>
      <c r="Q17" s="127">
        <v>210</v>
      </c>
      <c r="R17" s="57">
        <f t="shared" si="2"/>
        <v>1.4564528999999999</v>
      </c>
    </row>
    <row r="18" spans="3:18" ht="15.75" customHeight="1" x14ac:dyDescent="0.15">
      <c r="D18" s="127">
        <v>150</v>
      </c>
      <c r="E18" s="57">
        <f t="shared" si="0"/>
        <v>2.8695719999999998</v>
      </c>
      <c r="K18" s="127">
        <v>150</v>
      </c>
      <c r="L18" s="57">
        <f t="shared" si="1"/>
        <v>6.7132979999999991</v>
      </c>
      <c r="Q18" s="127">
        <v>150</v>
      </c>
      <c r="R18" s="57">
        <f t="shared" si="2"/>
        <v>1.0403235</v>
      </c>
    </row>
    <row r="19" spans="3:18" ht="15.75" customHeight="1" x14ac:dyDescent="0.15">
      <c r="D19" s="128">
        <v>361.1</v>
      </c>
      <c r="E19" s="57">
        <f t="shared" si="0"/>
        <v>6.9080163279999995</v>
      </c>
      <c r="K19" s="128">
        <v>360.92</v>
      </c>
      <c r="L19" s="57">
        <f t="shared" si="1"/>
        <v>16.1530900944</v>
      </c>
      <c r="Q19" s="128">
        <v>360.92</v>
      </c>
      <c r="R19" s="57">
        <f t="shared" si="2"/>
        <v>2.5031570508000001</v>
      </c>
    </row>
    <row r="20" spans="3:18" ht="15.75" customHeight="1" x14ac:dyDescent="0.15">
      <c r="C20" s="57">
        <f>150/360</f>
        <v>0.41666666666666669</v>
      </c>
      <c r="D20">
        <f>C20*D19</f>
        <v>150.45833333333334</v>
      </c>
      <c r="E20" s="57">
        <f t="shared" si="0"/>
        <v>2.8783401366666665</v>
      </c>
      <c r="J20" s="57">
        <f>150/360</f>
        <v>0.41666666666666669</v>
      </c>
      <c r="K20" s="57">
        <f>J20*K19</f>
        <v>150.38333333333335</v>
      </c>
      <c r="L20" s="57">
        <f t="shared" si="1"/>
        <v>6.7304542060000001</v>
      </c>
      <c r="P20" s="57">
        <f>150/360</f>
        <v>0.41666666666666669</v>
      </c>
      <c r="Q20" s="57">
        <f>P20*Q19</f>
        <v>150.38333333333335</v>
      </c>
      <c r="R20" s="57">
        <f t="shared" si="2"/>
        <v>1.0429821045000001</v>
      </c>
    </row>
    <row r="23" spans="3:18" ht="15.75" customHeight="1" x14ac:dyDescent="0.15">
      <c r="K23" s="57">
        <f>(1-E20/2.95)*100</f>
        <v>2.4291479096045343</v>
      </c>
    </row>
    <row r="24" spans="3:18" ht="15.75" customHeight="1" x14ac:dyDescent="0.15">
      <c r="K24" s="57">
        <f>(1-6.73/6.95)*100</f>
        <v>3.1654676258992764</v>
      </c>
    </row>
    <row r="25" spans="3:18" ht="15.75" customHeight="1" x14ac:dyDescent="0.15">
      <c r="K25" s="57">
        <f>(1-R20/1.04)*100</f>
        <v>-0.28674081730768464</v>
      </c>
    </row>
  </sheetData>
  <pageMargins left="0.7" right="0.7" top="0.75" bottom="0.75" header="0.3" footer="0.3"/>
  <customProperties>
    <customPr name="SSCSheetTrackingNo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34"/>
  <sheetViews>
    <sheetView zoomScaleNormal="100" workbookViewId="0">
      <selection activeCell="E20" sqref="E20"/>
    </sheetView>
  </sheetViews>
  <sheetFormatPr defaultColWidth="4.875" defaultRowHeight="16.5" customHeight="1" x14ac:dyDescent="0.25"/>
  <cols>
    <col min="1" max="2" width="1.375" style="87" customWidth="1"/>
    <col min="3" max="3" width="1.375" customWidth="1"/>
    <col min="4" max="4" width="7.875" customWidth="1"/>
    <col min="5" max="5" width="8" customWidth="1"/>
    <col min="7" max="7" width="1.25" customWidth="1"/>
  </cols>
  <sheetData>
    <row r="4" spans="5:5" ht="16.5" customHeight="1" x14ac:dyDescent="0.25">
      <c r="E4" s="177">
        <v>1</v>
      </c>
    </row>
    <row r="5" spans="5:5" ht="16.5" customHeight="1" x14ac:dyDescent="0.25">
      <c r="E5" s="177">
        <v>1</v>
      </c>
    </row>
    <row r="6" spans="5:5" ht="16.5" customHeight="1" x14ac:dyDescent="0.25">
      <c r="E6" s="178">
        <v>1.25</v>
      </c>
    </row>
    <row r="12" spans="5:5" ht="16.5" customHeight="1" x14ac:dyDescent="0.25">
      <c r="E12" s="179">
        <v>976</v>
      </c>
    </row>
    <row r="13" spans="5:5" ht="16.5" customHeight="1" x14ac:dyDescent="0.25">
      <c r="E13" s="179">
        <v>82.2</v>
      </c>
    </row>
    <row r="14" spans="5:5" ht="16.5" customHeight="1" x14ac:dyDescent="0.25">
      <c r="E14" s="179">
        <v>7.05</v>
      </c>
    </row>
    <row r="15" spans="5:5" ht="16.5" customHeight="1" x14ac:dyDescent="0.25">
      <c r="E15" s="179">
        <v>5.85</v>
      </c>
    </row>
    <row r="19" spans="5:9" ht="16.5" customHeight="1" x14ac:dyDescent="0.25">
      <c r="E19">
        <v>355</v>
      </c>
    </row>
    <row r="20" spans="5:9" ht="16.5" customHeight="1" x14ac:dyDescent="0.25">
      <c r="E20" s="174" t="e">
        <f>VLOOKUP($E$18,Tabel_1,2,FALSE)</f>
        <v>#N/A</v>
      </c>
    </row>
    <row r="21" spans="5:9" ht="16.5" customHeight="1" x14ac:dyDescent="0.25">
      <c r="E21" s="174" t="e">
        <f>VLOOKUP($E$18,Tabel_1,3,FALSE)</f>
        <v>#N/A</v>
      </c>
    </row>
    <row r="22" spans="5:9" ht="16.5" customHeight="1" x14ac:dyDescent="0.25">
      <c r="E22" s="174" t="e">
        <f>VLOOKUP($E$18,Tabel_1,5,FALSE)*100</f>
        <v>#N/A</v>
      </c>
    </row>
    <row r="23" spans="5:9" ht="16.5" customHeight="1" x14ac:dyDescent="0.25">
      <c r="E23" s="174" t="e">
        <f>VLOOKUP($E$18,Tabel_1,8,FALSE)*10^3</f>
        <v>#N/A</v>
      </c>
    </row>
    <row r="24" spans="5:9" ht="16.5" customHeight="1" x14ac:dyDescent="0.25">
      <c r="E24" s="174" t="e">
        <f>VLOOKUP($E$18,Tabel_1,10,FALSE)*10</f>
        <v>#N/A</v>
      </c>
    </row>
    <row r="27" spans="5:9" ht="16.5" customHeight="1" x14ac:dyDescent="0.25">
      <c r="E27">
        <v>0.81</v>
      </c>
    </row>
    <row r="28" spans="5:9" ht="16.5" customHeight="1" x14ac:dyDescent="0.25">
      <c r="E28" s="57">
        <f>E27^2</f>
        <v>0.65610000000000013</v>
      </c>
      <c r="G28" s="31" t="str">
        <f>[3]!EQS(E28,"Units= ; EqnPrefix=Valem  ; EqnNo= 0; Multiplication= 1; ShowWorking= 0; EqnStyle= 2; Eqp$G$20_2")</f>
        <v/>
      </c>
    </row>
    <row r="29" spans="5:9" ht="16.5" customHeight="1" x14ac:dyDescent="0.25">
      <c r="E29" s="57" t="e">
        <f>E20/E21</f>
        <v>#N/A</v>
      </c>
      <c r="G29" s="31" t="str">
        <f>[3]!EQS(E29,"Units= ; EqnPrefix=Valem  ; EqnNo= 0; Multiplication= 1; ShowWorking= 0; EqnStyle= 2; Eqp$G$20_2")</f>
        <v/>
      </c>
    </row>
    <row r="30" spans="5:9" ht="16.5" customHeight="1" x14ac:dyDescent="0.25">
      <c r="E30" t="e">
        <f>IF(E29&lt;50*E28,1,IF(E29&lt;70*E28,2,IF(E29&lt;90*E28,3,4)))</f>
        <v>#N/A</v>
      </c>
      <c r="I30" t="e">
        <f>IF(E30=4,"Leia A_eff","")</f>
        <v>#N/A</v>
      </c>
    </row>
    <row r="35" spans="4:7" ht="16.5" customHeight="1" x14ac:dyDescent="0.25">
      <c r="E35" s="182">
        <v>14130</v>
      </c>
    </row>
    <row r="36" spans="4:7" ht="16.5" customHeight="1" x14ac:dyDescent="0.25">
      <c r="E36" s="181">
        <v>1</v>
      </c>
    </row>
    <row r="37" spans="4:7" ht="16.5" customHeight="1" x14ac:dyDescent="0.25">
      <c r="E37">
        <f>E35*E36</f>
        <v>14130</v>
      </c>
      <c r="G37" s="31" t="str">
        <f>[3]!EQS(E37,"Units= ; EqnPrefix=Valem  ; EqnNo= 0; Multiplication= 1; ShowWorking= 0; EqnStyle= 2; Eqp$G$20_2")</f>
        <v/>
      </c>
    </row>
    <row r="38" spans="4:7" ht="16.5" customHeight="1" x14ac:dyDescent="0.25">
      <c r="E38" t="e">
        <f>E24</f>
        <v>#N/A</v>
      </c>
    </row>
    <row r="39" spans="4:7" ht="16.5" customHeight="1" x14ac:dyDescent="0.25">
      <c r="E39" s="57" t="e">
        <f>E37/E38</f>
        <v>#N/A</v>
      </c>
      <c r="G39" s="31" t="str">
        <f>[3]!EQS(E39,"Units= ; EqnPrefix=Valem  ; EqnNo= 0; Multiplication= 1; ShowWorking= 0; EqnStyle= 2; Eqp$G$20_2")</f>
        <v/>
      </c>
    </row>
    <row r="40" spans="4:7" ht="16.5" customHeight="1" x14ac:dyDescent="0.25">
      <c r="E40">
        <v>210000</v>
      </c>
    </row>
    <row r="41" spans="4:7" ht="16.5" customHeight="1" x14ac:dyDescent="0.25">
      <c r="E41">
        <f>E19</f>
        <v>355</v>
      </c>
    </row>
    <row r="42" spans="4:7" ht="16.5" customHeight="1" x14ac:dyDescent="0.25">
      <c r="E42" s="183" t="e">
        <f>(E39/PI())*(E41/E40)^0.5</f>
        <v>#N/A</v>
      </c>
      <c r="G42" s="31" t="str">
        <f>[3]!EQS(E42,"Units= ; EqnPrefix=Valem  ; EqnNo= 0; Multiplication= 1; ShowWorking= 0; EqnStyle= 2; Eqp$G$20_2")</f>
        <v/>
      </c>
    </row>
    <row r="44" spans="4:7" ht="16.5" customHeight="1" x14ac:dyDescent="0.25">
      <c r="E44">
        <v>0.21</v>
      </c>
    </row>
    <row r="45" spans="4:7" ht="16.5" customHeight="1" x14ac:dyDescent="0.25">
      <c r="E45" s="57" t="e">
        <f>0.5*(1+E44*(E42-0.2)+E42^2)</f>
        <v>#N/A</v>
      </c>
      <c r="G45" s="31" t="str">
        <f>[3]!EQS(E45,"Units= ; EqnPrefix=Valem  ; EqnNo= 0; Multiplication= 1; ShowWorking= 0; EqnStyle= 2; Eqp$G$20_2")</f>
        <v/>
      </c>
    </row>
    <row r="46" spans="4:7" ht="16.5" customHeight="1" x14ac:dyDescent="0.25">
      <c r="E46" s="57" t="e">
        <f>1/(E45+(E45^2-E42^2)^0.5)</f>
        <v>#N/A</v>
      </c>
      <c r="G46" s="31" t="str">
        <f>[3]!EQS(E46,"Units= ; EqnPrefix=Valem  ; EqnNo= 0; Multiplication= 1; ShowWorking= 0; EqnStyle= 2; Eqp$G$20_2")</f>
        <v/>
      </c>
    </row>
    <row r="47" spans="4:7" ht="16.5" customHeight="1" x14ac:dyDescent="0.25">
      <c r="E47" s="65" t="e">
        <f>E22*E19/E4*10^-3</f>
        <v>#N/A</v>
      </c>
      <c r="G47" s="31" t="str">
        <f>[3]!EQS(E47,"Units= ; EqnPrefix=Valem  ; EqnNo= 0; Multiplication= 1; ShowWorking= 0; EqnStyle= 2; Eqp$G$20_2")</f>
        <v/>
      </c>
    </row>
    <row r="48" spans="4:7" ht="16.5" customHeight="1" x14ac:dyDescent="0.25">
      <c r="D48" s="56"/>
      <c r="E48" s="65"/>
      <c r="G48" s="31" t="str">
        <f>[3]!EQS(E47,"Units= ; EqnPrefix=Valem  ; EqnNo= 0; Multiplication= 1; ShowWorking= 1; EqnStyle= 2; Eqp$G$20_$G$32_3")</f>
        <v/>
      </c>
    </row>
    <row r="49" spans="5:12" ht="16.5" customHeight="1" x14ac:dyDescent="0.25">
      <c r="E49" s="57" t="e">
        <f>E46*E47</f>
        <v>#N/A</v>
      </c>
      <c r="G49" s="31" t="str">
        <f>[3]!EQS(E49,"Units= ; EqnPrefix=Valem  ; EqnNo= 0; Multiplication= 1; ShowWorking= 0; EqnStyle= 2; Eqp$G$20_2")</f>
        <v/>
      </c>
    </row>
    <row r="50" spans="5:12" ht="16.5" customHeight="1" x14ac:dyDescent="0.25">
      <c r="E50">
        <f>E12</f>
        <v>976</v>
      </c>
    </row>
    <row r="51" spans="5:12" ht="16.5" customHeight="1" x14ac:dyDescent="0.25">
      <c r="E51" s="57" t="e">
        <f>E50/E49*100</f>
        <v>#N/A</v>
      </c>
      <c r="H51" s="207" t="e">
        <f>IF(E51&lt;100,"Kandevõime on tagatud!","Kandevõime pole tagatud!")</f>
        <v>#N/A</v>
      </c>
      <c r="I51" s="207"/>
      <c r="J51" s="207"/>
      <c r="K51" s="207"/>
      <c r="L51" s="207"/>
    </row>
    <row r="52" spans="5:12" ht="16.5" customHeight="1" x14ac:dyDescent="0.25">
      <c r="H52" s="180"/>
    </row>
    <row r="54" spans="5:12" ht="16.5" customHeight="1" x14ac:dyDescent="0.25">
      <c r="E54" s="57" t="e">
        <f>E23*E19/E4*10^-6</f>
        <v>#N/A</v>
      </c>
      <c r="G54" s="31" t="str">
        <f>[3]!EQS(E54,"Units= ; EqnPrefix=Valem  ; EqnNo= 0; Multiplication= 1; ShowWorking= 0; EqnStyle= 2; Eqp$G$20_2")</f>
        <v/>
      </c>
    </row>
    <row r="55" spans="5:12" ht="16.5" customHeight="1" x14ac:dyDescent="0.25">
      <c r="G55" t="str">
        <f>[3]!EQS(E54,"Units= ; EqnPrefix=Valem  ; EqnNo= 0; Multiplication= 1; ShowWorking= 1; EqnStyle= 2; Eqp$G$20_$G$37_3")</f>
        <v/>
      </c>
    </row>
    <row r="56" spans="5:12" ht="16.5" customHeight="1" x14ac:dyDescent="0.25">
      <c r="E56">
        <v>1</v>
      </c>
      <c r="H56" s="174"/>
    </row>
    <row r="57" spans="5:12" ht="16.5" customHeight="1" x14ac:dyDescent="0.25">
      <c r="E57">
        <f>MAX(E13,E14)</f>
        <v>82.2</v>
      </c>
    </row>
    <row r="58" spans="5:12" ht="16.5" customHeight="1" x14ac:dyDescent="0.25">
      <c r="E58" s="57" t="e">
        <f>E57/E54*100</f>
        <v>#N/A</v>
      </c>
    </row>
    <row r="63" spans="5:12" ht="16.5" customHeight="1" x14ac:dyDescent="0.25">
      <c r="E63">
        <v>0.9</v>
      </c>
    </row>
    <row r="64" spans="5:12" ht="16.5" customHeight="1" x14ac:dyDescent="0.25">
      <c r="E64" s="57" t="e">
        <f>E63*(1+0.6*E42*(E50/E49))</f>
        <v>#N/A</v>
      </c>
      <c r="G64" s="31" t="str">
        <f>[3]!EQS(E64,"Units= ; EqnPrefix=Valem  ; EqnNo= 0; Multiplication= 1; ShowWorking= 0; EqnStyle= 2; Eqp$G$20_2")</f>
        <v/>
      </c>
    </row>
    <row r="65" spans="5:12" ht="16.5" customHeight="1" x14ac:dyDescent="0.25">
      <c r="E65" s="57" t="e">
        <f>E63*(1+0.6*(E50/E49))</f>
        <v>#N/A</v>
      </c>
      <c r="G65" s="31" t="str">
        <f>[3]!EQS(E65,"Units= ; EqnPrefix=Valem  ; EqnNo= 0; Multiplication= 1; ShowWorking= 0; EqnStyle= 2; Eqp$G$20_2")</f>
        <v/>
      </c>
    </row>
    <row r="66" spans="5:12" ht="16.5" customHeight="1" x14ac:dyDescent="0.25">
      <c r="E66" s="57" t="e">
        <f>MIN(E64,E65)</f>
        <v>#N/A</v>
      </c>
      <c r="G66" s="31"/>
    </row>
    <row r="67" spans="5:12" ht="16.5" customHeight="1" x14ac:dyDescent="0.25">
      <c r="E67">
        <v>0</v>
      </c>
    </row>
    <row r="68" spans="5:12" ht="16.5" customHeight="1" x14ac:dyDescent="0.25">
      <c r="E68" s="57" t="e">
        <f>E66</f>
        <v>#N/A</v>
      </c>
      <c r="G68" s="31" t="str">
        <f>[3]!EQS(E68,"Units= ; EqnPrefix=Valem  ; EqnNo= 0; Multiplication= 1; ShowWorking= 0; EqnStyle= 2; Eqp$G$20_2")</f>
        <v/>
      </c>
    </row>
    <row r="69" spans="5:12" ht="16.5" customHeight="1" x14ac:dyDescent="0.25">
      <c r="E69" s="128" t="e">
        <f>E68</f>
        <v>#N/A</v>
      </c>
      <c r="G69" s="31" t="str">
        <f>[3]!EQS(E69,"Units= ; EqnPrefix=Valem  ; EqnNo= 0; Multiplication= 1; ShowWorking= 0; EqnStyle= 2; Eqp$G$20_2")</f>
        <v/>
      </c>
    </row>
    <row r="71" spans="5:12" ht="16.5" customHeight="1" x14ac:dyDescent="0.25">
      <c r="E71" s="184" t="e">
        <f>(E50/E49+E66*E57/(E56*E54)+E69*E14/(E56*E54))*100</f>
        <v>#N/A</v>
      </c>
      <c r="G71" s="31" t="str">
        <f>[3]!EQS(E71,"Units= ; EqnPrefix=Valem  ; EqnNo= 0; Multiplication= 1; ShowWorking= 0; EqnStyle= 2; Eqp$G$20_2")</f>
        <v/>
      </c>
    </row>
    <row r="72" spans="5:12" ht="16.5" customHeight="1" x14ac:dyDescent="0.25">
      <c r="G72" t="str">
        <f>[3]!EQS(E71,"Units= ; EqnPrefix=Valem  ; EqnNo= 0; Multiplication= 1; ShowWorking= 1; EqnStyle= 2; Eqp$G$20_$G$72_3")</f>
        <v/>
      </c>
    </row>
    <row r="73" spans="5:12" ht="16.5" customHeight="1" x14ac:dyDescent="0.25">
      <c r="H73" s="207" t="e">
        <f>IF(E71&lt;100,"Kandevõime on tagatud!","Kandevõime pole tagatud!")</f>
        <v>#N/A</v>
      </c>
      <c r="I73" s="207"/>
      <c r="J73" s="207"/>
      <c r="K73" s="207"/>
      <c r="L73" s="207"/>
    </row>
    <row r="80" spans="5:12" ht="16.5" customHeight="1" x14ac:dyDescent="0.25">
      <c r="E80" s="179">
        <v>27.16</v>
      </c>
    </row>
    <row r="81" spans="5:5" ht="16.5" customHeight="1" x14ac:dyDescent="0.25">
      <c r="E81" s="179">
        <v>14.96</v>
      </c>
    </row>
    <row r="82" spans="5:5" ht="16.5" customHeight="1" x14ac:dyDescent="0.25">
      <c r="E82" s="179">
        <v>1.81</v>
      </c>
    </row>
    <row r="83" spans="5:5" ht="16.5" customHeight="1" x14ac:dyDescent="0.25">
      <c r="E83" s="179">
        <v>0.77</v>
      </c>
    </row>
    <row r="87" spans="5:5" ht="16.5" customHeight="1" x14ac:dyDescent="0.25">
      <c r="E87">
        <v>355</v>
      </c>
    </row>
    <row r="88" spans="5:5" ht="16.5" customHeight="1" x14ac:dyDescent="0.25">
      <c r="E88" s="183" t="e">
        <f>VLOOKUP($E$86,tabel_2,2,FALSE)</f>
        <v>#N/A</v>
      </c>
    </row>
    <row r="89" spans="5:5" ht="16.5" customHeight="1" x14ac:dyDescent="0.25">
      <c r="E89" s="174" t="e">
        <f>VLOOKUP(E86,tabel_2,3,FALSE)</f>
        <v>#N/A</v>
      </c>
    </row>
    <row r="90" spans="5:5" ht="16.5" customHeight="1" x14ac:dyDescent="0.25">
      <c r="E90" s="174" t="e">
        <f>VLOOKUP(E86,tabel_2,5,FALSE)*100</f>
        <v>#N/A</v>
      </c>
    </row>
    <row r="91" spans="5:5" ht="16.5" customHeight="1" x14ac:dyDescent="0.25">
      <c r="E91" s="174" t="e">
        <f>VLOOKUP(E86,tabel_2,8,FALSE)*10^3</f>
        <v>#N/A</v>
      </c>
    </row>
    <row r="92" spans="5:5" ht="16.5" customHeight="1" x14ac:dyDescent="0.25">
      <c r="E92" s="174" t="e">
        <f>VLOOKUP(E86,tabel_2,10,FALSE)*10</f>
        <v>#N/A</v>
      </c>
    </row>
    <row r="93" spans="5:5" ht="16.5" customHeight="1" x14ac:dyDescent="0.25">
      <c r="E93" s="174" t="e">
        <f>VLOOKUP(E86,tabel_2,4,FALSE)</f>
        <v>#N/A</v>
      </c>
    </row>
    <row r="96" spans="5:5" ht="16.5" customHeight="1" x14ac:dyDescent="0.25">
      <c r="E96">
        <v>0.81</v>
      </c>
    </row>
    <row r="97" spans="5:9" ht="16.5" customHeight="1" x14ac:dyDescent="0.25">
      <c r="E97" s="57">
        <f>E96^2</f>
        <v>0.65610000000000013</v>
      </c>
      <c r="G97" s="31" t="str">
        <f>[3]!EQS(E97,"Units= ; EqnPrefix=Valem  ; EqnNo= 0; Multiplication= 1; ShowWorking= 0; EqnStyle= 2; Eqp$G$20_2")</f>
        <v/>
      </c>
    </row>
    <row r="98" spans="5:9" ht="16.5" customHeight="1" x14ac:dyDescent="0.25">
      <c r="E98" s="57" t="e">
        <f>E88/E89</f>
        <v>#N/A</v>
      </c>
      <c r="G98" s="31" t="str">
        <f>[3]!EQS(E98,"Units= ; EqnPrefix=Valem  ; EqnNo= 0; Multiplication= 1; ShowWorking= 0; EqnStyle= 2; Eqp$G$20_2")</f>
        <v/>
      </c>
    </row>
    <row r="99" spans="5:9" ht="16.5" customHeight="1" x14ac:dyDescent="0.25">
      <c r="E99" t="e">
        <f>IF(E98&lt;50*E97,1,IF(E98&lt;70*E97,2,IF(E98&lt;90*E97,3,4)))</f>
        <v>#N/A</v>
      </c>
      <c r="I99" t="e">
        <f>IF(E99=4,"Leia A_eff","")</f>
        <v>#N/A</v>
      </c>
    </row>
    <row r="105" spans="5:9" ht="16.5" customHeight="1" x14ac:dyDescent="0.25">
      <c r="E105" s="182">
        <v>15110</v>
      </c>
    </row>
    <row r="106" spans="5:9" ht="16.5" customHeight="1" x14ac:dyDescent="0.25">
      <c r="E106" s="181">
        <v>1</v>
      </c>
    </row>
    <row r="107" spans="5:9" ht="16.5" customHeight="1" x14ac:dyDescent="0.25">
      <c r="E107">
        <f>E105*E106</f>
        <v>15110</v>
      </c>
      <c r="G107" s="31" t="str">
        <f>[3]!EQS(E107,"Units= ; EqnPrefix=Valem  ; EqnNo= 0; Multiplication= 1; ShowWorking= 0; EqnStyle= 2; Eqp$G$20_2")</f>
        <v/>
      </c>
    </row>
    <row r="108" spans="5:9" ht="16.5" customHeight="1" x14ac:dyDescent="0.25">
      <c r="E108" t="e">
        <f>E92</f>
        <v>#N/A</v>
      </c>
    </row>
    <row r="109" spans="5:9" ht="16.5" customHeight="1" x14ac:dyDescent="0.25">
      <c r="E109" s="57" t="e">
        <f>E107/E108</f>
        <v>#N/A</v>
      </c>
      <c r="G109" s="31" t="str">
        <f>[3]!EQS(E109,"Units= ; EqnPrefix=Valem  ; EqnNo= 0; Multiplication= 1; ShowWorking= 0; EqnStyle= 2; Eqp$G$20_2")</f>
        <v/>
      </c>
    </row>
    <row r="110" spans="5:9" ht="16.5" customHeight="1" x14ac:dyDescent="0.25">
      <c r="E110">
        <v>210000</v>
      </c>
    </row>
    <row r="111" spans="5:9" ht="16.5" customHeight="1" x14ac:dyDescent="0.25">
      <c r="E111" t="e">
        <f>E89</f>
        <v>#N/A</v>
      </c>
    </row>
    <row r="112" spans="5:9" ht="16.5" customHeight="1" x14ac:dyDescent="0.25">
      <c r="E112" s="183" t="e">
        <f>(E109/PI())*(E111/E110)^0.5</f>
        <v>#N/A</v>
      </c>
      <c r="G112" s="31" t="str">
        <f>[3]!EQS(E112,"Units= ; EqnPrefix=Valem  ; EqnNo= 0; Multiplication= 1; ShowWorking= 0; EqnStyle= 2; Eqp$G$20_2")</f>
        <v/>
      </c>
    </row>
    <row r="114" spans="4:12" ht="16.5" customHeight="1" x14ac:dyDescent="0.25">
      <c r="E114">
        <v>0.21</v>
      </c>
    </row>
    <row r="115" spans="4:12" ht="16.5" customHeight="1" x14ac:dyDescent="0.25">
      <c r="E115" s="57" t="e">
        <f>0.5*(1+E114*(E112-0.2)+E112^2)</f>
        <v>#N/A</v>
      </c>
      <c r="G115" s="31" t="str">
        <f>[3]!EQS(E115,"Units= ; EqnPrefix=Valem  ; EqnNo= 0; Multiplication= 1; ShowWorking= 0; EqnStyle= 2; Eqp$G$20_2")</f>
        <v/>
      </c>
    </row>
    <row r="116" spans="4:12" ht="16.5" customHeight="1" x14ac:dyDescent="0.25">
      <c r="E116" s="57" t="e">
        <f>1/(E115+(E115^2-E112^2)^0.5)</f>
        <v>#N/A</v>
      </c>
      <c r="G116" s="31" t="str">
        <f>[3]!EQS(E116,"Units= ; EqnPrefix=Valem  ; EqnNo= 0; Multiplication= 1; ShowWorking= 0; EqnStyle= 2; Eqp$G$20_2")</f>
        <v/>
      </c>
    </row>
    <row r="117" spans="4:12" ht="16.5" customHeight="1" x14ac:dyDescent="0.25">
      <c r="E117" s="65" t="e">
        <f>E90*E87/E4*10^-3</f>
        <v>#N/A</v>
      </c>
      <c r="G117" s="31" t="str">
        <f>[3]!EQS(E117,"Units= ; EqnPrefix=Valem  ; EqnNo= 0; Multiplication= 1; ShowWorking= 0; EqnStyle= 2; Eqp$G$20_2")</f>
        <v/>
      </c>
    </row>
    <row r="118" spans="4:12" ht="16.5" customHeight="1" x14ac:dyDescent="0.25">
      <c r="D118" s="56"/>
      <c r="E118" s="65"/>
      <c r="G118" s="31" t="str">
        <f>[3]!EQS(E117,"Units= ; EqnPrefix=Valem  ; EqnNo= 0; Multiplication= 1; ShowWorking= 1; EqnStyle= 2; Eqp$G$20_$G$32_3")</f>
        <v/>
      </c>
    </row>
    <row r="119" spans="4:12" ht="16.5" customHeight="1" x14ac:dyDescent="0.25">
      <c r="E119" s="57" t="e">
        <f>E116*E117</f>
        <v>#N/A</v>
      </c>
      <c r="G119" s="31" t="str">
        <f>[3]!EQS(E119,"Units= ; EqnPrefix=Valem  ; EqnNo= 0; Multiplication= 1; ShowWorking= 0; EqnStyle= 2; Eqp$G$20_2")</f>
        <v/>
      </c>
    </row>
    <row r="120" spans="4:12" ht="16.5" customHeight="1" x14ac:dyDescent="0.25">
      <c r="E120">
        <f>E82</f>
        <v>1.81</v>
      </c>
    </row>
    <row r="121" spans="4:12" ht="16.5" customHeight="1" x14ac:dyDescent="0.25">
      <c r="E121" s="57" t="e">
        <f>E120/E119*100</f>
        <v>#N/A</v>
      </c>
      <c r="H121" s="207" t="e">
        <f>IF(E121&lt;100,"Kandevõime on tagatud!","Kandevõime pole tagatud!")</f>
        <v>#N/A</v>
      </c>
      <c r="I121" s="207"/>
      <c r="J121" s="207"/>
      <c r="K121" s="207"/>
      <c r="L121" s="207"/>
    </row>
    <row r="122" spans="4:12" ht="16.5" customHeight="1" x14ac:dyDescent="0.25">
      <c r="H122" s="180"/>
    </row>
    <row r="124" spans="4:12" ht="16.5" customHeight="1" x14ac:dyDescent="0.25">
      <c r="E124" s="57" t="e">
        <f>E91*E87/E4*10^-6</f>
        <v>#N/A</v>
      </c>
      <c r="G124" s="31" t="str">
        <f>[3]!EQS(E124,"Units= ; EqnPrefix=Valem  ; EqnNo= 0; Multiplication= 1; ShowWorking= 0; EqnStyle= 2; Eqp$G$20_2")</f>
        <v/>
      </c>
    </row>
    <row r="125" spans="4:12" ht="16.5" customHeight="1" x14ac:dyDescent="0.25">
      <c r="G125" t="str">
        <f>[3]!EQS(E124,"Units= ; EqnPrefix=Valem  ; EqnNo= 0; Multiplication= 1; ShowWorking= 1; EqnStyle= 2; Eqp$G$20_$G$37_3")</f>
        <v/>
      </c>
    </row>
    <row r="126" spans="4:12" ht="16.5" customHeight="1" x14ac:dyDescent="0.25">
      <c r="E126">
        <v>1</v>
      </c>
      <c r="H126" s="174"/>
    </row>
    <row r="127" spans="4:12" ht="16.5" customHeight="1" x14ac:dyDescent="0.25">
      <c r="E127">
        <f>MAX(E81,E82)</f>
        <v>14.96</v>
      </c>
    </row>
    <row r="128" spans="4:12" ht="16.5" customHeight="1" x14ac:dyDescent="0.25">
      <c r="E128" s="57" t="e">
        <f>E127/E124*100</f>
        <v>#N/A</v>
      </c>
    </row>
    <row r="133" spans="5:12" ht="16.5" customHeight="1" x14ac:dyDescent="0.25">
      <c r="E133">
        <v>0.9</v>
      </c>
    </row>
    <row r="134" spans="5:12" ht="16.5" customHeight="1" x14ac:dyDescent="0.25">
      <c r="E134" s="57" t="e">
        <f>E133*(1+0.6*E112*(E120/E119))</f>
        <v>#N/A</v>
      </c>
      <c r="G134" s="31" t="str">
        <f>[3]!EQS(E134,"Units= ; EqnPrefix=Valem  ; EqnNo= 0; Multiplication= 1; ShowWorking= 0; EqnStyle= 2; Eqp$G$20_2")</f>
        <v/>
      </c>
    </row>
    <row r="135" spans="5:12" ht="16.5" customHeight="1" x14ac:dyDescent="0.25">
      <c r="E135" s="57" t="e">
        <f>E133*(1+0.6*(E120/E119))</f>
        <v>#N/A</v>
      </c>
      <c r="G135" s="31" t="str">
        <f>[3]!EQS(E135,"Units= ; EqnPrefix=Valem  ; EqnNo= 0; Multiplication= 1; ShowWorking= 0; EqnStyle= 2; Eqp$G$20_2")</f>
        <v/>
      </c>
    </row>
    <row r="136" spans="5:12" ht="16.5" customHeight="1" x14ac:dyDescent="0.25">
      <c r="E136" s="57" t="e">
        <f>MIN(E134,E135)</f>
        <v>#N/A</v>
      </c>
      <c r="G136" s="31"/>
    </row>
    <row r="137" spans="5:12" ht="16.5" customHeight="1" x14ac:dyDescent="0.25">
      <c r="E137">
        <v>0</v>
      </c>
    </row>
    <row r="138" spans="5:12" ht="16.5" customHeight="1" x14ac:dyDescent="0.25">
      <c r="E138" s="57" t="e">
        <f>E136</f>
        <v>#N/A</v>
      </c>
      <c r="G138" s="31" t="str">
        <f>[3]!EQS(E138,"Units= ; EqnPrefix=Valem  ; EqnNo= 0; Multiplication= 1; ShowWorking= 0; EqnStyle= 2; Eqp$G$20_2")</f>
        <v/>
      </c>
    </row>
    <row r="139" spans="5:12" ht="16.5" customHeight="1" x14ac:dyDescent="0.25">
      <c r="E139" s="128" t="e">
        <f>E138</f>
        <v>#N/A</v>
      </c>
      <c r="G139" s="31" t="str">
        <f>[3]!EQS(E139,"Units= ; EqnPrefix=Valem  ; EqnNo= 0; Multiplication= 1; ShowWorking= 0; EqnStyle= 2; Eqp$G$20_2")</f>
        <v/>
      </c>
    </row>
    <row r="141" spans="5:12" ht="16.5" customHeight="1" x14ac:dyDescent="0.25">
      <c r="E141" s="184" t="e">
        <f>(E120/E119+E136*E127/(E126*E124)+E139*E82/(E126*E124))*100</f>
        <v>#N/A</v>
      </c>
      <c r="G141" s="31" t="str">
        <f>[3]!EQS(E141,"Units= ; EqnPrefix=Valem  ; EqnNo= 0; Multiplication= 1; ShowWorking= 0; EqnStyle= 2; Eqp$G$20_2")</f>
        <v/>
      </c>
    </row>
    <row r="142" spans="5:12" ht="16.5" customHeight="1" x14ac:dyDescent="0.25">
      <c r="G142" t="str">
        <f>[3]!EQS(E141,"Units= ; EqnPrefix=Valem  ; EqnNo= 0; Multiplication= 1; ShowWorking= 1; EqnStyle= 2; Eqp$G$20_$G$72_3")</f>
        <v/>
      </c>
    </row>
    <row r="143" spans="5:12" ht="16.5" customHeight="1" x14ac:dyDescent="0.25">
      <c r="H143" s="207" t="e">
        <f>IF(E141&lt;100,"Kandevõime on tagatud!","Kandevõime pole tagatud!")</f>
        <v>#N/A</v>
      </c>
      <c r="I143" s="207"/>
      <c r="J143" s="207"/>
      <c r="K143" s="207"/>
      <c r="L143" s="207"/>
    </row>
    <row r="150" spans="5:5" ht="16.5" customHeight="1" x14ac:dyDescent="0.25">
      <c r="E150" s="179">
        <v>27.16</v>
      </c>
    </row>
    <row r="151" spans="5:5" ht="16.5" customHeight="1" x14ac:dyDescent="0.25">
      <c r="E151" s="179">
        <v>14.96</v>
      </c>
    </row>
    <row r="152" spans="5:5" ht="16.5" customHeight="1" x14ac:dyDescent="0.25">
      <c r="E152" s="179">
        <v>1.81</v>
      </c>
    </row>
    <row r="153" spans="5:5" ht="16.5" customHeight="1" x14ac:dyDescent="0.25">
      <c r="E153" s="179">
        <v>0.77</v>
      </c>
    </row>
    <row r="158" spans="5:5" ht="16.5" customHeight="1" x14ac:dyDescent="0.25">
      <c r="E158">
        <v>355</v>
      </c>
    </row>
    <row r="159" spans="5:5" ht="16.5" customHeight="1" x14ac:dyDescent="0.25">
      <c r="E159" s="179">
        <v>75</v>
      </c>
    </row>
    <row r="160" spans="5:5" ht="16.5" customHeight="1" x14ac:dyDescent="0.25">
      <c r="E160" s="179">
        <v>200</v>
      </c>
    </row>
    <row r="161" spans="4:12" ht="16.5" customHeight="1" x14ac:dyDescent="0.25">
      <c r="E161" s="194">
        <v>11.5</v>
      </c>
    </row>
    <row r="162" spans="4:12" ht="16.5" customHeight="1" x14ac:dyDescent="0.25">
      <c r="E162" s="183">
        <f>E159-E163</f>
        <v>66.5</v>
      </c>
    </row>
    <row r="163" spans="4:12" ht="16.5" customHeight="1" x14ac:dyDescent="0.25">
      <c r="E163" s="194">
        <v>8.5</v>
      </c>
    </row>
    <row r="164" spans="4:12" ht="16.5" customHeight="1" x14ac:dyDescent="0.25">
      <c r="E164" s="183">
        <f>E160-2*E161</f>
        <v>177</v>
      </c>
    </row>
    <row r="165" spans="4:12" ht="16.5" customHeight="1" x14ac:dyDescent="0.25">
      <c r="E165" s="179">
        <v>28.1</v>
      </c>
    </row>
    <row r="166" spans="4:12" ht="16.5" customHeight="1" x14ac:dyDescent="0.25">
      <c r="E166" s="179">
        <v>3220</v>
      </c>
      <c r="L166" s="174" t="e">
        <f>VLOOKUP(E156,tabel_2,5,FALSE)*100</f>
        <v>#N/A</v>
      </c>
    </row>
    <row r="167" spans="4:12" ht="16.5" customHeight="1" x14ac:dyDescent="0.25">
      <c r="E167" s="195">
        <v>19100000</v>
      </c>
      <c r="L167" s="174"/>
    </row>
    <row r="168" spans="4:12" ht="16.5" customHeight="1" x14ac:dyDescent="0.25">
      <c r="E168" s="195">
        <v>1480000</v>
      </c>
      <c r="L168" s="174"/>
    </row>
    <row r="169" spans="4:12" ht="16.5" customHeight="1" x14ac:dyDescent="0.25">
      <c r="E169" s="179">
        <f>191*10^3</f>
        <v>191000</v>
      </c>
    </row>
    <row r="170" spans="4:12" ht="16.5" customHeight="1" x14ac:dyDescent="0.25">
      <c r="E170" s="179">
        <f>27*10^3</f>
        <v>27000</v>
      </c>
    </row>
    <row r="171" spans="4:12" ht="16.5" customHeight="1" x14ac:dyDescent="0.25">
      <c r="E171" s="179">
        <v>77</v>
      </c>
    </row>
    <row r="172" spans="4:12" ht="16.5" customHeight="1" x14ac:dyDescent="0.25">
      <c r="E172" s="179">
        <v>25.3</v>
      </c>
    </row>
    <row r="173" spans="4:12" ht="16.5" customHeight="1" x14ac:dyDescent="0.25">
      <c r="D173" s="56"/>
      <c r="E173" s="174"/>
    </row>
    <row r="174" spans="4:12" ht="16.5" customHeight="1" x14ac:dyDescent="0.25">
      <c r="D174" s="56"/>
      <c r="E174" s="174"/>
    </row>
    <row r="175" spans="4:12" ht="16.5" customHeight="1" x14ac:dyDescent="0.25">
      <c r="E175" s="179">
        <v>323</v>
      </c>
    </row>
    <row r="176" spans="4:12" ht="16.5" customHeight="1" x14ac:dyDescent="0.25">
      <c r="E176" s="174">
        <f>2*E159+E175</f>
        <v>473</v>
      </c>
    </row>
    <row r="177" spans="5:9" ht="16.5" customHeight="1" x14ac:dyDescent="0.25">
      <c r="E177" s="174">
        <f>2*E166</f>
        <v>6440</v>
      </c>
      <c r="G177" s="31" t="str">
        <f>[3]!EQS(E177,"Units= ; EqnPrefix=Valem  ; EqnNo= 0; Multiplication= 1; ShowWorking= 0; EqnStyle= 2; Eqp$G$175_2")</f>
        <v/>
      </c>
    </row>
    <row r="178" spans="5:9" ht="16.5" customHeight="1" x14ac:dyDescent="0.25">
      <c r="E178" s="196">
        <f>2*E167</f>
        <v>38200000</v>
      </c>
      <c r="G178" s="31" t="str">
        <f>[3]!EQS(E178,"Units= ; EqnPrefix=Valem  ; EqnNo= 0; Multiplication= 1; ShowWorking= 0; EqnStyle= 2; Eqp$G$175_2")</f>
        <v/>
      </c>
    </row>
    <row r="179" spans="5:9" ht="16.5" customHeight="1" x14ac:dyDescent="0.25">
      <c r="E179" s="174">
        <f>2*(E168+E166*(E175/2+E165)^2)</f>
        <v>234466150.39999998</v>
      </c>
      <c r="G179" s="31" t="str">
        <f>[3]!EQS(E179,"Units= ; EqnPrefix=Valem  ; EqnNo= 0; Multiplication= 1; ShowWorking= 0; EqnStyle= 2; Eqp$G$175_2")</f>
        <v/>
      </c>
    </row>
    <row r="180" spans="5:9" ht="16.5" customHeight="1" x14ac:dyDescent="0.25">
      <c r="E180" s="196">
        <f>E169*2</f>
        <v>382000</v>
      </c>
      <c r="G180" s="31" t="str">
        <f>[3]!EQS(E180,"Units= ; EqnPrefix=Valem  ; EqnNo= 0; Multiplication= 1; ShowWorking= 0; EqnStyle= 2; Eqp$G$175_2")</f>
        <v/>
      </c>
    </row>
    <row r="181" spans="5:9" ht="16.5" customHeight="1" x14ac:dyDescent="0.25">
      <c r="E181" s="196">
        <f>E179*2/E176</f>
        <v>991400.21310782235</v>
      </c>
      <c r="G181" s="31" t="str">
        <f>[3]!EQS(E181,"Units= ; EqnPrefix=Valem  ; EqnNo= 0; Multiplication= 1; ShowWorking= 0; EqnStyle= 2; Eqp$G$175_2")</f>
        <v/>
      </c>
    </row>
    <row r="184" spans="5:9" ht="16.5" customHeight="1" x14ac:dyDescent="0.25">
      <c r="E184">
        <v>0.81</v>
      </c>
    </row>
    <row r="185" spans="5:9" ht="16.5" customHeight="1" x14ac:dyDescent="0.25">
      <c r="E185">
        <f>E184*72</f>
        <v>58.320000000000007</v>
      </c>
    </row>
    <row r="186" spans="5:9" ht="16.5" customHeight="1" x14ac:dyDescent="0.25">
      <c r="E186">
        <f>E184*83</f>
        <v>67.23</v>
      </c>
    </row>
    <row r="187" spans="5:9" ht="16.5" customHeight="1" x14ac:dyDescent="0.25">
      <c r="E187" s="57">
        <f>E184*124</f>
        <v>100.44000000000001</v>
      </c>
      <c r="G187" s="31"/>
      <c r="H187" s="174"/>
    </row>
    <row r="188" spans="5:9" ht="16.5" customHeight="1" x14ac:dyDescent="0.25">
      <c r="E188" s="57">
        <f>E164/E163</f>
        <v>20.823529411764707</v>
      </c>
      <c r="G188" s="31" t="str">
        <f>[3]!EQS(E188,"Units= ; EqnPrefix=Valem  ; EqnNo= 0; Multiplication= 1; ShowWorking= 0; EqnStyle= 2; Eqp$G$20_2")</f>
        <v/>
      </c>
    </row>
    <row r="189" spans="5:9" ht="16.5" customHeight="1" x14ac:dyDescent="0.25">
      <c r="E189">
        <f>IF(E188&lt;E185,1,IF(E188&lt;E186,2,IF(E188&lt;E187,3,4)))</f>
        <v>1</v>
      </c>
      <c r="I189" t="str">
        <f>IF(E189=4,"Leia A_eff","")</f>
        <v/>
      </c>
    </row>
    <row r="192" spans="5:9" ht="16.5" customHeight="1" x14ac:dyDescent="0.25">
      <c r="E192">
        <v>0.81</v>
      </c>
    </row>
    <row r="193" spans="3:9" ht="16.5" customHeight="1" x14ac:dyDescent="0.25">
      <c r="E193">
        <f>E192*9</f>
        <v>7.2900000000000009</v>
      </c>
    </row>
    <row r="194" spans="3:9" ht="16.5" customHeight="1" x14ac:dyDescent="0.25">
      <c r="E194">
        <f>E192*10</f>
        <v>8.1000000000000014</v>
      </c>
    </row>
    <row r="195" spans="3:9" ht="16.5" customHeight="1" x14ac:dyDescent="0.25">
      <c r="E195" s="57">
        <f>E192*14</f>
        <v>11.34</v>
      </c>
      <c r="G195" s="31"/>
      <c r="H195" s="174"/>
    </row>
    <row r="196" spans="3:9" ht="16.5" customHeight="1" x14ac:dyDescent="0.25">
      <c r="E196" s="57">
        <f>E162/E161</f>
        <v>5.7826086956521738</v>
      </c>
      <c r="G196" s="31" t="str">
        <f>[3]!EQS(E196,"Units= ; EqnPrefix=Valem  ; EqnNo= 0; Multiplication= 1; ShowWorking= 0; EqnStyle= 2; Eqp$G$20_2")</f>
        <v/>
      </c>
    </row>
    <row r="197" spans="3:9" ht="16.5" customHeight="1" x14ac:dyDescent="0.25">
      <c r="E197">
        <f>IF(E196&lt;E193,1,IF(E196&lt;E194,2,IF(E196&lt;E195,3,4)))</f>
        <v>1</v>
      </c>
      <c r="I197" t="str">
        <f>IF(E197=4,"Leia A_eff","")</f>
        <v/>
      </c>
    </row>
    <row r="200" spans="3:9" ht="16.5" customHeight="1" x14ac:dyDescent="0.25">
      <c r="E200">
        <f>MAX(E197,E189,3)</f>
        <v>3</v>
      </c>
      <c r="G200" s="31"/>
    </row>
    <row r="202" spans="3:9" ht="16.5" customHeight="1" x14ac:dyDescent="0.25">
      <c r="C202" s="87"/>
    </row>
    <row r="205" spans="3:9" ht="16.5" customHeight="1" x14ac:dyDescent="0.25">
      <c r="C205" s="87"/>
      <c r="E205" s="179">
        <v>15110</v>
      </c>
    </row>
    <row r="206" spans="3:9" ht="16.5" customHeight="1" x14ac:dyDescent="0.25">
      <c r="C206" s="87"/>
      <c r="E206" s="179">
        <v>1</v>
      </c>
    </row>
    <row r="207" spans="3:9" ht="16.5" customHeight="1" x14ac:dyDescent="0.25">
      <c r="C207" s="87"/>
      <c r="E207">
        <f>E206*E205</f>
        <v>15110</v>
      </c>
      <c r="G207" s="31" t="str">
        <f>[3]!EQS(E207,"Units= ; EqnPrefix=Valem  ; EqnNo= 0; Multiplication= 1; ShowWorking= 0; EqnStyle= 2; Eqp$G$20_2")</f>
        <v/>
      </c>
    </row>
    <row r="208" spans="3:9" ht="16.5" customHeight="1" x14ac:dyDescent="0.25">
      <c r="C208" s="87"/>
      <c r="E208" s="57">
        <f>(E178/E177)^0.5</f>
        <v>77.017381276134941</v>
      </c>
      <c r="G208" s="31" t="str">
        <f>[3]!EQS(E208,"Units= ; EqnPrefix=Valem  ; EqnNo= 0; Multiplication= 1; ShowWorking= 0; EqnStyle= 2; Eqp$G$20_2")</f>
        <v/>
      </c>
    </row>
    <row r="209" spans="3:12" ht="16.5" customHeight="1" x14ac:dyDescent="0.25">
      <c r="C209" s="87"/>
      <c r="E209">
        <f>E207/E208</f>
        <v>196.18948021389133</v>
      </c>
      <c r="G209" s="31" t="str">
        <f>[3]!EQS(E209,"Units= ; EqnPrefix=Valem  ; EqnNo= 0; Multiplication= 1; ShowWorking= 0; EqnStyle= 2; Eqp$G$20_2")</f>
        <v/>
      </c>
    </row>
    <row r="210" spans="3:12" ht="16.5" customHeight="1" x14ac:dyDescent="0.25">
      <c r="C210" s="87"/>
      <c r="E210">
        <v>210000</v>
      </c>
    </row>
    <row r="211" spans="3:12" ht="16.5" customHeight="1" x14ac:dyDescent="0.25">
      <c r="C211" s="87"/>
      <c r="E211">
        <f>E158</f>
        <v>355</v>
      </c>
    </row>
    <row r="212" spans="3:12" ht="16.5" customHeight="1" x14ac:dyDescent="0.25">
      <c r="C212" s="87"/>
      <c r="E212" s="57">
        <f>(E209/PI())*(E211/E210)^0.5</f>
        <v>2.5676177719888869</v>
      </c>
      <c r="G212" s="31" t="str">
        <f>[3]!EQS(E212,"Units= ; EqnPrefix=Valem  ; EqnNo= 0; Multiplication= 1; ShowWorking= 0; EqnStyle= 2; Eqp$G$20_2")</f>
        <v/>
      </c>
    </row>
    <row r="213" spans="3:12" ht="16.5" customHeight="1" x14ac:dyDescent="0.25">
      <c r="C213" s="87"/>
    </row>
    <row r="214" spans="3:12" ht="16.5" customHeight="1" x14ac:dyDescent="0.25">
      <c r="C214" s="87"/>
      <c r="E214">
        <v>0.49</v>
      </c>
    </row>
    <row r="215" spans="3:12" ht="16.5" customHeight="1" x14ac:dyDescent="0.25">
      <c r="C215" s="87"/>
      <c r="E215" s="57">
        <f>0.5*(1+E214*(E212-0.2)+E212^2)</f>
        <v>4.3763968656538648</v>
      </c>
      <c r="G215" s="31" t="str">
        <f>[3]!EQS(E215,"Units= ; EqnPrefix=Valem  ; EqnNo= 0; Multiplication= 1; ShowWorking= 0; EqnStyle= 2; Eqp$G$20_2")</f>
        <v/>
      </c>
    </row>
    <row r="216" spans="3:12" ht="16.5" customHeight="1" x14ac:dyDescent="0.25">
      <c r="E216" s="57">
        <f>1/(E215+(E215^2-E212^2)^0.5)</f>
        <v>0.12625573178398308</v>
      </c>
      <c r="G216" s="31" t="str">
        <f>[3]!EQS(E216,"Units= ; EqnPrefix=Valem  ; EqnNo= 0; Multiplication= 1; ShowWorking= 0; EqnStyle= 2; Eqp$G$20_2")</f>
        <v/>
      </c>
    </row>
    <row r="217" spans="3:12" ht="16.5" customHeight="1" x14ac:dyDescent="0.25">
      <c r="E217" s="65">
        <f>E177*E158/E4*10^-3</f>
        <v>2286.2000000000003</v>
      </c>
      <c r="G217" s="31" t="str">
        <f>[3]!EQS(E217,"Units= ; EqnPrefix=Valem  ; EqnNo= 0; Multiplication= 1; ShowWorking= 0; EqnStyle= 2; Eqp$G$20_2")</f>
        <v/>
      </c>
    </row>
    <row r="218" spans="3:12" ht="16.5" customHeight="1" x14ac:dyDescent="0.25">
      <c r="E218" s="65"/>
      <c r="G218" s="31" t="str">
        <f>[3]!EQS(E217,"Units= ; EqnPrefix=Valem  ; EqnNo= 0; Multiplication= 1; ShowWorking= 1; EqnStyle= 2; Eqp$G$20_$G$32_3")</f>
        <v/>
      </c>
    </row>
    <row r="219" spans="3:12" ht="16.5" customHeight="1" x14ac:dyDescent="0.25">
      <c r="E219" s="65">
        <f>E216*E217</f>
        <v>288.64585400454217</v>
      </c>
      <c r="G219" s="31" t="str">
        <f>[3]!EQS(E219,"Units= ; EqnPrefix=Valem  ; EqnNo= 0; Multiplication= 1; ShowWorking= 0; EqnStyle= 2; Eqp$G$20_2")</f>
        <v/>
      </c>
    </row>
    <row r="220" spans="3:12" ht="16.5" customHeight="1" x14ac:dyDescent="0.25">
      <c r="E220" s="65">
        <f>E150</f>
        <v>27.16</v>
      </c>
    </row>
    <row r="221" spans="3:12" ht="16.5" customHeight="1" x14ac:dyDescent="0.25">
      <c r="E221" s="57">
        <f>E220/E219*100</f>
        <v>9.4094543965189281</v>
      </c>
      <c r="H221" s="207" t="str">
        <f>IF(E221&lt;100,"Kandevõime on tagatud!","Kandevõime pole tagatud!")</f>
        <v>Kandevõime on tagatud!</v>
      </c>
      <c r="I221" s="207"/>
      <c r="J221" s="207"/>
      <c r="K221" s="207"/>
      <c r="L221" s="207"/>
    </row>
    <row r="225" spans="3:3" ht="16.5" customHeight="1" x14ac:dyDescent="0.25">
      <c r="C225" s="87"/>
    </row>
    <row r="226" spans="3:3" ht="16.5" customHeight="1" x14ac:dyDescent="0.25">
      <c r="C226" s="87"/>
    </row>
    <row r="227" spans="3:3" ht="16.5" customHeight="1" x14ac:dyDescent="0.25">
      <c r="C227" s="87"/>
    </row>
    <row r="228" spans="3:3" ht="16.5" customHeight="1" x14ac:dyDescent="0.25">
      <c r="C228" s="87"/>
    </row>
    <row r="230" spans="3:3" ht="16.5" customHeight="1" x14ac:dyDescent="0.25">
      <c r="C230" s="87"/>
    </row>
    <row r="231" spans="3:3" ht="16.5" customHeight="1" x14ac:dyDescent="0.25">
      <c r="C231" s="87"/>
    </row>
    <row r="232" spans="3:3" ht="16.5" customHeight="1" x14ac:dyDescent="0.25">
      <c r="C232" s="87"/>
    </row>
    <row r="234" spans="3:3" ht="16.5" customHeight="1" x14ac:dyDescent="0.25">
      <c r="C234" s="87"/>
    </row>
  </sheetData>
  <mergeCells count="5">
    <mergeCell ref="H73:L73"/>
    <mergeCell ref="H51:L51"/>
    <mergeCell ref="H121:L121"/>
    <mergeCell ref="H143:L143"/>
    <mergeCell ref="H221:L221"/>
  </mergeCells>
  <conditionalFormatting sqref="I30 I99 I189 I197">
    <cfRule type="cellIs" dxfId="3" priority="12" operator="equal">
      <formula>"Leia A_eff"</formula>
    </cfRule>
  </conditionalFormatting>
  <conditionalFormatting sqref="E30 E99 E189 E197">
    <cfRule type="cellIs" dxfId="2" priority="11" operator="equal">
      <formula>4</formula>
    </cfRule>
  </conditionalFormatting>
  <conditionalFormatting sqref="H51 H73 H121 H143">
    <cfRule type="cellIs" dxfId="1" priority="10" operator="equal">
      <formula>"Kandevõime pole tagatud!"</formula>
    </cfRule>
  </conditionalFormatting>
  <conditionalFormatting sqref="H221">
    <cfRule type="cellIs" dxfId="0" priority="1" operator="equal">
      <formula>"Kandevõime pole tagatud!"</formula>
    </cfRule>
  </conditionalFormatting>
  <dataValidations count="3">
    <dataValidation type="list" allowBlank="1" showInputMessage="1" showErrorMessage="1" sqref="E18">
      <formula1>T1_nimi</formula1>
    </dataValidation>
    <dataValidation type="list" allowBlank="1" showInputMessage="1" showErrorMessage="1" sqref="E86">
      <formula1>T2_nimi</formula1>
    </dataValidation>
    <dataValidation type="list" allowBlank="1" showInputMessage="1" showErrorMessage="1" sqref="E156">
      <formula1>T3_nimi</formula1>
    </dataValidation>
  </dataValidations>
  <pageMargins left="0.7" right="0.7" top="0.75" bottom="0.75" header="0.3" footer="0.3"/>
  <pageSetup paperSize="9" orientation="portrait" horizontalDpi="300" r:id="rId1"/>
  <customProperties>
    <customPr name="SSCSheetTrackingNo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54"/>
  <sheetViews>
    <sheetView topLeftCell="A32" workbookViewId="0">
      <selection activeCell="A46" sqref="A46:A50"/>
    </sheetView>
  </sheetViews>
  <sheetFormatPr defaultRowHeight="23.25" customHeight="1" x14ac:dyDescent="0.15"/>
  <cols>
    <col min="1" max="1" width="13.5" bestFit="1" customWidth="1"/>
    <col min="2" max="3" width="9.125" bestFit="1" customWidth="1"/>
    <col min="4" max="7" width="9.625" bestFit="1" customWidth="1"/>
    <col min="9" max="10" width="9.125" bestFit="1" customWidth="1"/>
    <col min="11" max="11" width="11.125" customWidth="1"/>
    <col min="12" max="12" width="9.125" bestFit="1" customWidth="1"/>
    <col min="14" max="15" width="9.125" bestFit="1" customWidth="1"/>
    <col min="18" max="23" width="9.125" bestFit="1" customWidth="1"/>
    <col min="25" max="25" width="9.125" bestFit="1" customWidth="1"/>
    <col min="26" max="26" width="9.625" bestFit="1" customWidth="1"/>
    <col min="27" max="27" width="9.75" customWidth="1"/>
    <col min="28" max="29" width="9.625" bestFit="1" customWidth="1"/>
    <col min="30" max="30" width="10.5" customWidth="1"/>
  </cols>
  <sheetData>
    <row r="3" spans="1:12" ht="23.25" customHeight="1" thickBot="1" x14ac:dyDescent="0.25">
      <c r="A3" s="165"/>
    </row>
    <row r="4" spans="1:12" ht="23.25" customHeight="1" thickTop="1" thickBot="1" x14ac:dyDescent="0.2">
      <c r="A4" t="str">
        <f>CONCATENATE("D",TEXT(B4,"###,0")," x ",TEXT(C4,"###,0"))</f>
        <v>D273 x 13</v>
      </c>
      <c r="B4" s="168">
        <v>273</v>
      </c>
      <c r="C4" s="168">
        <v>12.5</v>
      </c>
      <c r="D4" s="166">
        <v>80.3</v>
      </c>
      <c r="E4" s="166">
        <v>102.3</v>
      </c>
      <c r="F4" s="166">
        <v>0.85799999999999998</v>
      </c>
      <c r="G4" s="170">
        <v>8697.4500000000007</v>
      </c>
      <c r="H4" s="170">
        <v>637.17999999999995</v>
      </c>
      <c r="I4" s="170">
        <v>848.9</v>
      </c>
      <c r="J4" s="166">
        <v>9.2200000000000006</v>
      </c>
      <c r="K4" s="170">
        <v>17394.900000000001</v>
      </c>
      <c r="L4" s="171">
        <v>1274.3499999999999</v>
      </c>
    </row>
    <row r="5" spans="1:12" ht="23.25" customHeight="1" thickBot="1" x14ac:dyDescent="0.2">
      <c r="A5" t="str">
        <f t="shared" ref="A5:A21" si="0">CONCATENATE("D",TEXT(B5,"###,0")," x ",TEXT(C5,"###,0"))</f>
        <v>D324 x 4</v>
      </c>
      <c r="B5" s="169">
        <v>323.89999999999998</v>
      </c>
      <c r="C5" s="169">
        <v>4</v>
      </c>
      <c r="D5" s="167">
        <v>31.6</v>
      </c>
      <c r="E5" s="167">
        <v>40.200000000000003</v>
      </c>
      <c r="F5" s="167">
        <v>1.018</v>
      </c>
      <c r="G5" s="172">
        <v>5143.16</v>
      </c>
      <c r="H5" s="172">
        <v>317.58</v>
      </c>
      <c r="I5" s="172">
        <v>409.37</v>
      </c>
      <c r="J5" s="167">
        <v>11.31</v>
      </c>
      <c r="K5" s="172">
        <v>10286.33</v>
      </c>
      <c r="L5" s="173">
        <v>635.15</v>
      </c>
    </row>
    <row r="6" spans="1:12" ht="23.25" customHeight="1" thickBot="1" x14ac:dyDescent="0.2">
      <c r="A6" t="str">
        <f t="shared" si="0"/>
        <v>D324 x 5</v>
      </c>
      <c r="B6" s="169">
        <v>323.89999999999998</v>
      </c>
      <c r="C6" s="169">
        <v>5</v>
      </c>
      <c r="D6" s="167">
        <v>39.299999999999997</v>
      </c>
      <c r="E6" s="167">
        <v>50.09</v>
      </c>
      <c r="F6" s="167">
        <v>1.018</v>
      </c>
      <c r="G6" s="172">
        <v>6369.42</v>
      </c>
      <c r="H6" s="172">
        <v>393.3</v>
      </c>
      <c r="I6" s="172">
        <v>508.53</v>
      </c>
      <c r="J6" s="167">
        <v>11.28</v>
      </c>
      <c r="K6" s="172">
        <v>12738.85</v>
      </c>
      <c r="L6" s="173">
        <v>786.59</v>
      </c>
    </row>
    <row r="7" spans="1:12" ht="23.25" customHeight="1" thickBot="1" x14ac:dyDescent="0.2">
      <c r="A7" t="str">
        <f t="shared" si="0"/>
        <v>D324 x 6</v>
      </c>
      <c r="B7" s="168">
        <v>323.89999999999998</v>
      </c>
      <c r="C7" s="168">
        <v>6</v>
      </c>
      <c r="D7" s="166">
        <v>47</v>
      </c>
      <c r="E7" s="166">
        <v>59.92</v>
      </c>
      <c r="F7" s="166">
        <v>1.018</v>
      </c>
      <c r="G7" s="170">
        <v>7572.47</v>
      </c>
      <c r="H7" s="170">
        <v>467.58</v>
      </c>
      <c r="I7" s="170">
        <v>606.42999999999995</v>
      </c>
      <c r="J7" s="166">
        <v>11.24</v>
      </c>
      <c r="K7" s="170">
        <v>15144.93</v>
      </c>
      <c r="L7" s="171">
        <v>935.16</v>
      </c>
    </row>
    <row r="8" spans="1:12" ht="23.25" customHeight="1" thickBot="1" x14ac:dyDescent="0.2">
      <c r="A8" t="str">
        <f t="shared" si="0"/>
        <v>D324 x 6</v>
      </c>
      <c r="B8" s="169">
        <v>323.89999999999998</v>
      </c>
      <c r="C8" s="169">
        <v>6.3</v>
      </c>
      <c r="D8" s="167">
        <v>49.3</v>
      </c>
      <c r="E8" s="167">
        <v>62.86</v>
      </c>
      <c r="F8" s="167">
        <v>1.018</v>
      </c>
      <c r="G8" s="172">
        <v>7928.9</v>
      </c>
      <c r="H8" s="172">
        <v>489.59</v>
      </c>
      <c r="I8" s="172">
        <v>635.55999999999995</v>
      </c>
      <c r="J8" s="167">
        <v>11.23</v>
      </c>
      <c r="K8" s="172">
        <v>15857.79</v>
      </c>
      <c r="L8" s="173">
        <v>979.18</v>
      </c>
    </row>
    <row r="9" spans="1:12" ht="23.25" customHeight="1" thickBot="1" x14ac:dyDescent="0.2">
      <c r="A9" t="str">
        <f t="shared" si="0"/>
        <v>D324 x 8</v>
      </c>
      <c r="B9" s="168">
        <v>323.89999999999998</v>
      </c>
      <c r="C9" s="168">
        <v>8</v>
      </c>
      <c r="D9" s="166">
        <v>62.3</v>
      </c>
      <c r="E9" s="166">
        <v>79.39</v>
      </c>
      <c r="F9" s="166">
        <v>1.018</v>
      </c>
      <c r="G9" s="170">
        <v>9910.08</v>
      </c>
      <c r="H9" s="170">
        <v>611.91999999999996</v>
      </c>
      <c r="I9" s="170">
        <v>798.51</v>
      </c>
      <c r="J9" s="166">
        <v>11.17</v>
      </c>
      <c r="K9" s="170">
        <v>19820.16</v>
      </c>
      <c r="L9" s="171">
        <v>1223.8399999999999</v>
      </c>
    </row>
    <row r="10" spans="1:12" ht="23.25" customHeight="1" thickBot="1" x14ac:dyDescent="0.2">
      <c r="A10" t="str">
        <f t="shared" si="0"/>
        <v>D324 x 10</v>
      </c>
      <c r="B10" s="168">
        <v>323.89999999999998</v>
      </c>
      <c r="C10" s="168">
        <v>10</v>
      </c>
      <c r="D10" s="166">
        <v>77.400000000000006</v>
      </c>
      <c r="E10" s="166">
        <v>98.61</v>
      </c>
      <c r="F10" s="166">
        <v>1.018</v>
      </c>
      <c r="G10" s="170">
        <v>12158.34</v>
      </c>
      <c r="H10" s="170">
        <v>750.75</v>
      </c>
      <c r="I10" s="170">
        <v>985.67</v>
      </c>
      <c r="J10" s="166">
        <v>11.1</v>
      </c>
      <c r="K10" s="170">
        <v>24316.68</v>
      </c>
      <c r="L10" s="171">
        <v>1501.49</v>
      </c>
    </row>
    <row r="11" spans="1:12" ht="23.25" customHeight="1" thickBot="1" x14ac:dyDescent="0.2">
      <c r="A11" t="str">
        <f t="shared" si="0"/>
        <v>D324 x 13</v>
      </c>
      <c r="B11" s="168">
        <v>323.89999999999998</v>
      </c>
      <c r="C11" s="168">
        <v>12.5</v>
      </c>
      <c r="D11" s="166">
        <v>96</v>
      </c>
      <c r="E11" s="166">
        <v>122.29</v>
      </c>
      <c r="F11" s="166">
        <v>1.018</v>
      </c>
      <c r="G11" s="170">
        <v>14846.53</v>
      </c>
      <c r="H11" s="170">
        <v>916.74</v>
      </c>
      <c r="I11" s="170">
        <v>1212.78</v>
      </c>
      <c r="J11" s="166">
        <v>11.02</v>
      </c>
      <c r="K11" s="170">
        <v>29693.05</v>
      </c>
      <c r="L11" s="171">
        <v>1833.47</v>
      </c>
    </row>
    <row r="12" spans="1:12" ht="23.25" customHeight="1" thickBot="1" x14ac:dyDescent="0.2">
      <c r="A12" t="str">
        <f t="shared" si="0"/>
        <v>D406 x 6</v>
      </c>
      <c r="B12" s="169">
        <v>406.4</v>
      </c>
      <c r="C12" s="169">
        <v>6.3</v>
      </c>
      <c r="D12" s="167">
        <v>62.2</v>
      </c>
      <c r="E12" s="167">
        <v>79.19</v>
      </c>
      <c r="F12" s="167">
        <v>1.2769999999999999</v>
      </c>
      <c r="G12" s="172">
        <v>15849.43</v>
      </c>
      <c r="H12" s="172">
        <v>779.99</v>
      </c>
      <c r="I12" s="172">
        <v>1008.59</v>
      </c>
      <c r="J12" s="167">
        <v>14.15</v>
      </c>
      <c r="K12" s="172">
        <v>31698.86</v>
      </c>
      <c r="L12" s="173">
        <v>1559.98</v>
      </c>
    </row>
    <row r="13" spans="1:12" ht="23.25" customHeight="1" thickBot="1" x14ac:dyDescent="0.2">
      <c r="A13" t="str">
        <f t="shared" si="0"/>
        <v>D406 x 8</v>
      </c>
      <c r="B13" s="169">
        <v>406.4</v>
      </c>
      <c r="C13" s="169">
        <v>8</v>
      </c>
      <c r="D13" s="167">
        <v>78.599999999999994</v>
      </c>
      <c r="E13" s="167">
        <v>100.13</v>
      </c>
      <c r="F13" s="167">
        <v>1.2769999999999999</v>
      </c>
      <c r="G13" s="172">
        <v>19873.89</v>
      </c>
      <c r="H13" s="172">
        <v>978.05</v>
      </c>
      <c r="I13" s="172">
        <v>1269.95</v>
      </c>
      <c r="J13" s="167">
        <v>14.09</v>
      </c>
      <c r="K13" s="172">
        <v>39747.78</v>
      </c>
      <c r="L13" s="173">
        <v>1956.09</v>
      </c>
    </row>
    <row r="14" spans="1:12" ht="23.25" customHeight="1" thickBot="1" x14ac:dyDescent="0.2">
      <c r="A14" t="str">
        <f t="shared" si="0"/>
        <v>D406 x 10</v>
      </c>
      <c r="B14" s="169">
        <v>406.4</v>
      </c>
      <c r="C14" s="169">
        <v>10</v>
      </c>
      <c r="D14" s="167">
        <v>97.8</v>
      </c>
      <c r="E14" s="167">
        <v>124.53</v>
      </c>
      <c r="F14" s="167">
        <v>1.2769999999999999</v>
      </c>
      <c r="G14" s="172">
        <v>24475.81</v>
      </c>
      <c r="H14" s="172">
        <v>1204.52</v>
      </c>
      <c r="I14" s="172">
        <v>1571.66</v>
      </c>
      <c r="J14" s="167">
        <v>14.02</v>
      </c>
      <c r="K14" s="172">
        <v>48951.62</v>
      </c>
      <c r="L14" s="173">
        <v>2409.04</v>
      </c>
    </row>
    <row r="15" spans="1:12" ht="23.25" customHeight="1" thickBot="1" x14ac:dyDescent="0.2">
      <c r="A15" t="str">
        <f t="shared" si="0"/>
        <v>D406 x 13</v>
      </c>
      <c r="B15" s="169">
        <v>406.4</v>
      </c>
      <c r="C15" s="169">
        <v>12.5</v>
      </c>
      <c r="D15" s="167">
        <v>121</v>
      </c>
      <c r="E15" s="167">
        <v>154.68</v>
      </c>
      <c r="F15" s="167">
        <v>1.2769999999999999</v>
      </c>
      <c r="G15" s="172">
        <v>30030.66</v>
      </c>
      <c r="H15" s="172">
        <v>1477.89</v>
      </c>
      <c r="I15" s="172">
        <v>1940.12</v>
      </c>
      <c r="J15" s="167">
        <v>13.93</v>
      </c>
      <c r="K15" s="172">
        <v>60061.32</v>
      </c>
      <c r="L15" s="173">
        <v>2955.77</v>
      </c>
    </row>
    <row r="16" spans="1:12" ht="23.25" customHeight="1" thickBot="1" x14ac:dyDescent="0.2">
      <c r="A16" t="str">
        <f t="shared" si="0"/>
        <v>D457 x 6</v>
      </c>
      <c r="B16" s="169">
        <v>457</v>
      </c>
      <c r="C16" s="169">
        <v>6.3</v>
      </c>
      <c r="D16" s="167">
        <v>70</v>
      </c>
      <c r="E16" s="167">
        <v>89.2</v>
      </c>
      <c r="F16" s="167">
        <v>1.4359999999999999</v>
      </c>
      <c r="G16" s="172">
        <v>22654.16</v>
      </c>
      <c r="H16" s="172">
        <v>991.43</v>
      </c>
      <c r="I16" s="172">
        <v>1279.81</v>
      </c>
      <c r="J16" s="167">
        <v>15.94</v>
      </c>
      <c r="K16" s="172">
        <v>45308.31</v>
      </c>
      <c r="L16" s="173">
        <v>1982.86</v>
      </c>
    </row>
    <row r="17" spans="1:12" ht="23.25" customHeight="1" thickBot="1" x14ac:dyDescent="0.2">
      <c r="A17" t="str">
        <f t="shared" si="0"/>
        <v>D457 x 8</v>
      </c>
      <c r="B17" s="169">
        <v>457</v>
      </c>
      <c r="C17" s="169">
        <v>8</v>
      </c>
      <c r="D17" s="167">
        <v>88.6</v>
      </c>
      <c r="E17" s="167">
        <v>112.85</v>
      </c>
      <c r="F17" s="167">
        <v>1.4359999999999999</v>
      </c>
      <c r="G17" s="172">
        <v>28446.36</v>
      </c>
      <c r="H17" s="172">
        <v>1244.92</v>
      </c>
      <c r="I17" s="172">
        <v>1612.98</v>
      </c>
      <c r="J17" s="167">
        <v>15.88</v>
      </c>
      <c r="K17" s="172">
        <v>56892.71</v>
      </c>
      <c r="L17" s="173">
        <v>2489.83</v>
      </c>
    </row>
    <row r="18" spans="1:12" ht="23.25" customHeight="1" thickBot="1" x14ac:dyDescent="0.2">
      <c r="A18" t="str">
        <f t="shared" si="0"/>
        <v>D457 x 10</v>
      </c>
      <c r="B18" s="169">
        <v>457</v>
      </c>
      <c r="C18" s="169">
        <v>10</v>
      </c>
      <c r="D18" s="167">
        <v>110</v>
      </c>
      <c r="E18" s="167">
        <v>140.43</v>
      </c>
      <c r="F18" s="167">
        <v>1.4359999999999999</v>
      </c>
      <c r="G18" s="172">
        <v>35091.32</v>
      </c>
      <c r="H18" s="172">
        <v>1535.73</v>
      </c>
      <c r="I18" s="172">
        <v>1998.42</v>
      </c>
      <c r="J18" s="167">
        <v>15.81</v>
      </c>
      <c r="K18" s="172">
        <v>70182.63</v>
      </c>
      <c r="L18" s="173">
        <v>3071.45</v>
      </c>
    </row>
    <row r="19" spans="1:12" ht="23.25" customHeight="1" thickBot="1" x14ac:dyDescent="0.2">
      <c r="A19" t="str">
        <f t="shared" si="0"/>
        <v>D457 x 13</v>
      </c>
      <c r="B19" s="169">
        <v>457</v>
      </c>
      <c r="C19" s="169">
        <v>12.5</v>
      </c>
      <c r="D19" s="167">
        <v>137</v>
      </c>
      <c r="E19" s="167">
        <v>174.55</v>
      </c>
      <c r="F19" s="167">
        <v>1.4359999999999999</v>
      </c>
      <c r="G19" s="172">
        <v>43144.800000000003</v>
      </c>
      <c r="H19" s="172">
        <v>1888.17</v>
      </c>
      <c r="I19" s="172">
        <v>2470.4</v>
      </c>
      <c r="J19" s="167">
        <v>15.72</v>
      </c>
      <c r="K19" s="172">
        <v>86289.59</v>
      </c>
      <c r="L19" s="173">
        <v>3776.35</v>
      </c>
    </row>
    <row r="20" spans="1:12" ht="23.25" customHeight="1" thickBot="1" x14ac:dyDescent="0.2">
      <c r="A20" t="str">
        <f t="shared" si="0"/>
        <v>D508 x 6</v>
      </c>
      <c r="B20" s="169">
        <v>508</v>
      </c>
      <c r="C20" s="169">
        <v>6.3</v>
      </c>
      <c r="D20" s="167">
        <v>78</v>
      </c>
      <c r="E20" s="167">
        <v>99.3</v>
      </c>
      <c r="F20" s="167">
        <v>1.5960000000000001</v>
      </c>
      <c r="G20" s="172">
        <v>31246.48</v>
      </c>
      <c r="H20" s="172">
        <v>1230.18</v>
      </c>
      <c r="I20" s="172">
        <v>1585.81</v>
      </c>
      <c r="J20" s="167">
        <v>17.739999999999998</v>
      </c>
      <c r="K20" s="172">
        <v>62492.959999999999</v>
      </c>
      <c r="L20" s="173">
        <v>2460.35</v>
      </c>
    </row>
    <row r="21" spans="1:12" ht="23.25" customHeight="1" thickBot="1" x14ac:dyDescent="0.2">
      <c r="A21" t="str">
        <f t="shared" si="0"/>
        <v>D508 x 8</v>
      </c>
      <c r="B21" s="169">
        <v>508</v>
      </c>
      <c r="C21" s="169">
        <v>8</v>
      </c>
      <c r="D21" s="167">
        <v>98.7</v>
      </c>
      <c r="E21" s="167">
        <v>125.66</v>
      </c>
      <c r="F21" s="167">
        <v>1.5960000000000001</v>
      </c>
      <c r="G21" s="172">
        <v>39279.949999999997</v>
      </c>
      <c r="H21" s="172">
        <v>1546.45</v>
      </c>
      <c r="I21" s="172">
        <v>2000.17</v>
      </c>
      <c r="J21" s="167">
        <v>17.68</v>
      </c>
      <c r="K21" s="172">
        <v>78559.91</v>
      </c>
      <c r="L21" s="173">
        <v>3092.91</v>
      </c>
    </row>
    <row r="25" spans="1:12" ht="23.25" customHeight="1" thickBot="1" x14ac:dyDescent="0.25">
      <c r="A25" s="165"/>
    </row>
    <row r="26" spans="1:12" ht="23.25" customHeight="1" thickTop="1" thickBot="1" x14ac:dyDescent="0.2">
      <c r="A26" s="185" t="str">
        <f t="shared" ref="A26:A36" si="1">CONCATENATE("D",TEXT(B26,"###,0")," x ",TEXT(C26,"###,0"))</f>
        <v>D94 x 8</v>
      </c>
      <c r="B26" s="186">
        <v>93.7</v>
      </c>
      <c r="C26" s="186">
        <v>8</v>
      </c>
      <c r="D26" s="186">
        <v>36.6</v>
      </c>
      <c r="E26" s="186">
        <v>46.67</v>
      </c>
      <c r="F26" s="186">
        <v>0.60899999999999999</v>
      </c>
      <c r="G26" s="186">
        <v>2015.54</v>
      </c>
      <c r="H26" s="186">
        <v>208.11</v>
      </c>
      <c r="I26" s="186">
        <v>276.05</v>
      </c>
      <c r="J26" s="186">
        <v>6.57</v>
      </c>
      <c r="K26" s="186">
        <v>4031.07</v>
      </c>
      <c r="L26" s="187">
        <v>416.22</v>
      </c>
    </row>
    <row r="27" spans="1:12" ht="23.25" customHeight="1" thickBot="1" x14ac:dyDescent="0.2">
      <c r="A27" s="185" t="str">
        <f t="shared" si="1"/>
        <v>D194 x 10</v>
      </c>
      <c r="B27" s="188">
        <v>193.7</v>
      </c>
      <c r="C27" s="188">
        <v>10</v>
      </c>
      <c r="D27" s="188">
        <v>45.3</v>
      </c>
      <c r="E27" s="188">
        <v>57.71</v>
      </c>
      <c r="F27" s="188">
        <v>0.60899999999999999</v>
      </c>
      <c r="G27" s="188">
        <v>2441.59</v>
      </c>
      <c r="H27" s="188">
        <v>252.1</v>
      </c>
      <c r="I27" s="188">
        <v>337.79</v>
      </c>
      <c r="J27" s="188">
        <v>6.5</v>
      </c>
      <c r="K27" s="188">
        <v>4883.18</v>
      </c>
      <c r="L27" s="189">
        <v>504.2</v>
      </c>
    </row>
    <row r="28" spans="1:12" ht="23.25" customHeight="1" thickBot="1" x14ac:dyDescent="0.2">
      <c r="A28" s="185" t="str">
        <f t="shared" si="1"/>
        <v>D0 x 13</v>
      </c>
      <c r="C28" s="186">
        <v>12.5</v>
      </c>
      <c r="D28" s="186">
        <v>55.9</v>
      </c>
      <c r="E28" s="186">
        <v>71.16</v>
      </c>
      <c r="F28" s="186">
        <v>0.60899999999999999</v>
      </c>
      <c r="G28" s="186">
        <v>2934.31</v>
      </c>
      <c r="H28" s="186">
        <v>302.97000000000003</v>
      </c>
      <c r="I28" s="186">
        <v>411.07</v>
      </c>
      <c r="J28" s="186">
        <v>6.42</v>
      </c>
      <c r="K28" s="186">
        <v>5868.62</v>
      </c>
      <c r="L28" s="187">
        <v>605.95000000000005</v>
      </c>
    </row>
    <row r="29" spans="1:12" ht="23.25" customHeight="1" thickBot="1" x14ac:dyDescent="0.2">
      <c r="A29" s="185" t="str">
        <f t="shared" si="1"/>
        <v>D219 x 4</v>
      </c>
      <c r="B29" s="186">
        <v>219.1</v>
      </c>
      <c r="C29" s="186">
        <v>4</v>
      </c>
      <c r="D29" s="186">
        <v>21.2</v>
      </c>
      <c r="E29" s="186">
        <v>27.03</v>
      </c>
      <c r="F29" s="186">
        <v>0.68799999999999994</v>
      </c>
      <c r="G29" s="186">
        <v>1563.84</v>
      </c>
      <c r="H29" s="186">
        <v>142.75</v>
      </c>
      <c r="I29" s="186">
        <v>185.09</v>
      </c>
      <c r="J29" s="186">
        <v>7.61</v>
      </c>
      <c r="K29" s="186">
        <v>3127.67</v>
      </c>
      <c r="L29" s="187">
        <v>285.5</v>
      </c>
    </row>
    <row r="30" spans="1:12" ht="23.25" customHeight="1" thickBot="1" x14ac:dyDescent="0.2">
      <c r="A30" s="185" t="str">
        <f t="shared" si="1"/>
        <v>D219 x 5</v>
      </c>
      <c r="B30" s="188">
        <v>219.1</v>
      </c>
      <c r="C30" s="188">
        <v>4.5</v>
      </c>
      <c r="D30" s="188">
        <v>23.8</v>
      </c>
      <c r="E30" s="188">
        <v>30.34</v>
      </c>
      <c r="F30" s="188">
        <v>0.68799999999999994</v>
      </c>
      <c r="G30" s="188">
        <v>1747.24</v>
      </c>
      <c r="H30" s="188">
        <v>159.49</v>
      </c>
      <c r="I30" s="188">
        <v>207.27</v>
      </c>
      <c r="J30" s="188">
        <v>7.59</v>
      </c>
      <c r="K30" s="188">
        <v>3494.48</v>
      </c>
      <c r="L30" s="189">
        <v>318.98</v>
      </c>
    </row>
    <row r="31" spans="1:12" ht="23.25" customHeight="1" thickBot="1" x14ac:dyDescent="0.2">
      <c r="A31" s="185" t="str">
        <f t="shared" si="1"/>
        <v>D219 x 5</v>
      </c>
      <c r="B31" s="186">
        <v>219.1</v>
      </c>
      <c r="C31" s="186">
        <v>5</v>
      </c>
      <c r="D31" s="186">
        <v>26.4</v>
      </c>
      <c r="E31" s="186">
        <v>33.630000000000003</v>
      </c>
      <c r="F31" s="186">
        <v>0.68799999999999994</v>
      </c>
      <c r="G31" s="186">
        <v>1928.04</v>
      </c>
      <c r="H31" s="186">
        <v>176</v>
      </c>
      <c r="I31" s="186">
        <v>229.24</v>
      </c>
      <c r="J31" s="186">
        <v>7.57</v>
      </c>
      <c r="K31" s="186">
        <v>3856.08</v>
      </c>
      <c r="L31" s="187">
        <v>351.99</v>
      </c>
    </row>
    <row r="32" spans="1:12" ht="23.25" customHeight="1" thickBot="1" x14ac:dyDescent="0.2">
      <c r="A32" s="185" t="str">
        <f t="shared" si="1"/>
        <v>D219 x 6</v>
      </c>
      <c r="B32" s="188">
        <v>219.1</v>
      </c>
      <c r="C32" s="188">
        <v>6</v>
      </c>
      <c r="D32" s="188">
        <v>31.5</v>
      </c>
      <c r="E32" s="188">
        <v>40.17</v>
      </c>
      <c r="F32" s="188">
        <v>0.68799999999999994</v>
      </c>
      <c r="G32" s="188">
        <v>2281.9499999999998</v>
      </c>
      <c r="H32" s="188">
        <v>208.3</v>
      </c>
      <c r="I32" s="188">
        <v>272.54000000000002</v>
      </c>
      <c r="J32" s="188">
        <v>7.54</v>
      </c>
      <c r="K32" s="188">
        <v>4563.8900000000003</v>
      </c>
      <c r="L32" s="189">
        <v>416.6</v>
      </c>
    </row>
    <row r="33" spans="1:29" ht="23.25" customHeight="1" thickBot="1" x14ac:dyDescent="0.2">
      <c r="A33" s="185" t="str">
        <f t="shared" si="1"/>
        <v>D219 x 6</v>
      </c>
      <c r="B33" s="186">
        <v>219.1</v>
      </c>
      <c r="C33" s="186">
        <v>6.3</v>
      </c>
      <c r="D33" s="186">
        <v>33.1</v>
      </c>
      <c r="E33" s="186">
        <v>42.12</v>
      </c>
      <c r="F33" s="186">
        <v>0.68799999999999994</v>
      </c>
      <c r="G33" s="186">
        <v>2386.14</v>
      </c>
      <c r="H33" s="186">
        <v>217.81</v>
      </c>
      <c r="I33" s="186">
        <v>285.37</v>
      </c>
      <c r="J33" s="186">
        <v>7.53</v>
      </c>
      <c r="K33" s="186">
        <v>4772.28</v>
      </c>
      <c r="L33" s="187">
        <v>435.63</v>
      </c>
    </row>
    <row r="34" spans="1:29" ht="23.25" customHeight="1" thickBot="1" x14ac:dyDescent="0.2">
      <c r="A34" s="185" t="str">
        <f t="shared" si="1"/>
        <v>D219 x 8</v>
      </c>
      <c r="B34" s="188">
        <v>219.1</v>
      </c>
      <c r="C34" s="188">
        <v>8</v>
      </c>
      <c r="D34" s="188">
        <v>41.7</v>
      </c>
      <c r="E34" s="188">
        <v>53.06</v>
      </c>
      <c r="F34" s="188">
        <v>0.68799999999999994</v>
      </c>
      <c r="G34" s="188">
        <v>2959.63</v>
      </c>
      <c r="H34" s="188">
        <v>270.16000000000003</v>
      </c>
      <c r="I34" s="188">
        <v>356.68</v>
      </c>
      <c r="J34" s="188">
        <v>7.47</v>
      </c>
      <c r="K34" s="188">
        <v>5919.26</v>
      </c>
      <c r="L34" s="189">
        <v>540.33000000000004</v>
      </c>
    </row>
    <row r="35" spans="1:29" ht="23.25" customHeight="1" thickBot="1" x14ac:dyDescent="0.2">
      <c r="A35" s="185" t="str">
        <f t="shared" si="1"/>
        <v>D219 x 10</v>
      </c>
      <c r="B35" s="188">
        <v>219.1</v>
      </c>
      <c r="C35" s="188">
        <v>10</v>
      </c>
      <c r="D35" s="188">
        <v>51.6</v>
      </c>
      <c r="E35" s="188">
        <v>65.69</v>
      </c>
      <c r="F35" s="188">
        <v>0.68799999999999994</v>
      </c>
      <c r="G35" s="188">
        <v>3598.44</v>
      </c>
      <c r="H35" s="188">
        <v>328.47</v>
      </c>
      <c r="I35" s="188">
        <v>437.56</v>
      </c>
      <c r="J35" s="188">
        <v>7.4</v>
      </c>
      <c r="K35" s="188">
        <v>7196.88</v>
      </c>
      <c r="L35" s="189">
        <v>656.95</v>
      </c>
    </row>
    <row r="36" spans="1:29" ht="23.25" customHeight="1" thickBot="1" x14ac:dyDescent="0.2">
      <c r="A36" s="185" t="str">
        <f t="shared" si="1"/>
        <v>D219 x 13</v>
      </c>
      <c r="B36" s="188">
        <v>219.1</v>
      </c>
      <c r="C36" s="188">
        <v>12.5</v>
      </c>
      <c r="D36" s="188">
        <v>63.7</v>
      </c>
      <c r="E36" s="188">
        <v>81.13</v>
      </c>
      <c r="F36" s="188">
        <v>0.68799999999999994</v>
      </c>
      <c r="G36" s="188">
        <v>4344.58</v>
      </c>
      <c r="H36" s="188">
        <v>396.58</v>
      </c>
      <c r="I36" s="188">
        <v>534.20000000000005</v>
      </c>
      <c r="J36" s="188">
        <v>7.32</v>
      </c>
      <c r="K36" s="188">
        <v>8689.16</v>
      </c>
      <c r="L36" s="189">
        <v>793.17</v>
      </c>
    </row>
    <row r="40" spans="1:29" ht="23.25" customHeight="1" thickBot="1" x14ac:dyDescent="0.2"/>
    <row r="41" spans="1:29" ht="23.25" customHeight="1" thickBot="1" x14ac:dyDescent="0.25"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</row>
    <row r="42" spans="1:29" ht="23.25" customHeight="1" x14ac:dyDescent="0.15">
      <c r="A42" s="208"/>
      <c r="B42" s="208"/>
      <c r="C42" s="216"/>
      <c r="D42" s="216"/>
      <c r="E42" s="216"/>
      <c r="F42" s="217"/>
      <c r="G42" s="208"/>
      <c r="I42" s="208"/>
      <c r="J42" s="216"/>
      <c r="K42" s="216"/>
      <c r="L42" s="216"/>
      <c r="M42" s="217"/>
      <c r="N42" s="208"/>
      <c r="O42" s="217"/>
      <c r="P42" s="208"/>
      <c r="Q42" s="211"/>
      <c r="R42" s="211"/>
      <c r="S42" s="211"/>
      <c r="T42" s="212"/>
      <c r="U42" s="208"/>
      <c r="V42" s="211"/>
      <c r="W42" s="211"/>
      <c r="X42" s="212"/>
      <c r="Y42" s="208"/>
      <c r="Z42" s="208"/>
      <c r="AA42" s="208"/>
      <c r="AB42" s="208"/>
      <c r="AC42" s="208"/>
    </row>
    <row r="43" spans="1:29" ht="23.25" customHeight="1" thickBot="1" x14ac:dyDescent="0.2">
      <c r="A43" s="210"/>
      <c r="B43" s="218"/>
      <c r="C43" s="219"/>
      <c r="D43" s="219"/>
      <c r="E43" s="219"/>
      <c r="F43" s="220"/>
      <c r="G43" s="210"/>
      <c r="I43" s="218"/>
      <c r="J43" s="219"/>
      <c r="K43" s="219"/>
      <c r="L43" s="219"/>
      <c r="M43" s="220"/>
      <c r="N43" s="218"/>
      <c r="O43" s="220"/>
      <c r="P43" s="213"/>
      <c r="Q43" s="214"/>
      <c r="R43" s="214"/>
      <c r="S43" s="214"/>
      <c r="T43" s="215"/>
      <c r="U43" s="213"/>
      <c r="V43" s="214"/>
      <c r="W43" s="214"/>
      <c r="X43" s="215"/>
      <c r="Y43" s="209"/>
      <c r="Z43" s="209"/>
      <c r="AA43" s="209"/>
      <c r="AB43" s="209"/>
      <c r="AC43" s="209"/>
    </row>
    <row r="44" spans="1:29" ht="23.25" customHeight="1" thickBot="1" x14ac:dyDescent="0.2">
      <c r="K44" s="208"/>
      <c r="Y44" s="210"/>
      <c r="Z44" s="210"/>
      <c r="AA44" s="210"/>
      <c r="AB44" s="210"/>
      <c r="AC44" s="210"/>
    </row>
    <row r="45" spans="1:29" ht="23.25" customHeight="1" thickBot="1" x14ac:dyDescent="0.2">
      <c r="K45" s="210"/>
    </row>
    <row r="46" spans="1:29" ht="23.25" customHeight="1" thickBot="1" x14ac:dyDescent="0.25">
      <c r="B46" s="191">
        <v>200</v>
      </c>
      <c r="C46" s="191">
        <v>80</v>
      </c>
      <c r="D46" s="191">
        <v>6</v>
      </c>
      <c r="F46" s="191">
        <v>13</v>
      </c>
      <c r="G46" s="191">
        <v>2900</v>
      </c>
      <c r="I46" s="191">
        <v>178</v>
      </c>
      <c r="J46" s="191">
        <v>152</v>
      </c>
      <c r="L46" s="191">
        <v>46</v>
      </c>
      <c r="M46" s="191">
        <v>47</v>
      </c>
      <c r="P46" s="191">
        <v>1909</v>
      </c>
      <c r="T46" s="191">
        <v>1350</v>
      </c>
      <c r="X46" s="192">
        <v>41389</v>
      </c>
      <c r="Y46" s="192">
        <v>41449</v>
      </c>
      <c r="Z46" s="193">
        <v>32721</v>
      </c>
      <c r="AB46" s="192">
        <v>41450</v>
      </c>
    </row>
    <row r="47" spans="1:29" ht="23.25" customHeight="1" thickBot="1" x14ac:dyDescent="0.25">
      <c r="B47" s="191">
        <v>220</v>
      </c>
      <c r="C47" s="191">
        <v>85</v>
      </c>
      <c r="D47" s="192">
        <v>6.4</v>
      </c>
      <c r="F47" s="191">
        <v>13</v>
      </c>
      <c r="G47" s="191">
        <v>3390</v>
      </c>
      <c r="I47" s="191">
        <v>196</v>
      </c>
      <c r="J47" s="191">
        <v>170</v>
      </c>
      <c r="L47" s="191">
        <v>47</v>
      </c>
      <c r="M47" s="191">
        <v>49</v>
      </c>
      <c r="P47" s="191">
        <v>2682</v>
      </c>
      <c r="T47" s="191">
        <v>1581</v>
      </c>
      <c r="Y47" s="192">
        <v>41300</v>
      </c>
      <c r="Z47" s="192">
        <v>41406</v>
      </c>
    </row>
    <row r="48" spans="1:29" ht="23.25" customHeight="1" thickBot="1" x14ac:dyDescent="0.25">
      <c r="B48" s="191">
        <v>240</v>
      </c>
      <c r="C48" s="191">
        <v>90</v>
      </c>
      <c r="E48" s="192">
        <v>41406</v>
      </c>
      <c r="F48" s="191">
        <v>15</v>
      </c>
      <c r="G48" s="191">
        <v>3850</v>
      </c>
      <c r="I48" s="191">
        <v>215</v>
      </c>
      <c r="J48" s="191">
        <v>185</v>
      </c>
      <c r="L48" s="191">
        <v>47</v>
      </c>
      <c r="M48" s="191">
        <v>51</v>
      </c>
      <c r="P48" s="191">
        <v>3599</v>
      </c>
      <c r="T48" s="191">
        <v>1877</v>
      </c>
      <c r="X48" s="192">
        <v>41392</v>
      </c>
      <c r="Y48" s="192">
        <v>41361</v>
      </c>
      <c r="AB48" s="192">
        <v>41544</v>
      </c>
    </row>
    <row r="49" spans="2:28" ht="23.25" customHeight="1" thickBot="1" x14ac:dyDescent="0.25">
      <c r="B49" s="191">
        <v>270</v>
      </c>
      <c r="C49" s="191">
        <v>95</v>
      </c>
      <c r="D49" s="192">
        <v>41401</v>
      </c>
      <c r="E49" s="192">
        <v>41407</v>
      </c>
      <c r="F49" s="191">
        <v>15</v>
      </c>
      <c r="G49" s="191">
        <v>4480</v>
      </c>
      <c r="I49" s="191">
        <v>243</v>
      </c>
      <c r="J49" s="191">
        <v>213</v>
      </c>
      <c r="L49" s="191">
        <v>48</v>
      </c>
      <c r="M49" s="191">
        <v>50</v>
      </c>
      <c r="P49" s="191">
        <v>5255</v>
      </c>
      <c r="T49" s="191">
        <v>2223</v>
      </c>
      <c r="X49" s="192">
        <v>41546</v>
      </c>
      <c r="Y49" s="192">
        <v>41515</v>
      </c>
      <c r="AB49" s="192">
        <v>41545</v>
      </c>
    </row>
    <row r="50" spans="2:28" ht="23.25" customHeight="1" thickBot="1" x14ac:dyDescent="0.25">
      <c r="B50" s="191">
        <v>300</v>
      </c>
      <c r="C50" s="191">
        <v>100</v>
      </c>
      <c r="D50" s="192">
        <v>41403</v>
      </c>
      <c r="F50" s="191">
        <v>15</v>
      </c>
      <c r="G50" s="191">
        <v>5660</v>
      </c>
      <c r="I50" s="191">
        <v>270</v>
      </c>
      <c r="J50" s="191">
        <v>240</v>
      </c>
      <c r="L50" s="191">
        <v>50</v>
      </c>
      <c r="M50" s="191">
        <v>55</v>
      </c>
      <c r="P50" s="191">
        <v>7823</v>
      </c>
      <c r="T50" s="191">
        <v>3029</v>
      </c>
      <c r="X50" s="192">
        <v>41516</v>
      </c>
      <c r="AB50" s="192">
        <v>41545</v>
      </c>
    </row>
    <row r="54" spans="2:28" ht="23.25" customHeight="1" x14ac:dyDescent="0.15">
      <c r="B54" s="57"/>
    </row>
  </sheetData>
  <mergeCells count="13">
    <mergeCell ref="A42:A43"/>
    <mergeCell ref="B42:F43"/>
    <mergeCell ref="G42:G43"/>
    <mergeCell ref="I42:M43"/>
    <mergeCell ref="N42:O43"/>
    <mergeCell ref="AB42:AB44"/>
    <mergeCell ref="AC42:AC44"/>
    <mergeCell ref="K44:K45"/>
    <mergeCell ref="P42:T43"/>
    <mergeCell ref="U42:X43"/>
    <mergeCell ref="Y42:Y44"/>
    <mergeCell ref="Z42:Z44"/>
    <mergeCell ref="AA42:AA44"/>
  </mergeCells>
  <hyperlinks>
    <hyperlink ref="F39" r:id="rId1" display="http://www.structural-drafting-net-expert.com/steel-sections-Europe-UPN.html"/>
  </hyperlinks>
  <pageMargins left="0.7" right="0.7" top="0.75" bottom="0.75" header="0.3" footer="0.3"/>
  <pageSetup paperSize="9" orientation="portrait" horizontalDpi="300" verticalDpi="0" copies="0" r:id="rId2"/>
  <customProperties>
    <customPr name="SSCSheetTrackingNo" r:id="rId3"/>
  </customPropertie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P19" sqref="P19"/>
    </sheetView>
  </sheetViews>
  <sheetFormatPr defaultColWidth="5.125" defaultRowHeight="15.75" customHeight="1" x14ac:dyDescent="0.25"/>
  <cols>
    <col min="1" max="1" width="2" style="87" customWidth="1"/>
    <col min="2" max="2" width="2" style="164" customWidth="1"/>
    <col min="3" max="3" width="2" style="163" customWidth="1"/>
    <col min="4" max="4" width="5.875" customWidth="1"/>
    <col min="5" max="5" width="6.625" customWidth="1"/>
    <col min="6" max="6" width="4.875" customWidth="1"/>
    <col min="7" max="7" width="1.625" customWidth="1"/>
  </cols>
  <sheetData/>
  <pageMargins left="0.7" right="0.7" top="0.75" bottom="0.75" header="0.3" footer="0.3"/>
  <pageSetup paperSize="9" orientation="portrait" horizontalDpi="300" verticalDpi="0" copies="0" r:id="rId1"/>
  <customProperties>
    <customPr name="SSCSheetTrackingNo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~#temp</vt:lpstr>
      <vt:lpstr>Omakaal</vt:lpstr>
      <vt:lpstr>TUULEKOORMUS 1</vt:lpstr>
      <vt:lpstr>TUULEKOORMUS 2</vt:lpstr>
      <vt:lpstr>TUULEKOORMUS 2(vana)</vt:lpstr>
      <vt:lpstr>TUULEKOORMUS 3 (vana)</vt:lpstr>
      <vt:lpstr>TUULEKOORMUS 3</vt:lpstr>
      <vt:lpstr>Jäitekoormus</vt:lpstr>
      <vt:lpstr>Tuul 1+jää</vt:lpstr>
      <vt:lpstr>Tuul 2+jää</vt:lpstr>
      <vt:lpstr>Tuul 3+jää</vt:lpstr>
      <vt:lpstr>Koormuste koondtabel</vt:lpstr>
      <vt:lpstr>KOMBINATSIOONID</vt:lpstr>
      <vt:lpstr>mudeli kontroll</vt:lpstr>
      <vt:lpstr>Varraste kontroll</vt:lpstr>
      <vt:lpstr>Ristlõiked</vt:lpstr>
      <vt:lpstr>Sõlmede dimensioneerimine</vt:lpstr>
      <vt:lpstr>T1_nimi</vt:lpstr>
      <vt:lpstr>T2_nimi</vt:lpstr>
      <vt:lpstr>T3_nimi</vt:lpstr>
      <vt:lpstr>Tabel_1</vt:lpstr>
      <vt:lpstr>tabel_2</vt:lpstr>
    </vt:vector>
  </TitlesOfParts>
  <Company>Ramboll Finland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Jaadla</dc:creator>
  <cp:lastModifiedBy>John</cp:lastModifiedBy>
  <cp:lastPrinted>2013-04-04T12:18:09Z</cp:lastPrinted>
  <dcterms:created xsi:type="dcterms:W3CDTF">2013-03-05T08:54:45Z</dcterms:created>
  <dcterms:modified xsi:type="dcterms:W3CDTF">2013-05-02T13:07:21Z</dcterms:modified>
</cp:coreProperties>
</file>