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491" windowWidth="11970" windowHeight="9345" activeTab="0"/>
  </bookViews>
  <sheets>
    <sheet name="Pipe_Flow_Calc" sheetId="1" r:id="rId1"/>
    <sheet name="Library" sheetId="2" r:id="rId2"/>
    <sheet name="PIPE WT TABLE" sheetId="3" r:id="rId3"/>
  </sheets>
  <definedNames>
    <definedName name="BONDSTRAND">'PIPE WT TABLE'!$E$50:$U$55</definedName>
    <definedName name="PipeE">'PIPE WT TABLE'!$B$58:$U$61</definedName>
    <definedName name="PipeNS">'PIPE WT TABLE'!#REF!</definedName>
    <definedName name="PipeWT">'PIPE WT TABLE'!$A$12:$S$39</definedName>
    <definedName name="_xlnm.Print_Titles" localSheetId="1">'Library'!$1:$4</definedName>
    <definedName name="_xlnm.Print_Titles" localSheetId="0">'Pipe_Flow_Calc'!$1:$6</definedName>
  </definedNames>
  <calcPr fullCalcOnLoad="1"/>
</workbook>
</file>

<file path=xl/sharedStrings.xml><?xml version="1.0" encoding="utf-8"?>
<sst xmlns="http://schemas.openxmlformats.org/spreadsheetml/2006/main" count="775" uniqueCount="286">
  <si>
    <t>Pressure</t>
  </si>
  <si>
    <t>Elevation</t>
  </si>
  <si>
    <t>m</t>
  </si>
  <si>
    <t>Type</t>
  </si>
  <si>
    <t>Size</t>
  </si>
  <si>
    <t>mm</t>
  </si>
  <si>
    <t>Sharp</t>
  </si>
  <si>
    <t>Flush</t>
  </si>
  <si>
    <t>Projecting</t>
  </si>
  <si>
    <t>Plug</t>
  </si>
  <si>
    <t>Butterfly</t>
  </si>
  <si>
    <t>Gate</t>
  </si>
  <si>
    <t>Ball</t>
  </si>
  <si>
    <t>Inline</t>
  </si>
  <si>
    <t>Angled</t>
  </si>
  <si>
    <t>Lift Check</t>
  </si>
  <si>
    <t>Foot Valve</t>
  </si>
  <si>
    <t>Vertical Disc</t>
  </si>
  <si>
    <t>Hinged Disc</t>
  </si>
  <si>
    <t>Angle</t>
  </si>
  <si>
    <t>FB</t>
  </si>
  <si>
    <t>cP</t>
  </si>
  <si>
    <t>Ktot</t>
  </si>
  <si>
    <t>Re</t>
  </si>
  <si>
    <t>P1</t>
  </si>
  <si>
    <t>H1</t>
  </si>
  <si>
    <t>H1p</t>
  </si>
  <si>
    <t>P1p</t>
  </si>
  <si>
    <t>L</t>
  </si>
  <si>
    <t>d</t>
  </si>
  <si>
    <t>Kp</t>
  </si>
  <si>
    <t>Kf</t>
  </si>
  <si>
    <t>P2</t>
  </si>
  <si>
    <t>H2</t>
  </si>
  <si>
    <t>H2p</t>
  </si>
  <si>
    <t>P2p</t>
  </si>
  <si>
    <t>T</t>
  </si>
  <si>
    <t>Q</t>
  </si>
  <si>
    <t>v</t>
  </si>
  <si>
    <t>f</t>
  </si>
  <si>
    <t>Q, v, Re, f</t>
  </si>
  <si>
    <r>
      <t xml:space="preserve">L, d, </t>
    </r>
    <r>
      <rPr>
        <sz val="10"/>
        <rFont val="GreekC"/>
        <family val="0"/>
      </rPr>
      <t>v</t>
    </r>
    <r>
      <rPr>
        <sz val="10"/>
        <rFont val="Arial"/>
        <family val="0"/>
      </rPr>
      <t>, Kp, Kf</t>
    </r>
  </si>
  <si>
    <r>
      <t xml:space="preserve">T, </t>
    </r>
    <r>
      <rPr>
        <sz val="10"/>
        <rFont val="GreekC"/>
        <family val="0"/>
      </rPr>
      <t>r</t>
    </r>
    <r>
      <rPr>
        <sz val="10"/>
        <rFont val="Arial"/>
        <family val="0"/>
      </rPr>
      <t xml:space="preserve">, </t>
    </r>
    <r>
      <rPr>
        <sz val="10"/>
        <rFont val="GreekC"/>
        <family val="0"/>
      </rPr>
      <t>m</t>
    </r>
  </si>
  <si>
    <t>r</t>
  </si>
  <si>
    <t>Kv</t>
  </si>
  <si>
    <t>dPfrict</t>
  </si>
  <si>
    <t>dPelev</t>
  </si>
  <si>
    <t>dPtotal</t>
  </si>
  <si>
    <t>dPf/P1</t>
  </si>
  <si>
    <t>ENGINEERING DESIGN DATA - DENNIS KIRK</t>
  </si>
  <si>
    <t>B 36.10 PIPING NOMINAL SIZE AND WALL THICKNESS LOOKUP TABLE</t>
  </si>
  <si>
    <t>SIZE</t>
  </si>
  <si>
    <t>NOM</t>
  </si>
  <si>
    <t>OD</t>
  </si>
  <si>
    <t>SCHED</t>
  </si>
  <si>
    <t>LOC'N</t>
  </si>
  <si>
    <t>WT</t>
  </si>
  <si>
    <t>ID</t>
  </si>
  <si>
    <t>STD</t>
  </si>
  <si>
    <t>PIPE WT's - PSA DATA SHEETS 1991</t>
  </si>
  <si>
    <t>XS</t>
  </si>
  <si>
    <t>XXS</t>
  </si>
  <si>
    <t>5S</t>
  </si>
  <si>
    <t>10S</t>
  </si>
  <si>
    <t>40S</t>
  </si>
  <si>
    <t>INCHES</t>
  </si>
  <si>
    <t>AMERON GRE PIPING:</t>
  </si>
  <si>
    <t>NOMINAL SIZE</t>
  </si>
  <si>
    <t xml:space="preserve">BONDSTRAND 2000 </t>
  </si>
  <si>
    <t>ID MM</t>
  </si>
  <si>
    <t>1100 - 3100 kPa</t>
  </si>
  <si>
    <t>WT MM</t>
  </si>
  <si>
    <t>BONDSTRAND 2000M</t>
  </si>
  <si>
    <t>1000 - 1500 kPa</t>
  </si>
  <si>
    <r>
      <t>Surface Roughness 5.3 x 10</t>
    </r>
    <r>
      <rPr>
        <vertAlign val="superscript"/>
        <sz val="10"/>
        <rFont val="MS Sans Serif"/>
        <family val="2"/>
      </rPr>
      <t>-6</t>
    </r>
    <r>
      <rPr>
        <sz val="10"/>
        <rFont val="MS Sans Serif"/>
        <family val="0"/>
      </rPr>
      <t xml:space="preserve"> m (0.0053 mm)</t>
    </r>
  </si>
  <si>
    <t>Drawn Tube</t>
  </si>
  <si>
    <t>Steel Pipe-clean</t>
  </si>
  <si>
    <t>Galvanised Iron</t>
  </si>
  <si>
    <t>Cast Iron</t>
  </si>
  <si>
    <t>Concrete-smooth</t>
  </si>
  <si>
    <t>Concrete-rough</t>
  </si>
  <si>
    <t>N/A</t>
  </si>
  <si>
    <t>LOCATION OF ID INFO FOR EACH PIPE SIZE</t>
  </si>
  <si>
    <t>Size (in)</t>
  </si>
  <si>
    <t>Sched</t>
  </si>
  <si>
    <t>NB</t>
  </si>
  <si>
    <t>Reference Pipe Size</t>
  </si>
  <si>
    <t>Kp(ref)</t>
  </si>
  <si>
    <t>Le(ref)</t>
  </si>
  <si>
    <t>Le</t>
  </si>
  <si>
    <t>SR (r/d=1)</t>
  </si>
  <si>
    <t>LR (r/d=1.5)</t>
  </si>
  <si>
    <t>Elbow B/W</t>
  </si>
  <si>
    <t>Tee B/W</t>
  </si>
  <si>
    <t>Thru Run</t>
  </si>
  <si>
    <t>Thru Branch</t>
  </si>
  <si>
    <t>Pipe Entry</t>
  </si>
  <si>
    <t>Rounded 0.1</t>
  </si>
  <si>
    <t>Pipe Exit</t>
  </si>
  <si>
    <t>d1/d2=</t>
  </si>
  <si>
    <t>other</t>
  </si>
  <si>
    <t>Mitre Bend</t>
  </si>
  <si>
    <t>Contraction Sudden</t>
  </si>
  <si>
    <t>Contraction ANSI</t>
  </si>
  <si>
    <t>Enlargement ANSI</t>
  </si>
  <si>
    <r>
      <t>Included angle &lt; 45</t>
    </r>
    <r>
      <rPr>
        <vertAlign val="superscript"/>
        <sz val="10"/>
        <rFont val="Arial"/>
        <family val="2"/>
      </rPr>
      <t>o</t>
    </r>
  </si>
  <si>
    <r>
      <t>Included angle &gt; 45</t>
    </r>
    <r>
      <rPr>
        <vertAlign val="superscript"/>
        <sz val="10"/>
        <rFont val="Arial"/>
        <family val="2"/>
      </rPr>
      <t>o</t>
    </r>
  </si>
  <si>
    <t>Enlargement Sudden</t>
  </si>
  <si>
    <t>Other</t>
  </si>
  <si>
    <t>Reference Elevation</t>
  </si>
  <si>
    <t>Check</t>
  </si>
  <si>
    <t>Swing</t>
  </si>
  <si>
    <t>RB</t>
  </si>
  <si>
    <t>Parallel</t>
  </si>
  <si>
    <t>a</t>
  </si>
  <si>
    <t>Wafer</t>
  </si>
  <si>
    <t>Axial</t>
  </si>
  <si>
    <t>d1/d2=1</t>
  </si>
  <si>
    <r>
      <t>d1/d2=1 45</t>
    </r>
    <r>
      <rPr>
        <vertAlign val="superscript"/>
        <sz val="10"/>
        <rFont val="Arial"/>
        <family val="2"/>
      </rPr>
      <t>o</t>
    </r>
  </si>
  <si>
    <r>
      <t>d1/d2=1 90</t>
    </r>
    <r>
      <rPr>
        <vertAlign val="superscript"/>
        <sz val="10"/>
        <rFont val="Arial"/>
        <family val="2"/>
      </rPr>
      <t>o</t>
    </r>
  </si>
  <si>
    <t>Globe (d1=orifice)</t>
  </si>
  <si>
    <r>
      <t>d1/d2=</t>
    </r>
    <r>
      <rPr>
        <sz val="10"/>
        <rFont val="GreekC"/>
        <family val="0"/>
      </rPr>
      <t>b</t>
    </r>
  </si>
  <si>
    <t>Inline Red.</t>
  </si>
  <si>
    <t>Angle Seat</t>
  </si>
  <si>
    <t>Vert Seat</t>
  </si>
  <si>
    <t>Hor Seat</t>
  </si>
  <si>
    <t>(d1/d2=1)</t>
  </si>
  <si>
    <t>Cv=</t>
  </si>
  <si>
    <t>K=</t>
  </si>
  <si>
    <t>Kf(ref)</t>
  </si>
  <si>
    <t>USGPM</t>
  </si>
  <si>
    <t>q</t>
  </si>
  <si>
    <t>Upstream Conditions:</t>
  </si>
  <si>
    <t>At Pipe Inlet:</t>
  </si>
  <si>
    <t>At Fluid Surface:</t>
  </si>
  <si>
    <t>Downstream Conditions:</t>
  </si>
  <si>
    <t>Pipe Details:</t>
  </si>
  <si>
    <t>Pipe K Factor:</t>
  </si>
  <si>
    <t>Fittings K Factor:</t>
  </si>
  <si>
    <t>Valves K Factor:</t>
  </si>
  <si>
    <t>Fluid Details:</t>
  </si>
  <si>
    <t>Fluid Flow:</t>
  </si>
  <si>
    <t>Fluid Type</t>
  </si>
  <si>
    <t>Pipe Size:</t>
  </si>
  <si>
    <t>Fittings Details:</t>
  </si>
  <si>
    <t>Valve Details:</t>
  </si>
  <si>
    <t>Pipe and Fittings Pressure Drop Calculation (refer Crane Flow of Fluids)</t>
  </si>
  <si>
    <t>Client:</t>
  </si>
  <si>
    <t>Project:</t>
  </si>
  <si>
    <t>Task:</t>
  </si>
  <si>
    <t>By:</t>
  </si>
  <si>
    <t>Solver Options:</t>
  </si>
  <si>
    <t>Note: Enter reducers under the smaller size</t>
  </si>
  <si>
    <t>Glass</t>
  </si>
  <si>
    <t>Copper</t>
  </si>
  <si>
    <t>GRP Pipe</t>
  </si>
  <si>
    <t>Stainless Steel</t>
  </si>
  <si>
    <t>Steel 6 mo</t>
  </si>
  <si>
    <t>Steel 12 mo</t>
  </si>
  <si>
    <t>Steel 24 mo</t>
  </si>
  <si>
    <t>Steel Pigged</t>
  </si>
  <si>
    <t>Stl Sand Blast</t>
  </si>
  <si>
    <t>Epoxy Lined</t>
  </si>
  <si>
    <t>Steel Pipe-new</t>
  </si>
  <si>
    <t>Typical Values for surface roughness e (mm)</t>
  </si>
  <si>
    <r>
      <t>f</t>
    </r>
    <r>
      <rPr>
        <vertAlign val="subscript"/>
        <sz val="10"/>
        <rFont val="Arial"/>
        <family val="2"/>
      </rPr>
      <t>T</t>
    </r>
  </si>
  <si>
    <r>
      <t>f</t>
    </r>
    <r>
      <rPr>
        <vertAlign val="subscript"/>
        <sz val="10"/>
        <rFont val="Arial"/>
        <family val="2"/>
      </rPr>
      <t>T</t>
    </r>
    <r>
      <rPr>
        <sz val="10"/>
        <rFont val="Arial"/>
        <family val="2"/>
      </rPr>
      <t xml:space="preserve"> (fully turbulent flow)</t>
    </r>
  </si>
  <si>
    <r>
      <t>K/f</t>
    </r>
    <r>
      <rPr>
        <vertAlign val="subscript"/>
        <sz val="10"/>
        <rFont val="Arial"/>
        <family val="2"/>
      </rPr>
      <t>T</t>
    </r>
    <r>
      <rPr>
        <sz val="10"/>
        <rFont val="Arial"/>
        <family val="0"/>
      </rPr>
      <t xml:space="preserve"> or K</t>
    </r>
  </si>
  <si>
    <r>
      <t>K/f</t>
    </r>
    <r>
      <rPr>
        <vertAlign val="subscript"/>
        <sz val="10"/>
        <rFont val="Arial"/>
        <family val="2"/>
      </rPr>
      <t>T</t>
    </r>
  </si>
  <si>
    <t>UKGPM</t>
  </si>
  <si>
    <t>Varies</t>
  </si>
  <si>
    <t>Stockham Wafer Check 2 in</t>
  </si>
  <si>
    <t>Stockham Wafer Check 3 in</t>
  </si>
  <si>
    <t>Stockham Wafer Check 4 in</t>
  </si>
  <si>
    <t>Stockham Wafer Check 6 in</t>
  </si>
  <si>
    <t>Stockham Wafer Check 8 in</t>
  </si>
  <si>
    <t>Stockham Wafer Check 10 in</t>
  </si>
  <si>
    <t>Stockham Wafer Check 12 in</t>
  </si>
  <si>
    <t>Kitz Ball RB 2 in</t>
  </si>
  <si>
    <t>Kitz Ball RB 3 in</t>
  </si>
  <si>
    <t>Kitz Ball RB 4 in</t>
  </si>
  <si>
    <t>Kitz Ball RB 6 in</t>
  </si>
  <si>
    <t>Kitz Ball RB 8 in</t>
  </si>
  <si>
    <t>Kitz Ball RB 10 in</t>
  </si>
  <si>
    <t>Kitz Ball RB 12 in</t>
  </si>
  <si>
    <t>Richards Ball RB (Series 11) 2 in</t>
  </si>
  <si>
    <t>Richards Ball RB (Series 11) 3 in</t>
  </si>
  <si>
    <t>Richards Ball RB (Series 11) 4 in</t>
  </si>
  <si>
    <t>Richards Ball RB (Series 11) 6 in</t>
  </si>
  <si>
    <t>Richards Ball RB (Series 11) 8 in</t>
  </si>
  <si>
    <t>Starline Ball RB 2 in</t>
  </si>
  <si>
    <t>Starline Ball RB 3 in</t>
  </si>
  <si>
    <t>Starline Ball RB 4 in</t>
  </si>
  <si>
    <t>Component</t>
  </si>
  <si>
    <t>Engineering Design Calculation - Dennis Kirk</t>
  </si>
  <si>
    <t>Kitz Ball FB 2 in</t>
  </si>
  <si>
    <t>Kitz Ball FB 3 in</t>
  </si>
  <si>
    <t>Kitz Ball FB 4 in</t>
  </si>
  <si>
    <t>Kitz Ball FB 6 in</t>
  </si>
  <si>
    <t>Kitz Ball FB 8 in</t>
  </si>
  <si>
    <t>Kitz Ball FB 10 in</t>
  </si>
  <si>
    <t>Kitz Ball FB 12 in</t>
  </si>
  <si>
    <t>Class 150</t>
  </si>
  <si>
    <t>Class 300</t>
  </si>
  <si>
    <t>Class 600</t>
  </si>
  <si>
    <t>Class 900</t>
  </si>
  <si>
    <t>Class 1500</t>
  </si>
  <si>
    <t>Class 2500</t>
  </si>
  <si>
    <t>TK Ball FB 1/2 in</t>
  </si>
  <si>
    <t>TK Ball FB 3/4 in</t>
  </si>
  <si>
    <t>TK Ball FB 1 in</t>
  </si>
  <si>
    <t>TK Ball FB 1-1/2 in</t>
  </si>
  <si>
    <t>TK Ball FB 2 in</t>
  </si>
  <si>
    <t>TK Ball FB 3 in</t>
  </si>
  <si>
    <t>TK Ball FB 4 in</t>
  </si>
  <si>
    <t>TK Ball FB 6 in</t>
  </si>
  <si>
    <t>TK Ball FB 8 in</t>
  </si>
  <si>
    <t>TK Ball FB 10 in</t>
  </si>
  <si>
    <t>TK Ball FB 12 in</t>
  </si>
  <si>
    <t>TK Ball FB 14 in</t>
  </si>
  <si>
    <t>TK Ball FB 16 in</t>
  </si>
  <si>
    <t>TK Ball FB 18 in</t>
  </si>
  <si>
    <t>TK Ball FB 20 in</t>
  </si>
  <si>
    <t>TK Ball FB 22 in</t>
  </si>
  <si>
    <t>TK Ball FB 24 in</t>
  </si>
  <si>
    <t>TK Ball FB 26 in</t>
  </si>
  <si>
    <t>TK Ball FB 28 in</t>
  </si>
  <si>
    <t>TK Ball FB 30 in</t>
  </si>
  <si>
    <t>TK Ball FB 36 in</t>
  </si>
  <si>
    <t>Reduced Bore</t>
  </si>
  <si>
    <t>TK Ball RB 2x1-1/2 in</t>
  </si>
  <si>
    <t>-</t>
  </si>
  <si>
    <t>TK Ball RB 3x2 in</t>
  </si>
  <si>
    <t>TK Ball RB 4x3 in</t>
  </si>
  <si>
    <t>TK Ball RB 6x4 in</t>
  </si>
  <si>
    <t>TK Ball RB 8x6 in</t>
  </si>
  <si>
    <t>TK Ball RB 10x8 in</t>
  </si>
  <si>
    <t>TK Ball RB 12x8 in</t>
  </si>
  <si>
    <t>TK Ball RB 12x10 in</t>
  </si>
  <si>
    <t>TK Ball RB 14x12 in</t>
  </si>
  <si>
    <t>TK Ball RB 16x12 in</t>
  </si>
  <si>
    <t>TK Ball RB 16x14 in</t>
  </si>
  <si>
    <t>TK Ball RB 18x16 in</t>
  </si>
  <si>
    <t>TK Ball RB 20x16 in</t>
  </si>
  <si>
    <t>TK Ball RB 20x18 in</t>
  </si>
  <si>
    <t>TK Ball RB 24x20 in</t>
  </si>
  <si>
    <t>TK Ball RB 30x24 in</t>
  </si>
  <si>
    <t>TK Ball RB 30x26 in</t>
  </si>
  <si>
    <t>TK Ball RB 36x30 in</t>
  </si>
  <si>
    <t>TK Ball RB 10x6 in</t>
  </si>
  <si>
    <t>Stockham Wafer Check 14 in</t>
  </si>
  <si>
    <t>Stockham Wafer Check 16 in</t>
  </si>
  <si>
    <t>Stockham Wafer Check 18 in</t>
  </si>
  <si>
    <t>Stockham Wafer Check 20 in</t>
  </si>
  <si>
    <t>Stockham Wafer Check 24 in</t>
  </si>
  <si>
    <t>Stockham Wafer Check 30 in</t>
  </si>
  <si>
    <t>Stockham Wafer Check 36 in</t>
  </si>
  <si>
    <t>psi(g)</t>
  </si>
  <si>
    <t>ft</t>
  </si>
  <si>
    <t>psi</t>
  </si>
  <si>
    <t>oF</t>
  </si>
  <si>
    <t>lb/ft3</t>
  </si>
  <si>
    <t>in</t>
  </si>
  <si>
    <t>gal/min</t>
  </si>
  <si>
    <t>ft/sec</t>
  </si>
  <si>
    <t>dPf/100ft</t>
  </si>
  <si>
    <t>psi/100ft</t>
  </si>
  <si>
    <t>feet</t>
  </si>
  <si>
    <t>lb/hr</t>
  </si>
  <si>
    <t>Kv(ref)</t>
  </si>
  <si>
    <t>dP/100ft</t>
  </si>
  <si>
    <t>Holly Refining</t>
  </si>
  <si>
    <t>Trevor Kanode</t>
  </si>
  <si>
    <t>CFM</t>
  </si>
  <si>
    <t>MMSCFD</t>
  </si>
  <si>
    <t>ENGINEERING DESIGN CALCULATION</t>
  </si>
  <si>
    <t>1" EZ with 3/4" Port</t>
  </si>
  <si>
    <t>2" EZ with 2" port =%</t>
  </si>
  <si>
    <t>1-1/2" Fisher ED 75% of max Cv</t>
  </si>
  <si>
    <r>
      <t>(Valid for 0.3&lt;</t>
    </r>
    <r>
      <rPr>
        <sz val="10"/>
        <rFont val="GreekC"/>
        <family val="0"/>
      </rPr>
      <t>b</t>
    </r>
    <r>
      <rPr>
        <sz val="10"/>
        <rFont val="Arial"/>
        <family val="0"/>
      </rPr>
      <t>&lt;0.7)</t>
    </r>
  </si>
  <si>
    <t>Beta Ratio</t>
  </si>
  <si>
    <t>check accuracy of the orifice calc</t>
  </si>
  <si>
    <t>E08-297HOL</t>
  </si>
  <si>
    <t>Sour NGL</t>
  </si>
  <si>
    <t>Orifice Plate (Flange Tap Only)</t>
  </si>
  <si>
    <t>Flow Coefficient 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</si>
</sst>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 #,##0.0_-;_-* &quot;-&quot;??_-;_-@_-"/>
    <numFmt numFmtId="173" formatCode="_-* #,##0_-;\-* #,##0_-;_-* &quot;-&quot;??_-;_-@_-"/>
    <numFmt numFmtId="174" formatCode="_-* #,##0.000_-;\-* #,##0.000_-;_-* &quot;-&quot;??_-;_-@_-"/>
    <numFmt numFmtId="175" formatCode="_-* #,##0.0000_-;\-* #,##0.0000_-;_-* &quot;-&quot;??_-;_-@_-"/>
    <numFmt numFmtId="176" formatCode="_-* #,##0.00000_-;\-* #,##0.00000_-;_-* &quot;-&quot;??_-;_-@_-"/>
    <numFmt numFmtId="177" formatCode="0.00000"/>
    <numFmt numFmtId="178" formatCode="0.0000"/>
    <numFmt numFmtId="179" formatCode="0.000"/>
    <numFmt numFmtId="180" formatCode="0.0"/>
    <numFmt numFmtId="181" formatCode="0.00000000"/>
    <numFmt numFmtId="182" formatCode="0.0000000"/>
    <numFmt numFmtId="183" formatCode="0.000000"/>
    <numFmt numFmtId="184" formatCode="&quot;$&quot;#,##0.0_);[Red]\(&quot;$&quot;#,##0.0\)"/>
    <numFmt numFmtId="185" formatCode="0.0%"/>
    <numFmt numFmtId="186" formatCode="0\º"/>
    <numFmt numFmtId="187" formatCode="&quot;r/d=&quot;0"/>
    <numFmt numFmtId="188" formatCode="&quot;r/d=&quot;0.0"/>
    <numFmt numFmtId="189" formatCode="&quot;SR(r/d)=&quot;0"/>
    <numFmt numFmtId="190" formatCode="&quot;LR(r/d)=&quot;0.0"/>
    <numFmt numFmtId="191" formatCode="d/mm/yyyy"/>
    <numFmt numFmtId="192" formatCode="_(* #,##0.0000_);_(* \(#,##0.0000\);_(* &quot;-&quot;????_);_(@_)"/>
  </numFmts>
  <fonts count="23">
    <font>
      <sz val="10"/>
      <name val="Arial"/>
      <family val="0"/>
    </font>
    <font>
      <b/>
      <sz val="10"/>
      <name val="Arial"/>
      <family val="2"/>
    </font>
    <font>
      <sz val="10"/>
      <color indexed="14"/>
      <name val="Arial"/>
      <family val="2"/>
    </font>
    <font>
      <sz val="10"/>
      <name val="GreekC"/>
      <family val="0"/>
    </font>
    <font>
      <sz val="10"/>
      <name val="MS Sans Serif"/>
      <family val="0"/>
    </font>
    <font>
      <b/>
      <sz val="10"/>
      <name val="Times New Roman"/>
      <family val="0"/>
    </font>
    <font>
      <b/>
      <sz val="10"/>
      <color indexed="10"/>
      <name val="Times New Roman"/>
      <family val="0"/>
    </font>
    <font>
      <sz val="10"/>
      <name val="Times New Roman"/>
      <family val="0"/>
    </font>
    <font>
      <sz val="10"/>
      <color indexed="10"/>
      <name val="Times New Roman"/>
      <family val="0"/>
    </font>
    <font>
      <b/>
      <sz val="8"/>
      <name val="Times New Roman"/>
      <family val="0"/>
    </font>
    <font>
      <sz val="8"/>
      <name val="Times New Roman"/>
      <family val="0"/>
    </font>
    <font>
      <sz val="8"/>
      <color indexed="12"/>
      <name val="Times New Roman"/>
      <family val="0"/>
    </font>
    <font>
      <sz val="8"/>
      <color indexed="8"/>
      <name val="Times New Roman"/>
      <family val="0"/>
    </font>
    <font>
      <sz val="10"/>
      <color indexed="8"/>
      <name val="Times New Roman"/>
      <family val="0"/>
    </font>
    <font>
      <b/>
      <sz val="10"/>
      <name val="MS Sans Serif"/>
      <family val="0"/>
    </font>
    <font>
      <vertAlign val="superscript"/>
      <sz val="10"/>
      <name val="MS Sans Serif"/>
      <family val="2"/>
    </font>
    <font>
      <sz val="8"/>
      <name val="Arial"/>
      <family val="2"/>
    </font>
    <font>
      <vertAlign val="superscript"/>
      <sz val="10"/>
      <name val="Arial"/>
      <family val="2"/>
    </font>
    <font>
      <sz val="7.5"/>
      <name val="Arial"/>
      <family val="2"/>
    </font>
    <font>
      <u val="single"/>
      <sz val="8"/>
      <color indexed="12"/>
      <name val="Arial"/>
      <family val="0"/>
    </font>
    <font>
      <vertAlign val="subscript"/>
      <sz val="10"/>
      <name val="Arial"/>
      <family val="2"/>
    </font>
    <font>
      <u val="single"/>
      <sz val="10"/>
      <name val="Arial"/>
      <family val="2"/>
    </font>
    <font>
      <b/>
      <sz val="10"/>
      <color indexed="10"/>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51">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style="dotted"/>
      <top style="dotted"/>
      <bottom style="dotted"/>
    </border>
    <border>
      <left style="dotted"/>
      <right>
        <color indexed="63"/>
      </right>
      <top style="dotted"/>
      <bottom style="dotted"/>
    </border>
    <border>
      <left style="dotted"/>
      <right style="dotted"/>
      <top style="hair"/>
      <bottom>
        <color indexed="63"/>
      </bottom>
    </border>
    <border>
      <left style="dotted"/>
      <right style="hair"/>
      <top style="hair"/>
      <bottom>
        <color indexed="63"/>
      </bottom>
    </border>
    <border>
      <left style="dotted"/>
      <right style="dotted"/>
      <top>
        <color indexed="63"/>
      </top>
      <bottom>
        <color indexed="63"/>
      </bottom>
    </border>
    <border>
      <left style="dotted"/>
      <right style="hair"/>
      <top>
        <color indexed="63"/>
      </top>
      <bottom>
        <color indexed="63"/>
      </bottom>
    </border>
    <border>
      <left style="dotted"/>
      <right style="dotted"/>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style="dotted"/>
      <right style="thin"/>
      <top style="thin"/>
      <bottom>
        <color indexed="63"/>
      </bottom>
    </border>
    <border>
      <left style="dotted"/>
      <right>
        <color indexed="63"/>
      </right>
      <top>
        <color indexed="63"/>
      </top>
      <bottom>
        <color indexed="63"/>
      </bottom>
    </border>
    <border>
      <left style="dotted"/>
      <right style="thin"/>
      <top>
        <color indexed="63"/>
      </top>
      <bottom>
        <color indexed="63"/>
      </bottom>
    </border>
    <border>
      <left style="dotted"/>
      <right>
        <color indexed="63"/>
      </right>
      <top>
        <color indexed="63"/>
      </top>
      <bottom style="thin"/>
    </border>
    <border>
      <left style="dotted"/>
      <right style="thin"/>
      <top>
        <color indexed="63"/>
      </top>
      <bottom style="thin"/>
    </border>
    <border>
      <left style="thin"/>
      <right style="thin"/>
      <top style="thin"/>
      <bottom style="thin"/>
    </border>
    <border>
      <left style="dotted"/>
      <right>
        <color indexed="63"/>
      </right>
      <top style="thin"/>
      <bottom style="thin"/>
    </border>
    <border>
      <left style="dotted"/>
      <right style="thin"/>
      <top style="thin"/>
      <bottom style="thin"/>
    </border>
    <border>
      <left style="hair"/>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98">
    <xf numFmtId="0" fontId="0" fillId="0" borderId="0" xfId="0" applyAlignment="1">
      <alignment/>
    </xf>
    <xf numFmtId="0" fontId="5" fillId="0" borderId="1" xfId="21" applyFont="1" applyBorder="1" applyAlignment="1">
      <alignment horizontal="centerContinuous"/>
      <protection/>
    </xf>
    <xf numFmtId="0" fontId="5" fillId="0" borderId="2" xfId="21" applyFont="1" applyBorder="1" applyAlignment="1">
      <alignment horizontal="centerContinuous"/>
      <protection/>
    </xf>
    <xf numFmtId="0" fontId="4" fillId="0" borderId="2" xfId="21" applyBorder="1" applyAlignment="1">
      <alignment horizontal="centerContinuous"/>
      <protection/>
    </xf>
    <xf numFmtId="0" fontId="4" fillId="0" borderId="3" xfId="21" applyBorder="1" applyAlignment="1">
      <alignment horizontal="centerContinuous"/>
      <protection/>
    </xf>
    <xf numFmtId="0" fontId="4" fillId="0" borderId="0" xfId="21">
      <alignment/>
      <protection/>
    </xf>
    <xf numFmtId="0" fontId="5" fillId="0" borderId="0" xfId="21" applyFont="1">
      <alignment/>
      <protection/>
    </xf>
    <xf numFmtId="0" fontId="4" fillId="0" borderId="4" xfId="21" applyBorder="1" applyAlignment="1">
      <alignment horizontal="center"/>
      <protection/>
    </xf>
    <xf numFmtId="0" fontId="4" fillId="0" borderId="5" xfId="21" applyBorder="1" applyAlignment="1">
      <alignment horizontal="center"/>
      <protection/>
    </xf>
    <xf numFmtId="0" fontId="4" fillId="0" borderId="6" xfId="21" applyBorder="1" applyAlignment="1">
      <alignment horizontal="center"/>
      <protection/>
    </xf>
    <xf numFmtId="0" fontId="6" fillId="0" borderId="7" xfId="21" applyFont="1" applyBorder="1" applyAlignment="1" applyProtection="1">
      <alignment horizontal="center"/>
      <protection locked="0"/>
    </xf>
    <xf numFmtId="0" fontId="4" fillId="0" borderId="0" xfId="21" applyBorder="1" applyAlignment="1" applyProtection="1">
      <alignment horizontal="center"/>
      <protection hidden="1"/>
    </xf>
    <xf numFmtId="0" fontId="6" fillId="0" borderId="0" xfId="21" applyFont="1" applyBorder="1" applyAlignment="1" applyProtection="1">
      <alignment horizontal="center"/>
      <protection locked="0"/>
    </xf>
    <xf numFmtId="0" fontId="7" fillId="0" borderId="0" xfId="21" applyFont="1" applyBorder="1" applyAlignment="1" applyProtection="1">
      <alignment horizontal="center"/>
      <protection hidden="1"/>
    </xf>
    <xf numFmtId="0" fontId="4" fillId="0" borderId="8" xfId="21" applyBorder="1" applyAlignment="1" applyProtection="1">
      <alignment horizontal="center"/>
      <protection hidden="1"/>
    </xf>
    <xf numFmtId="0" fontId="8" fillId="0" borderId="9" xfId="21" applyFont="1" applyBorder="1" applyAlignment="1">
      <alignment horizontal="center"/>
      <protection/>
    </xf>
    <xf numFmtId="0" fontId="4" fillId="0" borderId="10" xfId="21" applyBorder="1" applyAlignment="1">
      <alignment horizontal="center"/>
      <protection/>
    </xf>
    <xf numFmtId="0" fontId="8" fillId="0" borderId="10" xfId="21" applyFont="1" applyBorder="1" applyAlignment="1">
      <alignment horizontal="center"/>
      <protection/>
    </xf>
    <xf numFmtId="0" fontId="7" fillId="0" borderId="10" xfId="21" applyFont="1" applyBorder="1">
      <alignment/>
      <protection/>
    </xf>
    <xf numFmtId="0" fontId="7" fillId="0" borderId="10" xfId="21" applyFont="1" applyBorder="1" applyAlignment="1" applyProtection="1">
      <alignment horizontal="center"/>
      <protection hidden="1"/>
    </xf>
    <xf numFmtId="0" fontId="4" fillId="0" borderId="10" xfId="21" applyBorder="1">
      <alignment/>
      <protection/>
    </xf>
    <xf numFmtId="0" fontId="4" fillId="0" borderId="11" xfId="21" applyBorder="1">
      <alignment/>
      <protection/>
    </xf>
    <xf numFmtId="0" fontId="9" fillId="0" borderId="0" xfId="21" applyFont="1" applyAlignment="1">
      <alignment horizontal="left"/>
      <protection/>
    </xf>
    <xf numFmtId="0" fontId="10" fillId="0" borderId="0" xfId="21" applyFont="1" applyAlignment="1">
      <alignment horizontal="center"/>
      <protection/>
    </xf>
    <xf numFmtId="0" fontId="11" fillId="0" borderId="12" xfId="21" applyFont="1" applyBorder="1" applyAlignment="1">
      <alignment horizontal="center"/>
      <protection/>
    </xf>
    <xf numFmtId="0" fontId="11" fillId="0" borderId="13" xfId="21" applyFont="1" applyBorder="1" applyAlignment="1">
      <alignment horizontal="center"/>
      <protection/>
    </xf>
    <xf numFmtId="0" fontId="11" fillId="0" borderId="14" xfId="21" applyFont="1" applyBorder="1" applyAlignment="1">
      <alignment horizontal="center"/>
      <protection/>
    </xf>
    <xf numFmtId="179" fontId="12" fillId="0" borderId="4" xfId="21" applyNumberFormat="1" applyFont="1" applyBorder="1" applyAlignment="1">
      <alignment horizontal="center"/>
      <protection/>
    </xf>
    <xf numFmtId="1" fontId="12" fillId="0" borderId="5" xfId="21" applyNumberFormat="1" applyFont="1" applyBorder="1" applyAlignment="1">
      <alignment horizontal="center"/>
      <protection/>
    </xf>
    <xf numFmtId="2" fontId="12" fillId="0" borderId="6" xfId="21" applyNumberFormat="1" applyFont="1" applyBorder="1" applyAlignment="1">
      <alignment horizontal="center"/>
      <protection/>
    </xf>
    <xf numFmtId="2" fontId="12" fillId="0" borderId="5" xfId="21" applyNumberFormat="1" applyFont="1" applyBorder="1" applyAlignment="1">
      <alignment horizontal="center"/>
      <protection/>
    </xf>
    <xf numFmtId="179" fontId="12" fillId="0" borderId="7" xfId="21" applyNumberFormat="1" applyFont="1" applyBorder="1" applyAlignment="1">
      <alignment horizontal="center"/>
      <protection/>
    </xf>
    <xf numFmtId="1" fontId="12" fillId="0" borderId="0" xfId="21" applyNumberFormat="1" applyFont="1" applyBorder="1" applyAlignment="1">
      <alignment horizontal="center"/>
      <protection/>
    </xf>
    <xf numFmtId="2" fontId="12" fillId="0" borderId="8" xfId="21" applyNumberFormat="1" applyFont="1" applyBorder="1" applyAlignment="1">
      <alignment horizontal="center"/>
      <protection/>
    </xf>
    <xf numFmtId="2" fontId="12" fillId="0" borderId="0" xfId="21" applyNumberFormat="1" applyFont="1" applyBorder="1" applyAlignment="1">
      <alignment horizontal="center"/>
      <protection/>
    </xf>
    <xf numFmtId="2" fontId="12" fillId="0" borderId="7" xfId="21" applyNumberFormat="1" applyFont="1" applyBorder="1" applyAlignment="1">
      <alignment horizontal="center"/>
      <protection/>
    </xf>
    <xf numFmtId="1" fontId="12" fillId="0" borderId="7" xfId="21" applyNumberFormat="1" applyFont="1" applyBorder="1" applyAlignment="1">
      <alignment horizontal="center"/>
      <protection/>
    </xf>
    <xf numFmtId="1" fontId="13" fillId="0" borderId="7" xfId="21" applyNumberFormat="1" applyFont="1" applyBorder="1" applyAlignment="1">
      <alignment horizontal="center"/>
      <protection/>
    </xf>
    <xf numFmtId="1" fontId="13" fillId="0" borderId="0" xfId="21" applyNumberFormat="1" applyFont="1" applyBorder="1" applyAlignment="1">
      <alignment horizontal="center"/>
      <protection/>
    </xf>
    <xf numFmtId="2" fontId="13" fillId="0" borderId="8" xfId="21" applyNumberFormat="1" applyFont="1" applyBorder="1" applyAlignment="1">
      <alignment horizontal="center"/>
      <protection/>
    </xf>
    <xf numFmtId="2" fontId="13" fillId="0" borderId="0" xfId="21" applyNumberFormat="1" applyFont="1" applyBorder="1" applyAlignment="1">
      <alignment horizontal="center"/>
      <protection/>
    </xf>
    <xf numFmtId="1" fontId="13" fillId="0" borderId="9" xfId="21" applyNumberFormat="1" applyFont="1" applyBorder="1" applyAlignment="1">
      <alignment horizontal="center"/>
      <protection/>
    </xf>
    <xf numFmtId="1" fontId="13" fillId="0" borderId="10" xfId="21" applyNumberFormat="1" applyFont="1" applyBorder="1" applyAlignment="1">
      <alignment horizontal="center"/>
      <protection/>
    </xf>
    <xf numFmtId="2" fontId="13" fillId="0" borderId="11" xfId="21" applyNumberFormat="1" applyFont="1" applyBorder="1" applyAlignment="1">
      <alignment horizontal="center"/>
      <protection/>
    </xf>
    <xf numFmtId="2" fontId="13" fillId="0" borderId="10" xfId="21" applyNumberFormat="1" applyFont="1" applyBorder="1" applyAlignment="1">
      <alignment horizontal="center"/>
      <protection/>
    </xf>
    <xf numFmtId="2" fontId="12" fillId="0" borderId="10" xfId="21" applyNumberFormat="1" applyFont="1" applyBorder="1" applyAlignment="1">
      <alignment horizontal="center"/>
      <protection/>
    </xf>
    <xf numFmtId="2" fontId="12" fillId="0" borderId="11" xfId="21" applyNumberFormat="1" applyFont="1" applyBorder="1" applyAlignment="1">
      <alignment horizontal="center"/>
      <protection/>
    </xf>
    <xf numFmtId="0" fontId="14" fillId="0" borderId="0" xfId="21" applyFont="1" applyAlignment="1" quotePrefix="1">
      <alignment horizontal="left"/>
      <protection/>
    </xf>
    <xf numFmtId="0" fontId="4" fillId="0" borderId="0" xfId="21" applyAlignment="1" quotePrefix="1">
      <alignment horizontal="left"/>
      <protection/>
    </xf>
    <xf numFmtId="0" fontId="4" fillId="0" borderId="15" xfId="21" applyBorder="1">
      <alignment/>
      <protection/>
    </xf>
    <xf numFmtId="0" fontId="4" fillId="0" borderId="16" xfId="21" applyBorder="1">
      <alignment/>
      <protection/>
    </xf>
    <xf numFmtId="0" fontId="4" fillId="0" borderId="0" xfId="21" applyBorder="1" applyAlignment="1">
      <alignment horizontal="center"/>
      <protection/>
    </xf>
    <xf numFmtId="0" fontId="4" fillId="0" borderId="8" xfId="21" applyBorder="1" applyAlignment="1">
      <alignment horizontal="center"/>
      <protection/>
    </xf>
    <xf numFmtId="0" fontId="4" fillId="0" borderId="17" xfId="21" applyBorder="1">
      <alignment/>
      <protection/>
    </xf>
    <xf numFmtId="0" fontId="4" fillId="0" borderId="11" xfId="21" applyBorder="1" applyAlignment="1">
      <alignment horizontal="center"/>
      <protection/>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6" fillId="0" borderId="15"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16" xfId="0" applyFont="1" applyBorder="1" applyAlignment="1">
      <alignment horizontal="center"/>
    </xf>
    <xf numFmtId="0" fontId="16" fillId="0" borderId="0" xfId="0" applyFont="1" applyBorder="1" applyAlignment="1">
      <alignment horizontal="center"/>
    </xf>
    <xf numFmtId="0" fontId="16" fillId="0" borderId="8" xfId="0" applyFont="1" applyBorder="1" applyAlignment="1">
      <alignment horizontal="center"/>
    </xf>
    <xf numFmtId="0" fontId="16" fillId="0" borderId="17" xfId="0" applyFont="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180" fontId="12" fillId="0" borderId="7" xfId="21" applyNumberFormat="1" applyFont="1" applyBorder="1" applyAlignment="1">
      <alignment horizontal="center"/>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2" borderId="0" xfId="0" applyFill="1" applyBorder="1" applyAlignment="1" applyProtection="1">
      <alignment/>
      <protection locked="0"/>
    </xf>
    <xf numFmtId="0" fontId="0" fillId="2" borderId="10" xfId="0" applyFill="1" applyBorder="1" applyAlignment="1" applyProtection="1">
      <alignment/>
      <protection locked="0"/>
    </xf>
    <xf numFmtId="0" fontId="0" fillId="2" borderId="7" xfId="0" applyFill="1" applyBorder="1" applyAlignment="1" applyProtection="1">
      <alignment/>
      <protection locked="0"/>
    </xf>
    <xf numFmtId="0" fontId="0" fillId="2" borderId="9" xfId="0" applyFill="1" applyBorder="1" applyAlignment="1" applyProtection="1">
      <alignment/>
      <protection locked="0"/>
    </xf>
    <xf numFmtId="178" fontId="4" fillId="0" borderId="0" xfId="21" applyNumberFormat="1">
      <alignment/>
      <protection/>
    </xf>
    <xf numFmtId="0" fontId="16" fillId="0" borderId="4" xfId="0" applyFont="1" applyBorder="1" applyAlignment="1">
      <alignment horizontal="center"/>
    </xf>
    <xf numFmtId="0" fontId="16" fillId="0" borderId="7" xfId="21" applyFont="1" applyBorder="1" applyAlignment="1">
      <alignment horizontal="center"/>
      <protection/>
    </xf>
    <xf numFmtId="0" fontId="16" fillId="0" borderId="0" xfId="21" applyFont="1" applyBorder="1" applyAlignment="1">
      <alignment horizontal="center"/>
      <protection/>
    </xf>
    <xf numFmtId="0" fontId="4" fillId="0" borderId="0" xfId="21" applyBorder="1">
      <alignment/>
      <protection/>
    </xf>
    <xf numFmtId="178" fontId="16" fillId="0" borderId="9" xfId="21" applyNumberFormat="1" applyFont="1" applyBorder="1" applyAlignment="1">
      <alignment horizontal="center"/>
      <protection/>
    </xf>
    <xf numFmtId="178" fontId="16" fillId="0" borderId="10" xfId="0" applyNumberFormat="1" applyFont="1" applyBorder="1" applyAlignment="1">
      <alignment horizontal="center"/>
    </xf>
    <xf numFmtId="178" fontId="16" fillId="0" borderId="10" xfId="21" applyNumberFormat="1" applyFont="1" applyBorder="1" applyAlignment="1">
      <alignment horizontal="center"/>
      <protection/>
    </xf>
    <xf numFmtId="178" fontId="4" fillId="0" borderId="10" xfId="21" applyNumberFormat="1" applyBorder="1">
      <alignment/>
      <protection/>
    </xf>
    <xf numFmtId="178" fontId="16" fillId="0" borderId="11" xfId="0" applyNumberFormat="1" applyFont="1" applyBorder="1" applyAlignment="1">
      <alignment horizontal="center"/>
    </xf>
    <xf numFmtId="0" fontId="0" fillId="0" borderId="0" xfId="0" applyFont="1" applyAlignment="1">
      <alignment/>
    </xf>
    <xf numFmtId="0" fontId="0" fillId="2" borderId="8"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13" xfId="0" applyFill="1" applyBorder="1" applyAlignment="1">
      <alignment/>
    </xf>
    <xf numFmtId="0" fontId="0" fillId="0" borderId="14" xfId="0" applyBorder="1" applyAlignment="1">
      <alignment/>
    </xf>
    <xf numFmtId="0" fontId="0" fillId="0" borderId="12" xfId="0" applyFill="1" applyBorder="1" applyAlignment="1">
      <alignment/>
    </xf>
    <xf numFmtId="0" fontId="0" fillId="0" borderId="0" xfId="0" applyAlignment="1" applyProtection="1">
      <alignment/>
      <protection hidden="1"/>
    </xf>
    <xf numFmtId="0" fontId="0" fillId="0" borderId="18" xfId="0" applyBorder="1" applyAlignment="1" applyProtection="1">
      <alignment/>
      <protection hidden="1"/>
    </xf>
    <xf numFmtId="0" fontId="0" fillId="0" borderId="0" xfId="0" applyBorder="1" applyAlignment="1" applyProtection="1">
      <alignment/>
      <protection hidden="1"/>
    </xf>
    <xf numFmtId="0" fontId="19" fillId="0" borderId="0" xfId="20" applyBorder="1" applyAlignment="1" applyProtection="1">
      <alignment horizontal="right"/>
      <protection hidden="1"/>
    </xf>
    <xf numFmtId="0" fontId="0" fillId="0" borderId="19" xfId="0" applyBorder="1" applyAlignment="1" applyProtection="1">
      <alignment/>
      <protection hidden="1"/>
    </xf>
    <xf numFmtId="0" fontId="1" fillId="0" borderId="0" xfId="0" applyFont="1" applyBorder="1" applyAlignment="1" applyProtection="1">
      <alignment/>
      <protection hidden="1"/>
    </xf>
    <xf numFmtId="17" fontId="0" fillId="0" borderId="0" xfId="0" applyNumberFormat="1" applyBorder="1" applyAlignment="1" applyProtection="1" quotePrefix="1">
      <alignment/>
      <protection hidden="1"/>
    </xf>
    <xf numFmtId="0" fontId="0" fillId="0" borderId="0" xfId="0" applyBorder="1" applyAlignment="1" applyProtection="1">
      <alignment horizontal="center"/>
      <protection hidden="1"/>
    </xf>
    <xf numFmtId="0" fontId="0" fillId="0" borderId="0" xfId="0"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quotePrefix="1">
      <alignment horizontal="left"/>
      <protection hidden="1"/>
    </xf>
    <xf numFmtId="0" fontId="16" fillId="0" borderId="0" xfId="0" applyFont="1" applyBorder="1" applyAlignment="1" applyProtection="1">
      <alignment/>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horizontal="right"/>
      <protection hidden="1"/>
    </xf>
    <xf numFmtId="0" fontId="0" fillId="2" borderId="0" xfId="0" applyFill="1" applyBorder="1" applyAlignment="1" applyProtection="1">
      <alignment horizontal="center"/>
      <protection hidden="1" locked="0"/>
    </xf>
    <xf numFmtId="0" fontId="0" fillId="0" borderId="27" xfId="0" applyBorder="1" applyAlignment="1" applyProtection="1">
      <alignment/>
      <protection hidden="1"/>
    </xf>
    <xf numFmtId="1" fontId="0" fillId="0" borderId="0" xfId="0" applyNumberFormat="1" applyBorder="1" applyAlignment="1" applyProtection="1">
      <alignment horizontal="center"/>
      <protection hidden="1"/>
    </xf>
    <xf numFmtId="180" fontId="0" fillId="2" borderId="0" xfId="0" applyNumberFormat="1" applyFill="1" applyBorder="1" applyAlignment="1" applyProtection="1">
      <alignment horizontal="center"/>
      <protection hidden="1" locked="0"/>
    </xf>
    <xf numFmtId="0" fontId="0" fillId="0" borderId="26" xfId="0" applyBorder="1" applyAlignment="1" applyProtection="1">
      <alignment/>
      <protection hidden="1"/>
    </xf>
    <xf numFmtId="0" fontId="0" fillId="0" borderId="27" xfId="0" applyBorder="1" applyAlignment="1" applyProtection="1" quotePrefix="1">
      <alignment horizontal="left"/>
      <protection hidden="1"/>
    </xf>
    <xf numFmtId="0" fontId="0" fillId="0" borderId="28" xfId="0" applyBorder="1" applyAlignment="1" applyProtection="1">
      <alignment horizontal="right"/>
      <protection hidden="1"/>
    </xf>
    <xf numFmtId="0" fontId="0" fillId="0" borderId="29" xfId="0" applyBorder="1" applyAlignment="1" applyProtection="1">
      <alignment/>
      <protection hidden="1"/>
    </xf>
    <xf numFmtId="0" fontId="0" fillId="0" borderId="30" xfId="0" applyBorder="1" applyAlignment="1" applyProtection="1">
      <alignment/>
      <protection hidden="1"/>
    </xf>
    <xf numFmtId="0" fontId="3" fillId="0" borderId="0" xfId="0" applyFont="1" applyBorder="1" applyAlignment="1" applyProtection="1">
      <alignment/>
      <protection hidden="1"/>
    </xf>
    <xf numFmtId="0" fontId="0" fillId="0" borderId="28" xfId="0" applyBorder="1" applyAlignment="1" applyProtection="1">
      <alignment/>
      <protection hidden="1"/>
    </xf>
    <xf numFmtId="0" fontId="3" fillId="0" borderId="29" xfId="0" applyFont="1" applyBorder="1" applyAlignment="1" applyProtection="1">
      <alignment/>
      <protection hidden="1"/>
    </xf>
    <xf numFmtId="0" fontId="0" fillId="2" borderId="29" xfId="0" applyFill="1" applyBorder="1" applyAlignment="1" applyProtection="1">
      <alignment horizontal="center"/>
      <protection hidden="1" locked="0"/>
    </xf>
    <xf numFmtId="0" fontId="16" fillId="0" borderId="0" xfId="0" applyFont="1" applyBorder="1" applyAlignment="1" applyProtection="1">
      <alignment horizontal="right"/>
      <protection hidden="1"/>
    </xf>
    <xf numFmtId="0" fontId="0" fillId="0" borderId="0" xfId="0" applyFill="1" applyBorder="1" applyAlignment="1" applyProtection="1">
      <alignment horizontal="center"/>
      <protection hidden="1"/>
    </xf>
    <xf numFmtId="0" fontId="1" fillId="0" borderId="26" xfId="0" applyFont="1" applyBorder="1" applyAlignment="1" applyProtection="1">
      <alignment/>
      <protection hidden="1"/>
    </xf>
    <xf numFmtId="180" fontId="0" fillId="0" borderId="0" xfId="0" applyNumberFormat="1" applyBorder="1" applyAlignment="1" applyProtection="1">
      <alignment horizontal="center"/>
      <protection hidden="1"/>
    </xf>
    <xf numFmtId="180" fontId="0" fillId="0" borderId="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173" fontId="0" fillId="0" borderId="0" xfId="16" applyNumberFormat="1" applyBorder="1" applyAlignment="1" applyProtection="1">
      <alignment horizontal="center"/>
      <protection hidden="1"/>
    </xf>
    <xf numFmtId="177" fontId="0" fillId="0" borderId="0" xfId="0" applyNumberFormat="1" applyBorder="1" applyAlignment="1" applyProtection="1">
      <alignment horizontal="center"/>
      <protection hidden="1"/>
    </xf>
    <xf numFmtId="180" fontId="0" fillId="0" borderId="29" xfId="16" applyNumberFormat="1" applyBorder="1" applyAlignment="1" applyProtection="1">
      <alignment horizontal="center"/>
      <protection hidden="1"/>
    </xf>
    <xf numFmtId="0" fontId="0" fillId="0" borderId="0" xfId="0" applyFill="1" applyBorder="1" applyAlignment="1" applyProtection="1">
      <alignment/>
      <protection hidden="1"/>
    </xf>
    <xf numFmtId="0" fontId="0" fillId="2" borderId="31" xfId="0" applyFill="1" applyBorder="1" applyAlignment="1" applyProtection="1">
      <alignment horizontal="center"/>
      <protection hidden="1" locked="0"/>
    </xf>
    <xf numFmtId="0" fontId="0" fillId="2" borderId="32" xfId="0" applyFill="1" applyBorder="1" applyAlignment="1" applyProtection="1">
      <alignment horizontal="center"/>
      <protection hidden="1" locked="0"/>
    </xf>
    <xf numFmtId="0" fontId="0" fillId="0" borderId="29" xfId="0" applyBorder="1" applyAlignment="1" applyProtection="1" quotePrefix="1">
      <alignment horizontal="left"/>
      <protection hidden="1"/>
    </xf>
    <xf numFmtId="0" fontId="0" fillId="0" borderId="30" xfId="0" applyBorder="1" applyAlignment="1" applyProtection="1" quotePrefix="1">
      <alignment horizontal="left"/>
      <protection hidden="1"/>
    </xf>
    <xf numFmtId="0" fontId="0" fillId="3" borderId="33" xfId="0" applyFill="1" applyBorder="1" applyAlignment="1" applyProtection="1">
      <alignment horizontal="center"/>
      <protection hidden="1" locked="0"/>
    </xf>
    <xf numFmtId="0" fontId="0" fillId="0" borderId="33" xfId="0" applyBorder="1" applyAlignment="1" applyProtection="1">
      <alignment/>
      <protection hidden="1"/>
    </xf>
    <xf numFmtId="0" fontId="0" fillId="2" borderId="33" xfId="0" applyFill="1" applyBorder="1" applyAlignment="1" applyProtection="1">
      <alignment horizontal="center"/>
      <protection hidden="1" locked="0"/>
    </xf>
    <xf numFmtId="0" fontId="0" fillId="2" borderId="34" xfId="0" applyFill="1" applyBorder="1" applyAlignment="1" applyProtection="1">
      <alignment horizontal="center"/>
      <protection hidden="1" locked="0"/>
    </xf>
    <xf numFmtId="0" fontId="0" fillId="3" borderId="35" xfId="0" applyFill="1" applyBorder="1" applyAlignment="1" applyProtection="1">
      <alignment horizontal="center"/>
      <protection hidden="1" locked="0"/>
    </xf>
    <xf numFmtId="0" fontId="0" fillId="0" borderId="35" xfId="0" applyBorder="1" applyAlignment="1" applyProtection="1">
      <alignment/>
      <protection hidden="1"/>
    </xf>
    <xf numFmtId="0" fontId="0" fillId="2" borderId="35" xfId="0" applyFill="1" applyBorder="1" applyAlignment="1" applyProtection="1">
      <alignment horizontal="center"/>
      <protection hidden="1" locked="0"/>
    </xf>
    <xf numFmtId="0" fontId="0" fillId="2" borderId="36" xfId="0" applyFill="1" applyBorder="1" applyAlignment="1" applyProtection="1">
      <alignment horizontal="center"/>
      <protection hidden="1" locked="0"/>
    </xf>
    <xf numFmtId="0" fontId="18" fillId="0" borderId="35" xfId="0" applyFont="1" applyBorder="1" applyAlignment="1" applyProtection="1">
      <alignment horizontal="center"/>
      <protection hidden="1"/>
    </xf>
    <xf numFmtId="0" fontId="18" fillId="0" borderId="36" xfId="0" applyFont="1" applyBorder="1" applyAlignment="1" applyProtection="1">
      <alignment horizontal="center"/>
      <protection hidden="1"/>
    </xf>
    <xf numFmtId="0" fontId="3" fillId="0" borderId="26" xfId="0" applyFont="1" applyBorder="1" applyAlignment="1" applyProtection="1">
      <alignment/>
      <protection hidden="1"/>
    </xf>
    <xf numFmtId="0" fontId="0" fillId="0" borderId="35" xfId="0" applyBorder="1" applyAlignment="1" applyProtection="1">
      <alignment horizontal="center"/>
      <protection hidden="1"/>
    </xf>
    <xf numFmtId="0" fontId="0" fillId="0" borderId="36" xfId="0" applyBorder="1" applyAlignment="1" applyProtection="1">
      <alignment horizontal="center"/>
      <protection hidden="1"/>
    </xf>
    <xf numFmtId="180" fontId="0" fillId="0" borderId="35" xfId="0" applyNumberFormat="1" applyBorder="1" applyAlignment="1" applyProtection="1">
      <alignment horizontal="center"/>
      <protection hidden="1"/>
    </xf>
    <xf numFmtId="180" fontId="0" fillId="0" borderId="36" xfId="0" applyNumberFormat="1" applyBorder="1" applyAlignment="1" applyProtection="1">
      <alignment horizontal="center"/>
      <protection hidden="1"/>
    </xf>
    <xf numFmtId="173" fontId="0" fillId="0" borderId="35" xfId="16" applyNumberFormat="1" applyBorder="1" applyAlignment="1" applyProtection="1">
      <alignment horizontal="center"/>
      <protection hidden="1"/>
    </xf>
    <xf numFmtId="177" fontId="0" fillId="0" borderId="35" xfId="0" applyNumberFormat="1" applyBorder="1" applyAlignment="1" applyProtection="1">
      <alignment horizontal="center"/>
      <protection hidden="1"/>
    </xf>
    <xf numFmtId="178" fontId="0" fillId="0" borderId="35" xfId="0" applyNumberFormat="1" applyBorder="1" applyAlignment="1" applyProtection="1">
      <alignment horizontal="center"/>
      <protection hidden="1"/>
    </xf>
    <xf numFmtId="178" fontId="0" fillId="0" borderId="36" xfId="0" applyNumberFormat="1" applyBorder="1" applyAlignment="1" applyProtection="1">
      <alignment horizontal="center"/>
      <protection hidden="1"/>
    </xf>
    <xf numFmtId="0" fontId="0" fillId="0" borderId="28" xfId="0" applyBorder="1" applyAlignment="1" applyProtection="1" quotePrefix="1">
      <alignment horizontal="left"/>
      <protection hidden="1"/>
    </xf>
    <xf numFmtId="180" fontId="0" fillId="0" borderId="37" xfId="0" applyNumberFormat="1" applyBorder="1" applyAlignment="1" applyProtection="1">
      <alignment horizontal="center"/>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38" xfId="0" applyBorder="1" applyAlignment="1" applyProtection="1">
      <alignment/>
      <protection hidden="1"/>
    </xf>
    <xf numFmtId="0" fontId="1" fillId="0" borderId="39" xfId="0" applyFont="1" applyBorder="1" applyAlignment="1" applyProtection="1">
      <alignment/>
      <protection hidden="1"/>
    </xf>
    <xf numFmtId="0" fontId="0" fillId="0" borderId="39" xfId="0" applyBorder="1" applyAlignment="1" applyProtection="1">
      <alignment/>
      <protection hidden="1"/>
    </xf>
    <xf numFmtId="0" fontId="0" fillId="3" borderId="39" xfId="0" applyFill="1" applyBorder="1" applyAlignment="1" applyProtection="1">
      <alignment horizontal="center"/>
      <protection hidden="1"/>
    </xf>
    <xf numFmtId="0" fontId="0" fillId="0" borderId="39" xfId="0" applyFill="1" applyBorder="1" applyAlignment="1" applyProtection="1">
      <alignment horizontal="center"/>
      <protection hidden="1"/>
    </xf>
    <xf numFmtId="0" fontId="0" fillId="0" borderId="40" xfId="0" applyBorder="1" applyAlignment="1" applyProtection="1">
      <alignment/>
      <protection hidden="1"/>
    </xf>
    <xf numFmtId="0" fontId="0" fillId="0" borderId="0" xfId="0" applyBorder="1" applyAlignment="1" applyProtection="1" quotePrefix="1">
      <alignment horizontal="center"/>
      <protection hidden="1"/>
    </xf>
    <xf numFmtId="0" fontId="0" fillId="0" borderId="4" xfId="0" applyBorder="1" applyAlignment="1" applyProtection="1" quotePrefix="1">
      <alignment horizontal="left"/>
      <protection hidden="1"/>
    </xf>
    <xf numFmtId="186" fontId="0" fillId="0" borderId="5" xfId="0" applyNumberFormat="1" applyBorder="1" applyAlignment="1" applyProtection="1" quotePrefix="1">
      <alignment horizontal="left"/>
      <protection hidden="1"/>
    </xf>
    <xf numFmtId="189" fontId="0" fillId="0" borderId="5" xfId="0" applyNumberFormat="1" applyBorder="1" applyAlignment="1" applyProtection="1">
      <alignment horizontal="left"/>
      <protection hidden="1"/>
    </xf>
    <xf numFmtId="0" fontId="0" fillId="0" borderId="5" xfId="0" applyBorder="1" applyAlignment="1" applyProtection="1">
      <alignment horizontal="center"/>
      <protection hidden="1"/>
    </xf>
    <xf numFmtId="0" fontId="0" fillId="2" borderId="41" xfId="0" applyFill="1" applyBorder="1" applyAlignment="1" applyProtection="1">
      <alignment horizontal="center"/>
      <protection hidden="1" locked="0"/>
    </xf>
    <xf numFmtId="0" fontId="0" fillId="2" borderId="42" xfId="0" applyFill="1" applyBorder="1" applyAlignment="1" applyProtection="1">
      <alignment horizontal="center"/>
      <protection hidden="1" locked="0"/>
    </xf>
    <xf numFmtId="0" fontId="0" fillId="0" borderId="6" xfId="0" applyBorder="1" applyAlignment="1" applyProtection="1">
      <alignment horizontal="center"/>
      <protection hidden="1"/>
    </xf>
    <xf numFmtId="0" fontId="0" fillId="0" borderId="7" xfId="0" applyBorder="1" applyAlignment="1" applyProtection="1">
      <alignment/>
      <protection hidden="1"/>
    </xf>
    <xf numFmtId="190" fontId="0" fillId="0" borderId="0" xfId="0" applyNumberFormat="1" applyBorder="1" applyAlignment="1" applyProtection="1">
      <alignment horizontal="left"/>
      <protection hidden="1"/>
    </xf>
    <xf numFmtId="0" fontId="0" fillId="2" borderId="43" xfId="0" applyFill="1" applyBorder="1" applyAlignment="1" applyProtection="1">
      <alignment horizontal="center"/>
      <protection hidden="1" locked="0"/>
    </xf>
    <xf numFmtId="0" fontId="0" fillId="2" borderId="44" xfId="0" applyFill="1" applyBorder="1" applyAlignment="1" applyProtection="1">
      <alignment horizontal="center"/>
      <protection hidden="1" locked="0"/>
    </xf>
    <xf numFmtId="0" fontId="0" fillId="0" borderId="8" xfId="0" applyBorder="1" applyAlignment="1" applyProtection="1">
      <alignment horizontal="center"/>
      <protection hidden="1"/>
    </xf>
    <xf numFmtId="187" fontId="0" fillId="0" borderId="0" xfId="0" applyNumberFormat="1" applyBorder="1" applyAlignment="1" applyProtection="1">
      <alignment horizontal="left"/>
      <protection hidden="1"/>
    </xf>
    <xf numFmtId="186" fontId="0" fillId="0" borderId="0" xfId="0" applyNumberFormat="1" applyBorder="1" applyAlignment="1" applyProtection="1" quotePrefix="1">
      <alignment horizontal="left"/>
      <protection hidden="1"/>
    </xf>
    <xf numFmtId="0" fontId="0" fillId="0" borderId="7" xfId="0" applyBorder="1" applyAlignment="1" applyProtection="1" quotePrefix="1">
      <alignment horizontal="right"/>
      <protection hidden="1"/>
    </xf>
    <xf numFmtId="186" fontId="0" fillId="2" borderId="0" xfId="0" applyNumberFormat="1" applyFill="1" applyBorder="1" applyAlignment="1" applyProtection="1" quotePrefix="1">
      <alignment horizontal="left"/>
      <protection hidden="1" locked="0"/>
    </xf>
    <xf numFmtId="188" fontId="0" fillId="2" borderId="0" xfId="0" applyNumberFormat="1" applyFill="1" applyBorder="1" applyAlignment="1" applyProtection="1">
      <alignment horizontal="left"/>
      <protection hidden="1" locked="0"/>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186" fontId="0" fillId="0" borderId="10" xfId="0" applyNumberFormat="1" applyBorder="1" applyAlignment="1" applyProtection="1" quotePrefix="1">
      <alignment horizontal="left"/>
      <protection hidden="1"/>
    </xf>
    <xf numFmtId="0" fontId="0" fillId="0" borderId="10" xfId="0" applyBorder="1" applyAlignment="1" applyProtection="1">
      <alignment horizontal="center"/>
      <protection hidden="1"/>
    </xf>
    <xf numFmtId="0" fontId="0" fillId="2" borderId="45" xfId="0" applyFill="1" applyBorder="1" applyAlignment="1" applyProtection="1">
      <alignment horizontal="center"/>
      <protection hidden="1" locked="0"/>
    </xf>
    <xf numFmtId="0" fontId="0" fillId="2" borderId="46" xfId="0" applyFill="1" applyBorder="1" applyAlignment="1" applyProtection="1">
      <alignment horizontal="center"/>
      <protection hidden="1" locked="0"/>
    </xf>
    <xf numFmtId="0" fontId="0" fillId="0" borderId="11" xfId="0" applyBorder="1" applyAlignment="1" applyProtection="1">
      <alignment horizontal="center"/>
      <protection hidden="1"/>
    </xf>
    <xf numFmtId="0" fontId="0" fillId="0" borderId="10" xfId="0" applyBorder="1" applyAlignment="1" applyProtection="1" quotePrefix="1">
      <alignment horizontal="left"/>
      <protection hidden="1"/>
    </xf>
    <xf numFmtId="0" fontId="0" fillId="0" borderId="5" xfId="0" applyBorder="1" applyAlignment="1" applyProtection="1" quotePrefix="1">
      <alignment/>
      <protection hidden="1"/>
    </xf>
    <xf numFmtId="186" fontId="0" fillId="0" borderId="5" xfId="15" applyBorder="1" applyAlignment="1" applyProtection="1">
      <alignment horizontal="center"/>
      <protection hidden="1"/>
    </xf>
    <xf numFmtId="0" fontId="0" fillId="0" borderId="7" xfId="0" applyBorder="1" applyAlignment="1" applyProtection="1" quotePrefix="1">
      <alignment horizontal="left"/>
      <protection hidden="1"/>
    </xf>
    <xf numFmtId="186" fontId="0" fillId="0" borderId="0" xfId="0" applyNumberFormat="1" applyBorder="1" applyAlignment="1" applyProtection="1">
      <alignment horizontal="center"/>
      <protection hidden="1"/>
    </xf>
    <xf numFmtId="0" fontId="0" fillId="0" borderId="9" xfId="0" applyBorder="1" applyAlignment="1" applyProtection="1">
      <alignment horizontal="right"/>
      <protection hidden="1"/>
    </xf>
    <xf numFmtId="0" fontId="0" fillId="2" borderId="10" xfId="0" applyFill="1" applyBorder="1" applyAlignment="1" applyProtection="1">
      <alignment/>
      <protection hidden="1" locked="0"/>
    </xf>
    <xf numFmtId="186" fontId="0" fillId="2" borderId="10" xfId="0" applyNumberFormat="1" applyFill="1" applyBorder="1" applyAlignment="1" applyProtection="1">
      <alignment horizontal="center"/>
      <protection hidden="1" locked="0"/>
    </xf>
    <xf numFmtId="186" fontId="0" fillId="0" borderId="5" xfId="0" applyNumberFormat="1" applyBorder="1" applyAlignment="1" applyProtection="1">
      <alignment horizontal="center"/>
      <protection hidden="1"/>
    </xf>
    <xf numFmtId="0" fontId="0" fillId="2" borderId="5" xfId="0" applyFill="1" applyBorder="1" applyAlignment="1" applyProtection="1">
      <alignment/>
      <protection hidden="1" locked="0"/>
    </xf>
    <xf numFmtId="186" fontId="0" fillId="2" borderId="5" xfId="0" applyNumberFormat="1" applyFill="1" applyBorder="1" applyAlignment="1" applyProtection="1">
      <alignment horizontal="center"/>
      <protection hidden="1" locked="0"/>
    </xf>
    <xf numFmtId="0" fontId="0" fillId="0" borderId="7" xfId="0" applyBorder="1" applyAlignment="1" applyProtection="1">
      <alignment horizontal="left"/>
      <protection hidden="1"/>
    </xf>
    <xf numFmtId="0" fontId="0" fillId="2" borderId="0" xfId="0" applyFill="1" applyBorder="1" applyAlignment="1" applyProtection="1">
      <alignment/>
      <protection hidden="1" locked="0"/>
    </xf>
    <xf numFmtId="0" fontId="0" fillId="0" borderId="9" xfId="0" applyBorder="1" applyAlignment="1" applyProtection="1" quotePrefix="1">
      <alignment horizontal="left"/>
      <protection hidden="1"/>
    </xf>
    <xf numFmtId="0" fontId="0" fillId="0" borderId="45" xfId="0" applyFill="1" applyBorder="1" applyAlignment="1" applyProtection="1">
      <alignment/>
      <protection hidden="1" locked="0"/>
    </xf>
    <xf numFmtId="0" fontId="0" fillId="0" borderId="45" xfId="0" applyBorder="1" applyAlignment="1" applyProtection="1">
      <alignment/>
      <protection hidden="1" locked="0"/>
    </xf>
    <xf numFmtId="0" fontId="0" fillId="0" borderId="46" xfId="0" applyBorder="1" applyAlignment="1" applyProtection="1">
      <alignment/>
      <protection hidden="1" locked="0"/>
    </xf>
    <xf numFmtId="0" fontId="0" fillId="0" borderId="11" xfId="0" applyBorder="1" applyAlignment="1" applyProtection="1">
      <alignment/>
      <protection hidden="1"/>
    </xf>
    <xf numFmtId="0" fontId="0" fillId="0" borderId="17" xfId="0" applyBorder="1" applyAlignment="1" applyProtection="1">
      <alignment horizontal="center"/>
      <protection hidden="1"/>
    </xf>
    <xf numFmtId="178" fontId="0" fillId="0" borderId="47" xfId="0" applyNumberFormat="1" applyBorder="1" applyAlignment="1" applyProtection="1">
      <alignment horizontal="center"/>
      <protection hidden="1"/>
    </xf>
    <xf numFmtId="0" fontId="0" fillId="0" borderId="21" xfId="0" applyBorder="1" applyAlignment="1" applyProtection="1">
      <alignment horizontal="center"/>
      <protection hidden="1"/>
    </xf>
    <xf numFmtId="0" fontId="0" fillId="3" borderId="0" xfId="0" applyFill="1" applyBorder="1" applyAlignment="1" applyProtection="1">
      <alignment horizontal="center"/>
      <protection hidden="1"/>
    </xf>
    <xf numFmtId="0" fontId="0" fillId="0" borderId="4" xfId="0" applyFont="1" applyBorder="1" applyAlignment="1" applyProtection="1">
      <alignment/>
      <protection hidden="1"/>
    </xf>
    <xf numFmtId="0" fontId="0" fillId="0" borderId="5" xfId="0" applyFont="1" applyBorder="1" applyAlignment="1" applyProtection="1">
      <alignment/>
      <protection hidden="1"/>
    </xf>
    <xf numFmtId="0" fontId="0" fillId="0" borderId="5" xfId="0" applyFont="1" applyBorder="1" applyAlignment="1" applyProtection="1">
      <alignment/>
      <protection hidden="1"/>
    </xf>
    <xf numFmtId="0" fontId="0" fillId="0" borderId="5"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0" fillId="0" borderId="7" xfId="0" applyFont="1" applyBorder="1" applyAlignment="1" applyProtection="1">
      <alignment/>
      <protection hidden="1"/>
    </xf>
    <xf numFmtId="0" fontId="0" fillId="0" borderId="0" xfId="0" applyFont="1" applyBorder="1" applyAlignment="1" applyProtection="1">
      <alignment/>
      <protection hidden="1"/>
    </xf>
    <xf numFmtId="0" fontId="0" fillId="2" borderId="0" xfId="0" applyFont="1" applyFill="1" applyBorder="1" applyAlignment="1" applyProtection="1">
      <alignment horizontal="center"/>
      <protection hidden="1" locked="0"/>
    </xf>
    <xf numFmtId="0" fontId="0" fillId="0" borderId="43" xfId="0" applyBorder="1" applyAlignment="1" applyProtection="1">
      <alignment/>
      <protection hidden="1"/>
    </xf>
    <xf numFmtId="0" fontId="0" fillId="0" borderId="44" xfId="0" applyBorder="1" applyAlignment="1" applyProtection="1">
      <alignment/>
      <protection hidden="1"/>
    </xf>
    <xf numFmtId="0" fontId="0" fillId="0" borderId="9" xfId="0" applyFont="1" applyBorder="1" applyAlignment="1" applyProtection="1">
      <alignment/>
      <protection hidden="1"/>
    </xf>
    <xf numFmtId="0" fontId="0" fillId="0" borderId="10" xfId="0" applyFont="1" applyBorder="1" applyAlignment="1" applyProtection="1">
      <alignment/>
      <protection hidden="1"/>
    </xf>
    <xf numFmtId="0" fontId="3" fillId="0" borderId="10" xfId="0" applyFont="1" applyBorder="1" applyAlignment="1" applyProtection="1">
      <alignment/>
      <protection hidden="1"/>
    </xf>
    <xf numFmtId="186" fontId="0" fillId="2" borderId="10" xfId="0" applyNumberFormat="1" applyFont="1" applyFill="1" applyBorder="1" applyAlignment="1" applyProtection="1">
      <alignment horizontal="center"/>
      <protection hidden="1" locked="0"/>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0" fillId="2" borderId="10" xfId="0" applyFill="1" applyBorder="1" applyAlignment="1" applyProtection="1">
      <alignment horizontal="center"/>
      <protection hidden="1" locked="0"/>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3" xfId="0" applyFont="1" applyBorder="1" applyAlignment="1" applyProtection="1">
      <alignment horizontal="center"/>
      <protection hidden="1"/>
    </xf>
    <xf numFmtId="0" fontId="0" fillId="2" borderId="48" xfId="0" applyFill="1" applyBorder="1" applyAlignment="1" applyProtection="1">
      <alignment horizontal="center"/>
      <protection hidden="1" locked="0"/>
    </xf>
    <xf numFmtId="0" fontId="2" fillId="0" borderId="13" xfId="0" applyFont="1" applyBorder="1" applyAlignment="1" applyProtection="1">
      <alignment horizontal="center"/>
      <protection hidden="1"/>
    </xf>
    <xf numFmtId="0" fontId="0" fillId="2" borderId="49" xfId="0" applyFill="1" applyBorder="1" applyAlignment="1" applyProtection="1">
      <alignment horizontal="center"/>
      <protection hidden="1" locked="0"/>
    </xf>
    <xf numFmtId="0" fontId="2" fillId="0" borderId="1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0" xfId="0" applyFont="1" applyBorder="1" applyAlignment="1" applyProtection="1">
      <alignment horizontal="center"/>
      <protection hidden="1"/>
    </xf>
    <xf numFmtId="186" fontId="0" fillId="0" borderId="0" xfId="0" applyNumberFormat="1" applyFont="1" applyBorder="1" applyAlignment="1" applyProtection="1">
      <alignment/>
      <protection hidden="1"/>
    </xf>
    <xf numFmtId="0" fontId="0" fillId="2" borderId="0" xfId="0" applyFont="1" applyFill="1" applyBorder="1" applyAlignment="1" applyProtection="1">
      <alignment horizontal="center"/>
      <protection hidden="1" locked="0"/>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6" xfId="0" applyBorder="1" applyAlignment="1" applyProtection="1">
      <alignment/>
      <protection hidden="1"/>
    </xf>
    <xf numFmtId="0" fontId="0" fillId="2" borderId="7" xfId="0" applyFill="1" applyBorder="1" applyAlignment="1" applyProtection="1">
      <alignment/>
      <protection hidden="1" locked="0"/>
    </xf>
    <xf numFmtId="0" fontId="0" fillId="2" borderId="43" xfId="0" applyFont="1" applyFill="1" applyBorder="1" applyAlignment="1" applyProtection="1">
      <alignment horizontal="center"/>
      <protection hidden="1" locked="0"/>
    </xf>
    <xf numFmtId="0" fontId="0" fillId="2" borderId="44" xfId="0" applyFont="1" applyFill="1" applyBorder="1" applyAlignment="1" applyProtection="1">
      <alignment horizontal="center"/>
      <protection hidden="1" locked="0"/>
    </xf>
    <xf numFmtId="0" fontId="0" fillId="0" borderId="8" xfId="0" applyFont="1" applyBorder="1" applyAlignment="1" applyProtection="1">
      <alignment horizontal="center"/>
      <protection hidden="1"/>
    </xf>
    <xf numFmtId="0" fontId="0" fillId="2" borderId="45" xfId="0" applyFont="1" applyFill="1" applyBorder="1" applyAlignment="1" applyProtection="1">
      <alignment horizontal="center"/>
      <protection hidden="1" locked="0"/>
    </xf>
    <xf numFmtId="0" fontId="0" fillId="2" borderId="9" xfId="0" applyFill="1" applyBorder="1" applyAlignment="1" applyProtection="1">
      <alignment/>
      <protection hidden="1" locked="0"/>
    </xf>
    <xf numFmtId="0" fontId="0" fillId="2" borderId="46" xfId="0" applyFont="1" applyFill="1" applyBorder="1" applyAlignment="1" applyProtection="1">
      <alignment horizontal="center"/>
      <protection hidden="1" locked="0"/>
    </xf>
    <xf numFmtId="0" fontId="0" fillId="0" borderId="11" xfId="0" applyFont="1" applyBorder="1" applyAlignment="1" applyProtection="1">
      <alignment horizontal="center"/>
      <protection hidden="1"/>
    </xf>
    <xf numFmtId="0" fontId="0" fillId="2" borderId="24" xfId="16" applyNumberFormat="1" applyFill="1" applyBorder="1" applyAlignment="1" applyProtection="1">
      <alignment horizontal="center"/>
      <protection hidden="1" locked="0"/>
    </xf>
    <xf numFmtId="0" fontId="2" fillId="4" borderId="0" xfId="0" applyFont="1" applyFill="1" applyBorder="1" applyAlignment="1" applyProtection="1">
      <alignment horizontal="center"/>
      <protection hidden="1"/>
    </xf>
    <xf numFmtId="0" fontId="22" fillId="0" borderId="0" xfId="0" applyFont="1" applyBorder="1" applyAlignment="1" applyProtection="1">
      <alignment/>
      <protection hidden="1"/>
    </xf>
    <xf numFmtId="0" fontId="19" fillId="0" borderId="0" xfId="20" applyBorder="1" applyAlignment="1" applyProtection="1">
      <alignment/>
      <protection hidden="1"/>
    </xf>
    <xf numFmtId="2" fontId="0" fillId="0" borderId="29"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179" fontId="0" fillId="0" borderId="0" xfId="0" applyNumberFormat="1" applyFill="1" applyBorder="1" applyAlignment="1" applyProtection="1">
      <alignment horizontal="center"/>
      <protection hidden="1"/>
    </xf>
    <xf numFmtId="0" fontId="4" fillId="0" borderId="0" xfId="21" applyFont="1">
      <alignment/>
      <protection/>
    </xf>
    <xf numFmtId="11" fontId="0" fillId="0" borderId="0" xfId="0" applyNumberFormat="1" applyBorder="1" applyAlignment="1" applyProtection="1">
      <alignment horizontal="center"/>
      <protection hidden="1"/>
    </xf>
    <xf numFmtId="11" fontId="0" fillId="0" borderId="35" xfId="0" applyNumberFormat="1" applyBorder="1" applyAlignment="1" applyProtection="1">
      <alignment horizontal="center"/>
      <protection hidden="1"/>
    </xf>
    <xf numFmtId="179" fontId="0" fillId="0" borderId="0" xfId="0" applyNumberFormat="1" applyBorder="1" applyAlignment="1" applyProtection="1">
      <alignment horizontal="center"/>
      <protection hidden="1"/>
    </xf>
    <xf numFmtId="179" fontId="0" fillId="0" borderId="35" xfId="0" applyNumberFormat="1" applyBorder="1" applyAlignment="1" applyProtection="1">
      <alignment horizontal="center"/>
      <protection hidden="1"/>
    </xf>
    <xf numFmtId="179" fontId="0" fillId="0" borderId="35" xfId="0" applyNumberFormat="1" applyBorder="1" applyAlignment="1" applyProtection="1">
      <alignment/>
      <protection hidden="1"/>
    </xf>
    <xf numFmtId="179" fontId="0" fillId="0" borderId="36" xfId="0" applyNumberFormat="1" applyBorder="1" applyAlignment="1" applyProtection="1">
      <alignment horizontal="center"/>
      <protection hidden="1"/>
    </xf>
    <xf numFmtId="10" fontId="0" fillId="0" borderId="0" xfId="22" applyNumberFormat="1" applyBorder="1" applyAlignment="1" applyProtection="1">
      <alignment horizontal="center"/>
      <protection hidden="1"/>
    </xf>
    <xf numFmtId="2" fontId="0" fillId="0" borderId="47" xfId="0" applyNumberFormat="1" applyFont="1" applyFill="1" applyBorder="1" applyAlignment="1" applyProtection="1">
      <alignment horizontal="center"/>
      <protection hidden="1"/>
    </xf>
    <xf numFmtId="2" fontId="0" fillId="0" borderId="47" xfId="0" applyNumberFormat="1" applyBorder="1" applyAlignment="1" applyProtection="1">
      <alignment horizontal="center"/>
      <protection hidden="1"/>
    </xf>
    <xf numFmtId="2" fontId="0" fillId="0" borderId="0" xfId="0" applyNumberFormat="1" applyBorder="1" applyAlignment="1" applyProtection="1">
      <alignment/>
      <protection hidden="1"/>
    </xf>
    <xf numFmtId="1" fontId="0" fillId="0" borderId="0" xfId="0" applyNumberFormat="1" applyAlignment="1" applyProtection="1">
      <alignment horizontal="center"/>
      <protection hidden="1"/>
    </xf>
    <xf numFmtId="2" fontId="0" fillId="0" borderId="0" xfId="0" applyNumberFormat="1" applyAlignment="1" applyProtection="1">
      <alignment horizontal="center"/>
      <protection hidden="1"/>
    </xf>
    <xf numFmtId="0" fontId="0" fillId="0" borderId="50" xfId="0" applyBorder="1" applyAlignment="1" applyProtection="1">
      <alignment/>
      <protection hidden="1"/>
    </xf>
    <xf numFmtId="0" fontId="0" fillId="2" borderId="5" xfId="0" applyFont="1" applyFill="1" applyBorder="1" applyAlignment="1" applyProtection="1">
      <alignment horizontal="center"/>
      <protection hidden="1" locked="0"/>
    </xf>
    <xf numFmtId="0" fontId="0" fillId="0" borderId="10" xfId="0" applyBorder="1" applyAlignment="1" applyProtection="1">
      <alignment horizontal="right"/>
      <protection hidden="1"/>
    </xf>
    <xf numFmtId="0" fontId="0" fillId="0" borderId="5" xfId="0" applyBorder="1" applyAlignment="1" applyProtection="1">
      <alignment horizontal="right"/>
      <protection hidden="1"/>
    </xf>
    <xf numFmtId="0" fontId="0" fillId="0" borderId="43" xfId="0" applyFill="1" applyBorder="1" applyAlignment="1" applyProtection="1">
      <alignment horizontal="center"/>
      <protection hidden="1" locked="0"/>
    </xf>
    <xf numFmtId="0" fontId="2" fillId="0" borderId="0" xfId="0" applyFont="1" applyFill="1" applyBorder="1" applyAlignment="1" applyProtection="1">
      <alignment horizontal="center"/>
      <protection hidden="1"/>
    </xf>
    <xf numFmtId="0" fontId="0" fillId="0" borderId="44" xfId="0" applyFill="1" applyBorder="1" applyAlignment="1" applyProtection="1">
      <alignment horizontal="center"/>
      <protection hidden="1" locked="0"/>
    </xf>
    <xf numFmtId="179" fontId="0" fillId="0" borderId="10" xfId="0" applyNumberFormat="1" applyFont="1" applyFill="1" applyBorder="1" applyAlignment="1" applyProtection="1">
      <alignment horizontal="center"/>
      <protection hidden="1" locked="0"/>
    </xf>
    <xf numFmtId="0" fontId="0" fillId="2" borderId="24" xfId="0" applyFill="1" applyBorder="1" applyAlignment="1" applyProtection="1">
      <alignment horizontal="center"/>
      <protection hidden="1" locked="0"/>
    </xf>
    <xf numFmtId="0" fontId="0" fillId="2" borderId="25" xfId="0" applyFill="1" applyBorder="1" applyAlignment="1" applyProtection="1">
      <alignment horizontal="center"/>
      <protection hidden="1" locked="0"/>
    </xf>
    <xf numFmtId="0" fontId="1" fillId="0" borderId="1"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0" fillId="2" borderId="0" xfId="0" applyFill="1" applyBorder="1" applyAlignment="1" applyProtection="1">
      <alignment wrapText="1"/>
      <protection hidden="1" locked="0"/>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9">
    <cellStyle name="Normal" xfId="0"/>
    <cellStyle name="Angle" xfId="15"/>
    <cellStyle name="Comma" xfId="16"/>
    <cellStyle name="Comma [0]" xfId="17"/>
    <cellStyle name="Currency" xfId="18"/>
    <cellStyle name="Currency [0]" xfId="19"/>
    <cellStyle name="Hyperlink" xfId="20"/>
    <cellStyle name="Normal_Pipeflow"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0</xdr:rowOff>
    </xdr:from>
    <xdr:to>
      <xdr:col>1</xdr:col>
      <xdr:colOff>1238250</xdr:colOff>
      <xdr:row>51</xdr:row>
      <xdr:rowOff>95250</xdr:rowOff>
    </xdr:to>
    <xdr:sp>
      <xdr:nvSpPr>
        <xdr:cNvPr id="1" name="TextBox 12"/>
        <xdr:cNvSpPr txBox="1">
          <a:spLocks noChangeArrowheads="1"/>
        </xdr:cNvSpPr>
      </xdr:nvSpPr>
      <xdr:spPr>
        <a:xfrm>
          <a:off x="209550" y="7772400"/>
          <a:ext cx="12287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the required values and solve as indicated </a:t>
          </a:r>
        </a:p>
      </xdr:txBody>
    </xdr:sp>
    <xdr:clientData fPrintsWithSheet="0"/>
  </xdr:twoCellAnchor>
  <xdr:twoCellAnchor>
    <xdr:from>
      <xdr:col>4</xdr:col>
      <xdr:colOff>304800</xdr:colOff>
      <xdr:row>6</xdr:row>
      <xdr:rowOff>38100</xdr:rowOff>
    </xdr:from>
    <xdr:to>
      <xdr:col>13</xdr:col>
      <xdr:colOff>161925</xdr:colOff>
      <xdr:row>14</xdr:row>
      <xdr:rowOff>85725</xdr:rowOff>
    </xdr:to>
    <xdr:sp>
      <xdr:nvSpPr>
        <xdr:cNvPr id="2" name="TextBox 48"/>
        <xdr:cNvSpPr txBox="1">
          <a:spLocks noChangeArrowheads="1"/>
        </xdr:cNvSpPr>
      </xdr:nvSpPr>
      <xdr:spPr>
        <a:xfrm>
          <a:off x="3371850" y="1019175"/>
          <a:ext cx="3981450" cy="1343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Instructions:</a:t>
          </a:r>
          <a:r>
            <a:rPr lang="en-US" cap="none" sz="1000" b="0" i="0" u="none" baseline="0">
              <a:latin typeface="Arial"/>
              <a:ea typeface="Arial"/>
              <a:cs typeface="Arial"/>
            </a:rPr>
            <a:t> </a:t>
          </a:r>
          <a:r>
            <a:rPr lang="en-US" cap="none" sz="1000" b="0" i="0" u="none" baseline="0">
              <a:latin typeface="Arial"/>
              <a:ea typeface="Arial"/>
              <a:cs typeface="Arial"/>
            </a:rPr>
            <a:t>Calculates </a:t>
          </a:r>
          <a:r>
            <a:rPr lang="en-US" cap="none" sz="1000" b="1" i="0" u="none" baseline="0">
              <a:latin typeface="Arial"/>
              <a:ea typeface="Arial"/>
              <a:cs typeface="Arial"/>
            </a:rPr>
            <a:t>Liquid</a:t>
          </a:r>
          <a:r>
            <a:rPr lang="en-US" cap="none" sz="1000" b="0" i="0" u="none" baseline="0">
              <a:latin typeface="Arial"/>
              <a:ea typeface="Arial"/>
              <a:cs typeface="Arial"/>
            </a:rPr>
            <a:t> or </a:t>
          </a:r>
          <a:r>
            <a:rPr lang="en-US" cap="none" sz="1000" b="1" i="0" u="none" baseline="0">
              <a:latin typeface="Arial"/>
              <a:ea typeface="Arial"/>
              <a:cs typeface="Arial"/>
            </a:rPr>
            <a:t>Gas</a:t>
          </a:r>
          <a:r>
            <a:rPr lang="en-US" cap="none" sz="1000" b="0" i="0" u="none" baseline="0">
              <a:latin typeface="Arial"/>
              <a:ea typeface="Arial"/>
              <a:cs typeface="Arial"/>
            </a:rPr>
            <a:t> flow through a pipe system comprising pipe, fittings and valves of up to four different sizes. 
For gas flows dPf/P1 should not exceed 10%.
Any one of the pipe sizes may be used as the Reference Pipe Size though the smallest size should be considered.
The calculation finds P2 for a given H2 and Q by default but
it can also solve for a given P2 or velocity (in the ref pipe size) by entering the required value and selecting the Solver button.</a:t>
          </a:r>
        </a:p>
      </xdr:txBody>
    </xdr:sp>
    <xdr:clientData fPrintsWithSheet="0"/>
  </xdr:twoCellAnchor>
  <xdr:twoCellAnchor>
    <xdr:from>
      <xdr:col>1</xdr:col>
      <xdr:colOff>9525</xdr:colOff>
      <xdr:row>53</xdr:row>
      <xdr:rowOff>0</xdr:rowOff>
    </xdr:from>
    <xdr:to>
      <xdr:col>2</xdr:col>
      <xdr:colOff>809625</xdr:colOff>
      <xdr:row>72</xdr:row>
      <xdr:rowOff>28575</xdr:rowOff>
    </xdr:to>
    <xdr:sp>
      <xdr:nvSpPr>
        <xdr:cNvPr id="3" name="TextBox 49"/>
        <xdr:cNvSpPr txBox="1">
          <a:spLocks noChangeArrowheads="1"/>
        </xdr:cNvSpPr>
      </xdr:nvSpPr>
      <xdr:spPr>
        <a:xfrm>
          <a:off x="209550" y="8743950"/>
          <a:ext cx="2057400" cy="2686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Select the size, schedule and type (1 to 17) of pipe and provide the length of each.
Select the type and number of fittings of each size in the line.
Select the type and number of valves of each size in the line.
Where valve manufacturers data is available as Cv or K values these may be entered.
The library provides a storage area for valve Cv and K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N201"/>
  <sheetViews>
    <sheetView showGridLines="0" tabSelected="1" showOutlineSymbols="0" view="pageBreakPreview" zoomScaleSheetLayoutView="100" workbookViewId="0" topLeftCell="A1">
      <selection activeCell="J42" sqref="J42"/>
    </sheetView>
  </sheetViews>
  <sheetFormatPr defaultColWidth="9.140625" defaultRowHeight="12.75" outlineLevelRow="1" outlineLevelCol="1"/>
  <cols>
    <col min="1" max="1" width="3.00390625" style="97" customWidth="1"/>
    <col min="2" max="2" width="18.8515625" style="97" customWidth="1"/>
    <col min="3" max="3" width="12.421875" style="97" customWidth="1"/>
    <col min="4" max="4" width="11.7109375" style="97" customWidth="1"/>
    <col min="5" max="6" width="12.00390625" style="97" customWidth="1"/>
    <col min="7" max="7" width="12.00390625" style="97" hidden="1" customWidth="1" outlineLevel="1"/>
    <col min="8" max="8" width="12.00390625" style="97" customWidth="1" collapsed="1"/>
    <col min="9" max="9" width="10.421875" style="97" hidden="1" customWidth="1" outlineLevel="1"/>
    <col min="10" max="10" width="13.8515625" style="97" customWidth="1" collapsed="1"/>
    <col min="11" max="11" width="9.140625" style="97" hidden="1" customWidth="1" outlineLevel="1"/>
    <col min="12" max="12" width="12.00390625" style="97" bestFit="1" customWidth="1" collapsed="1"/>
    <col min="13" max="13" width="9.140625" style="97" hidden="1" customWidth="1" outlineLevel="1"/>
    <col min="14" max="14" width="3.00390625" style="97" customWidth="1" collapsed="1"/>
    <col min="15" max="16384" width="9.140625" style="97" customWidth="1"/>
  </cols>
  <sheetData>
    <row r="1" spans="1:14" ht="13.5" thickBot="1">
      <c r="A1" s="291" t="s">
        <v>275</v>
      </c>
      <c r="B1" s="292"/>
      <c r="C1" s="292"/>
      <c r="D1" s="292"/>
      <c r="E1" s="292"/>
      <c r="F1" s="292"/>
      <c r="G1" s="292"/>
      <c r="H1" s="292"/>
      <c r="I1" s="292"/>
      <c r="J1" s="292"/>
      <c r="K1" s="292"/>
      <c r="L1" s="292"/>
      <c r="M1" s="292"/>
      <c r="N1" s="293"/>
    </row>
    <row r="2" spans="1:14" ht="12.75">
      <c r="A2" s="98"/>
      <c r="B2" s="264"/>
      <c r="C2" s="99"/>
      <c r="D2" s="99"/>
      <c r="E2" s="99"/>
      <c r="F2" s="99"/>
      <c r="G2" s="99"/>
      <c r="H2" s="99"/>
      <c r="I2" s="99"/>
      <c r="K2" s="99"/>
      <c r="L2" s="100"/>
      <c r="M2" s="99"/>
      <c r="N2" s="101"/>
    </row>
    <row r="3" spans="1:14" ht="12.75">
      <c r="A3" s="98"/>
      <c r="B3" s="102" t="s">
        <v>146</v>
      </c>
      <c r="C3" s="99"/>
      <c r="D3" s="99"/>
      <c r="E3" s="99"/>
      <c r="F3" s="99"/>
      <c r="G3" s="99"/>
      <c r="H3" s="99"/>
      <c r="I3" s="99"/>
      <c r="J3" s="99"/>
      <c r="K3" s="99"/>
      <c r="L3" s="103"/>
      <c r="M3" s="99"/>
      <c r="N3" s="101"/>
    </row>
    <row r="4" spans="1:14" ht="12.75">
      <c r="A4" s="98"/>
      <c r="B4" s="104"/>
      <c r="C4" s="99"/>
      <c r="D4" s="99"/>
      <c r="E4" s="99"/>
      <c r="F4" s="99"/>
      <c r="G4" s="99"/>
      <c r="H4" s="99"/>
      <c r="I4" s="99"/>
      <c r="J4" s="99"/>
      <c r="K4" s="99"/>
      <c r="L4" s="99"/>
      <c r="M4" s="99"/>
      <c r="N4" s="101"/>
    </row>
    <row r="5" spans="1:14" ht="12.75">
      <c r="A5" s="98"/>
      <c r="B5" s="105" t="s">
        <v>147</v>
      </c>
      <c r="C5" s="294" t="s">
        <v>271</v>
      </c>
      <c r="D5" s="294"/>
      <c r="E5" s="294"/>
      <c r="F5" s="105" t="s">
        <v>148</v>
      </c>
      <c r="G5" s="99"/>
      <c r="H5" s="294" t="s">
        <v>282</v>
      </c>
      <c r="I5" s="294"/>
      <c r="J5" s="294"/>
      <c r="K5" s="294"/>
      <c r="L5" s="294"/>
      <c r="M5" s="99"/>
      <c r="N5" s="101"/>
    </row>
    <row r="6" spans="1:14" ht="12.75">
      <c r="A6" s="98"/>
      <c r="B6" s="105" t="s">
        <v>149</v>
      </c>
      <c r="C6" s="294" t="s">
        <v>281</v>
      </c>
      <c r="D6" s="294"/>
      <c r="E6" s="294"/>
      <c r="F6" s="105" t="s">
        <v>150</v>
      </c>
      <c r="G6" s="99"/>
      <c r="H6" s="294" t="s">
        <v>272</v>
      </c>
      <c r="I6" s="294"/>
      <c r="J6" s="294"/>
      <c r="K6" s="294"/>
      <c r="L6" s="294"/>
      <c r="M6" s="99"/>
      <c r="N6" s="101"/>
    </row>
    <row r="7" spans="1:14" ht="12.75">
      <c r="A7" s="98"/>
      <c r="B7" s="99"/>
      <c r="C7" s="99"/>
      <c r="D7" s="99"/>
      <c r="E7" s="99"/>
      <c r="F7" s="99"/>
      <c r="G7" s="99"/>
      <c r="H7" s="99"/>
      <c r="I7" s="99"/>
      <c r="J7" s="99"/>
      <c r="K7" s="99"/>
      <c r="L7" s="99"/>
      <c r="M7" s="99"/>
      <c r="N7" s="101"/>
    </row>
    <row r="8" spans="1:14" ht="12.75">
      <c r="A8" s="98"/>
      <c r="B8" s="106" t="s">
        <v>24</v>
      </c>
      <c r="C8" s="99"/>
      <c r="D8" s="99"/>
      <c r="E8" s="99"/>
      <c r="F8" s="99"/>
      <c r="G8" s="99"/>
      <c r="H8" s="99"/>
      <c r="I8" s="99"/>
      <c r="J8" s="99"/>
      <c r="K8" s="99"/>
      <c r="L8" s="99"/>
      <c r="M8" s="99"/>
      <c r="N8" s="101"/>
    </row>
    <row r="9" spans="1:14" ht="12.75">
      <c r="A9" s="98"/>
      <c r="B9" s="99"/>
      <c r="C9" s="99"/>
      <c r="D9" s="99"/>
      <c r="E9" s="99"/>
      <c r="F9" s="99"/>
      <c r="G9" s="99"/>
      <c r="H9" s="99"/>
      <c r="I9" s="99"/>
      <c r="J9" s="99"/>
      <c r="K9" s="99"/>
      <c r="L9" s="99"/>
      <c r="M9" s="99"/>
      <c r="N9" s="101"/>
    </row>
    <row r="10" spans="1:14" ht="12.75">
      <c r="A10" s="98"/>
      <c r="B10" s="99"/>
      <c r="C10" s="99"/>
      <c r="D10" s="99"/>
      <c r="E10" s="99"/>
      <c r="F10" s="99"/>
      <c r="G10" s="99"/>
      <c r="H10" s="99"/>
      <c r="I10" s="99"/>
      <c r="J10" s="99"/>
      <c r="K10" s="99"/>
      <c r="L10" s="99"/>
      <c r="M10" s="99"/>
      <c r="N10" s="101"/>
    </row>
    <row r="11" spans="1:14" ht="12.75">
      <c r="A11" s="98"/>
      <c r="B11" s="106" t="s">
        <v>25</v>
      </c>
      <c r="C11" s="99"/>
      <c r="D11" s="99"/>
      <c r="E11" s="106" t="s">
        <v>27</v>
      </c>
      <c r="F11" s="99"/>
      <c r="G11" s="99"/>
      <c r="H11" s="99"/>
      <c r="I11" s="99"/>
      <c r="J11" s="99"/>
      <c r="K11" s="99"/>
      <c r="L11" s="99"/>
      <c r="M11" s="99"/>
      <c r="N11" s="101"/>
    </row>
    <row r="12" spans="1:14" ht="12.75">
      <c r="A12" s="98"/>
      <c r="B12" s="99"/>
      <c r="C12" s="99"/>
      <c r="D12" s="99"/>
      <c r="E12" s="106" t="s">
        <v>26</v>
      </c>
      <c r="F12" s="99"/>
      <c r="G12" s="99"/>
      <c r="H12" s="99"/>
      <c r="I12" s="99"/>
      <c r="J12" s="99"/>
      <c r="K12" s="99"/>
      <c r="L12" s="99"/>
      <c r="M12" s="99"/>
      <c r="N12" s="101"/>
    </row>
    <row r="13" spans="1:14" ht="12.75">
      <c r="A13" s="98"/>
      <c r="B13" s="104"/>
      <c r="C13" s="99"/>
      <c r="D13" s="99"/>
      <c r="E13" s="106"/>
      <c r="F13" s="106"/>
      <c r="G13" s="104"/>
      <c r="H13" s="99"/>
      <c r="I13" s="99"/>
      <c r="J13" s="99"/>
      <c r="K13" s="99"/>
      <c r="L13" s="99"/>
      <c r="M13" s="99"/>
      <c r="N13" s="101"/>
    </row>
    <row r="14" spans="1:14" ht="12.75">
      <c r="A14" s="98"/>
      <c r="B14" s="99"/>
      <c r="C14" s="99"/>
      <c r="D14" s="99"/>
      <c r="E14" s="99"/>
      <c r="F14" s="99"/>
      <c r="G14" s="99"/>
      <c r="H14" s="99"/>
      <c r="I14" s="99"/>
      <c r="J14" s="99"/>
      <c r="K14" s="99"/>
      <c r="L14" s="99"/>
      <c r="M14" s="99"/>
      <c r="N14" s="101"/>
    </row>
    <row r="15" spans="1:14" ht="12.75">
      <c r="A15" s="98"/>
      <c r="B15" s="99"/>
      <c r="C15" s="107" t="s">
        <v>42</v>
      </c>
      <c r="D15" s="99"/>
      <c r="E15" s="99"/>
      <c r="F15" s="99"/>
      <c r="G15" s="99"/>
      <c r="H15" s="99"/>
      <c r="I15" s="99"/>
      <c r="J15" s="99"/>
      <c r="K15" s="99"/>
      <c r="L15" s="99"/>
      <c r="M15" s="99"/>
      <c r="N15" s="101"/>
    </row>
    <row r="16" spans="1:14" ht="12.75">
      <c r="A16" s="98"/>
      <c r="B16" s="99"/>
      <c r="C16" s="99"/>
      <c r="D16" s="99"/>
      <c r="E16" s="99"/>
      <c r="F16" s="107" t="s">
        <v>41</v>
      </c>
      <c r="G16" s="99"/>
      <c r="H16" s="99"/>
      <c r="I16" s="99"/>
      <c r="J16" s="99"/>
      <c r="K16" s="99"/>
      <c r="L16" s="99"/>
      <c r="M16" s="99"/>
      <c r="N16" s="101"/>
    </row>
    <row r="17" spans="1:14" ht="12.75">
      <c r="A17" s="98"/>
      <c r="B17" s="99"/>
      <c r="C17" s="99"/>
      <c r="D17" s="107"/>
      <c r="E17" s="107"/>
      <c r="F17" s="107"/>
      <c r="G17" s="107"/>
      <c r="H17" s="107"/>
      <c r="I17" s="107"/>
      <c r="J17" s="99"/>
      <c r="K17" s="99"/>
      <c r="L17" s="99"/>
      <c r="M17" s="99"/>
      <c r="N17" s="101"/>
    </row>
    <row r="18" spans="1:14" ht="12.75">
      <c r="A18" s="98"/>
      <c r="B18" s="99"/>
      <c r="C18" s="99"/>
      <c r="D18" s="99"/>
      <c r="E18" s="99"/>
      <c r="F18" s="99"/>
      <c r="G18" s="99"/>
      <c r="H18" s="99"/>
      <c r="I18" s="99"/>
      <c r="J18" s="99"/>
      <c r="K18" s="99"/>
      <c r="L18" s="105"/>
      <c r="M18" s="99"/>
      <c r="N18" s="101"/>
    </row>
    <row r="19" spans="1:14" ht="12.75">
      <c r="A19" s="98"/>
      <c r="B19" s="99"/>
      <c r="C19" s="99"/>
      <c r="D19" s="99" t="s">
        <v>40</v>
      </c>
      <c r="E19" s="99"/>
      <c r="F19" s="99"/>
      <c r="G19" s="99"/>
      <c r="H19" s="99"/>
      <c r="I19" s="99"/>
      <c r="J19" s="99"/>
      <c r="K19" s="99"/>
      <c r="L19" s="105" t="s">
        <v>32</v>
      </c>
      <c r="M19" s="99"/>
      <c r="N19" s="101"/>
    </row>
    <row r="20" spans="1:14" ht="12.75">
      <c r="A20" s="98"/>
      <c r="B20" s="99"/>
      <c r="C20" s="99"/>
      <c r="D20" s="99"/>
      <c r="E20" s="99"/>
      <c r="F20" s="99"/>
      <c r="G20" s="99"/>
      <c r="H20" s="99"/>
      <c r="I20" s="99"/>
      <c r="J20" s="99"/>
      <c r="K20" s="99"/>
      <c r="L20" s="105"/>
      <c r="M20" s="99"/>
      <c r="N20" s="101"/>
    </row>
    <row r="21" spans="1:14" ht="12.75">
      <c r="A21" s="98"/>
      <c r="B21" s="99"/>
      <c r="C21" s="99"/>
      <c r="D21" s="99"/>
      <c r="E21" s="99"/>
      <c r="F21" s="99"/>
      <c r="G21" s="99"/>
      <c r="H21" s="99"/>
      <c r="I21" s="99"/>
      <c r="J21" s="99"/>
      <c r="K21" s="99"/>
      <c r="L21" s="105" t="s">
        <v>33</v>
      </c>
      <c r="M21" s="99"/>
      <c r="N21" s="101"/>
    </row>
    <row r="22" spans="1:14" ht="12.75">
      <c r="A22" s="98"/>
      <c r="B22" s="99"/>
      <c r="C22" s="99"/>
      <c r="D22" s="99"/>
      <c r="E22" s="99"/>
      <c r="F22" s="104" t="s">
        <v>34</v>
      </c>
      <c r="G22" s="99"/>
      <c r="H22" s="99"/>
      <c r="I22" s="99"/>
      <c r="J22" s="99"/>
      <c r="K22" s="99"/>
      <c r="L22" s="106"/>
      <c r="M22" s="99"/>
      <c r="N22" s="101"/>
    </row>
    <row r="23" spans="1:14" ht="12.75">
      <c r="A23" s="98"/>
      <c r="B23" s="99"/>
      <c r="C23" s="99"/>
      <c r="D23" s="108" t="s">
        <v>109</v>
      </c>
      <c r="E23" s="99"/>
      <c r="F23" s="104" t="s">
        <v>35</v>
      </c>
      <c r="G23" s="99"/>
      <c r="H23" s="99"/>
      <c r="I23" s="99"/>
      <c r="J23" s="99"/>
      <c r="K23" s="99"/>
      <c r="L23" s="99"/>
      <c r="M23" s="99"/>
      <c r="N23" s="101"/>
    </row>
    <row r="24" spans="1:14" ht="12.75">
      <c r="A24" s="98"/>
      <c r="B24" s="99"/>
      <c r="C24" s="99"/>
      <c r="D24" s="99"/>
      <c r="E24" s="99"/>
      <c r="F24" s="99"/>
      <c r="G24" s="99"/>
      <c r="H24" s="99"/>
      <c r="I24" s="99"/>
      <c r="J24" s="99"/>
      <c r="K24" s="99"/>
      <c r="L24" s="105"/>
      <c r="M24" s="99"/>
      <c r="N24" s="101"/>
    </row>
    <row r="25" spans="1:14" ht="12.75">
      <c r="A25" s="98"/>
      <c r="B25" s="102" t="s">
        <v>132</v>
      </c>
      <c r="C25" s="99"/>
      <c r="D25" s="99"/>
      <c r="E25" s="99"/>
      <c r="F25" s="102" t="s">
        <v>135</v>
      </c>
      <c r="G25" s="99"/>
      <c r="H25" s="99"/>
      <c r="I25" s="99"/>
      <c r="J25" s="99"/>
      <c r="K25" s="99"/>
      <c r="L25" s="99"/>
      <c r="M25" s="99"/>
      <c r="N25" s="101"/>
    </row>
    <row r="26" spans="1:14" ht="12.75">
      <c r="A26" s="98"/>
      <c r="B26" s="109" t="s">
        <v>134</v>
      </c>
      <c r="C26" s="110"/>
      <c r="D26" s="110"/>
      <c r="E26" s="111"/>
      <c r="F26" s="109" t="s">
        <v>134</v>
      </c>
      <c r="G26" s="110"/>
      <c r="H26" s="110"/>
      <c r="I26" s="110"/>
      <c r="J26" s="110"/>
      <c r="K26" s="110"/>
      <c r="L26" s="111"/>
      <c r="M26" s="99"/>
      <c r="N26" s="101"/>
    </row>
    <row r="27" spans="1:14" ht="12.75">
      <c r="A27" s="98"/>
      <c r="B27" s="112" t="s">
        <v>0</v>
      </c>
      <c r="C27" s="99" t="s">
        <v>24</v>
      </c>
      <c r="D27" s="113">
        <v>301</v>
      </c>
      <c r="E27" s="114" t="s">
        <v>257</v>
      </c>
      <c r="F27" s="112" t="s">
        <v>0</v>
      </c>
      <c r="G27" s="99"/>
      <c r="H27" s="99" t="s">
        <v>32</v>
      </c>
      <c r="I27" s="99"/>
      <c r="J27" s="266">
        <f>J31-J36*9.807*(J28-J30)/1000</f>
        <v>301</v>
      </c>
      <c r="K27" s="99"/>
      <c r="L27" s="114" t="s">
        <v>257</v>
      </c>
      <c r="M27" s="99"/>
      <c r="N27" s="101"/>
    </row>
    <row r="28" spans="1:14" ht="12.75">
      <c r="A28" s="98"/>
      <c r="B28" s="112" t="s">
        <v>1</v>
      </c>
      <c r="C28" s="99" t="s">
        <v>25</v>
      </c>
      <c r="D28" s="113">
        <v>0</v>
      </c>
      <c r="E28" s="114" t="s">
        <v>258</v>
      </c>
      <c r="F28" s="112" t="s">
        <v>1</v>
      </c>
      <c r="G28" s="99"/>
      <c r="H28" s="99" t="s">
        <v>33</v>
      </c>
      <c r="I28" s="99"/>
      <c r="J28" s="116">
        <v>0</v>
      </c>
      <c r="K28" s="99"/>
      <c r="L28" s="114" t="s">
        <v>258</v>
      </c>
      <c r="M28" s="99"/>
      <c r="N28" s="101"/>
    </row>
    <row r="29" spans="1:14" ht="12.75">
      <c r="A29" s="98"/>
      <c r="B29" s="117" t="s">
        <v>133</v>
      </c>
      <c r="C29" s="99"/>
      <c r="D29" s="107"/>
      <c r="E29" s="118"/>
      <c r="F29" s="117" t="s">
        <v>133</v>
      </c>
      <c r="G29" s="99"/>
      <c r="H29" s="99"/>
      <c r="I29" s="99"/>
      <c r="J29" s="99"/>
      <c r="K29" s="99"/>
      <c r="L29" s="114"/>
      <c r="M29" s="99"/>
      <c r="N29" s="101"/>
    </row>
    <row r="30" spans="1:14" ht="12.75">
      <c r="A30" s="98"/>
      <c r="B30" s="112" t="s">
        <v>1</v>
      </c>
      <c r="C30" s="99" t="s">
        <v>26</v>
      </c>
      <c r="D30" s="113">
        <v>0</v>
      </c>
      <c r="E30" s="114" t="s">
        <v>258</v>
      </c>
      <c r="F30" s="112" t="s">
        <v>1</v>
      </c>
      <c r="G30" s="99"/>
      <c r="H30" s="99" t="s">
        <v>34</v>
      </c>
      <c r="I30" s="99"/>
      <c r="J30" s="113">
        <v>0</v>
      </c>
      <c r="K30" s="99"/>
      <c r="L30" s="114" t="s">
        <v>258</v>
      </c>
      <c r="M30" s="99"/>
      <c r="N30" s="101"/>
    </row>
    <row r="31" spans="1:14" ht="12.75">
      <c r="A31" s="98"/>
      <c r="B31" s="119" t="s">
        <v>0</v>
      </c>
      <c r="C31" s="120" t="s">
        <v>27</v>
      </c>
      <c r="D31" s="265">
        <f>D27+J36*(D28-D30)/144</f>
        <v>301</v>
      </c>
      <c r="E31" s="121" t="s">
        <v>257</v>
      </c>
      <c r="F31" s="119" t="s">
        <v>0</v>
      </c>
      <c r="G31" s="120"/>
      <c r="H31" s="120" t="s">
        <v>35</v>
      </c>
      <c r="I31" s="120"/>
      <c r="J31" s="265">
        <f>D31+J49</f>
        <v>301</v>
      </c>
      <c r="K31" s="120"/>
      <c r="L31" s="121" t="s">
        <v>257</v>
      </c>
      <c r="M31" s="99"/>
      <c r="N31" s="101"/>
    </row>
    <row r="32" spans="1:14" ht="12.75">
      <c r="A32" s="98"/>
      <c r="B32" s="99"/>
      <c r="C32" s="99"/>
      <c r="D32" s="99"/>
      <c r="E32" s="99"/>
      <c r="F32" s="99"/>
      <c r="G32" s="99"/>
      <c r="H32" s="99"/>
      <c r="I32" s="99"/>
      <c r="J32" s="99"/>
      <c r="K32" s="99"/>
      <c r="L32" s="99"/>
      <c r="M32" s="99"/>
      <c r="N32" s="101"/>
    </row>
    <row r="33" spans="1:14" ht="12.75">
      <c r="A33" s="98"/>
      <c r="B33" s="102" t="s">
        <v>143</v>
      </c>
      <c r="C33" s="99"/>
      <c r="D33" s="99"/>
      <c r="E33" s="99"/>
      <c r="F33" s="102" t="s">
        <v>140</v>
      </c>
      <c r="G33" s="99"/>
      <c r="H33" s="99"/>
      <c r="I33" s="99"/>
      <c r="J33" s="99"/>
      <c r="K33" s="99"/>
      <c r="L33" s="99"/>
      <c r="M33" s="99"/>
      <c r="N33" s="101"/>
    </row>
    <row r="34" spans="1:14" ht="12.75">
      <c r="A34" s="98"/>
      <c r="B34" s="109"/>
      <c r="C34" s="110" t="s">
        <v>86</v>
      </c>
      <c r="D34" s="110"/>
      <c r="E34" s="111"/>
      <c r="F34" s="109"/>
      <c r="G34" s="110"/>
      <c r="H34" s="110" t="s">
        <v>142</v>
      </c>
      <c r="I34" s="110"/>
      <c r="J34" s="289" t="s">
        <v>283</v>
      </c>
      <c r="K34" s="289"/>
      <c r="L34" s="290"/>
      <c r="M34" s="99"/>
      <c r="N34" s="101"/>
    </row>
    <row r="35" spans="1:14" ht="12.75">
      <c r="A35" s="98"/>
      <c r="B35" s="117"/>
      <c r="C35" s="99" t="s">
        <v>83</v>
      </c>
      <c r="D35" s="113">
        <v>2</v>
      </c>
      <c r="E35" s="114"/>
      <c r="F35" s="117"/>
      <c r="G35" s="99"/>
      <c r="H35" s="99" t="s">
        <v>36</v>
      </c>
      <c r="I35" s="99"/>
      <c r="J35" s="113">
        <v>100</v>
      </c>
      <c r="K35" s="99"/>
      <c r="L35" s="114" t="s">
        <v>260</v>
      </c>
      <c r="M35" s="99"/>
      <c r="N35" s="101"/>
    </row>
    <row r="36" spans="1:14" ht="15.75">
      <c r="A36" s="98"/>
      <c r="B36" s="117"/>
      <c r="C36" s="99" t="s">
        <v>84</v>
      </c>
      <c r="D36" s="113">
        <v>80</v>
      </c>
      <c r="E36" s="114"/>
      <c r="F36" s="117"/>
      <c r="G36" s="99"/>
      <c r="H36" s="122" t="s">
        <v>43</v>
      </c>
      <c r="I36" s="99"/>
      <c r="J36" s="113">
        <v>31.72</v>
      </c>
      <c r="K36" s="99"/>
      <c r="L36" s="114" t="s">
        <v>261</v>
      </c>
      <c r="M36" s="99"/>
      <c r="N36" s="101"/>
    </row>
    <row r="37" spans="1:14" ht="15.75">
      <c r="A37" s="98"/>
      <c r="B37" s="117"/>
      <c r="C37" s="99" t="s">
        <v>3</v>
      </c>
      <c r="D37" s="113">
        <v>6</v>
      </c>
      <c r="E37" s="114"/>
      <c r="F37" s="123"/>
      <c r="G37" s="120"/>
      <c r="H37" s="124" t="s">
        <v>2</v>
      </c>
      <c r="I37" s="120"/>
      <c r="J37" s="125">
        <v>0.13</v>
      </c>
      <c r="K37" s="120"/>
      <c r="L37" s="121" t="s">
        <v>21</v>
      </c>
      <c r="M37" s="99"/>
      <c r="N37" s="101"/>
    </row>
    <row r="38" spans="1:14" ht="12.75">
      <c r="A38" s="98"/>
      <c r="B38" s="117"/>
      <c r="C38" s="99"/>
      <c r="D38" s="126" t="str">
        <f>HLOOKUP(D37,PipeE,2)</f>
        <v>Steel Pipe-clean</v>
      </c>
      <c r="E38" s="114"/>
      <c r="F38" s="102" t="s">
        <v>141</v>
      </c>
      <c r="G38" s="99"/>
      <c r="H38" s="104"/>
      <c r="I38" s="99"/>
      <c r="J38" s="104"/>
      <c r="K38" s="99"/>
      <c r="L38" s="106"/>
      <c r="M38" s="99"/>
      <c r="N38" s="101"/>
    </row>
    <row r="39" spans="1:14" ht="15.75">
      <c r="A39" s="98"/>
      <c r="B39" s="117"/>
      <c r="C39" s="122" t="s">
        <v>38</v>
      </c>
      <c r="D39" s="269">
        <f>HLOOKUP(D37,PipeE,4)</f>
        <v>0.0001640419947506562</v>
      </c>
      <c r="E39" s="114" t="s">
        <v>258</v>
      </c>
      <c r="F39" s="109"/>
      <c r="G39" s="110"/>
      <c r="H39" s="110" t="s">
        <v>37</v>
      </c>
      <c r="I39" s="110"/>
      <c r="J39" s="261">
        <v>83.6</v>
      </c>
      <c r="K39" s="110"/>
      <c r="L39" s="111" t="s">
        <v>263</v>
      </c>
      <c r="M39" s="99"/>
      <c r="N39" s="101"/>
    </row>
    <row r="40" spans="1:14" ht="12.75">
      <c r="A40" s="98"/>
      <c r="B40" s="117"/>
      <c r="C40" s="99" t="s">
        <v>29</v>
      </c>
      <c r="D40" s="267">
        <f>(VLOOKUP(D35,PipeWT,3)-2*VLOOKUP(D35,PipeWT,'PIPE WT TABLE'!A46))/25.4</f>
        <v>1.9377952755905512</v>
      </c>
      <c r="E40" s="99" t="s">
        <v>262</v>
      </c>
      <c r="F40" s="117"/>
      <c r="G40" s="99"/>
      <c r="H40" s="99" t="s">
        <v>131</v>
      </c>
      <c r="I40" s="99"/>
      <c r="J40" s="129">
        <f>J39/7.48052*60*J36</f>
        <v>21269.580189612483</v>
      </c>
      <c r="K40" s="99"/>
      <c r="L40" s="114" t="s">
        <v>268</v>
      </c>
      <c r="M40" s="99"/>
      <c r="N40" s="101"/>
    </row>
    <row r="41" spans="1:14" ht="12.75">
      <c r="A41" s="98"/>
      <c r="B41" s="128" t="s">
        <v>137</v>
      </c>
      <c r="C41" s="99" t="s">
        <v>30</v>
      </c>
      <c r="D41" s="129">
        <f>SUM(F71:K71)</f>
        <v>0</v>
      </c>
      <c r="E41" s="114"/>
      <c r="H41" s="97" t="s">
        <v>131</v>
      </c>
      <c r="J41" s="279">
        <f>J40/60/J36</f>
        <v>11.175693668354604</v>
      </c>
      <c r="L41" s="97" t="s">
        <v>273</v>
      </c>
      <c r="M41" s="99"/>
      <c r="N41" s="281"/>
    </row>
    <row r="42" spans="1:14" ht="12.75">
      <c r="A42" s="98"/>
      <c r="B42" s="128" t="s">
        <v>138</v>
      </c>
      <c r="C42" s="99" t="s">
        <v>31</v>
      </c>
      <c r="D42" s="130">
        <f>SUM(F124:L124)</f>
        <v>0</v>
      </c>
      <c r="E42" s="114"/>
      <c r="H42" s="97" t="s">
        <v>131</v>
      </c>
      <c r="J42" s="280">
        <f>(((D31+J31)/2+12.47)*J41/(J35+460))*(520/14.696)*60*24/1000000</f>
        <v>0.3187492256191281</v>
      </c>
      <c r="L42" s="97" t="s">
        <v>274</v>
      </c>
      <c r="M42" s="99"/>
      <c r="N42" s="281"/>
    </row>
    <row r="43" spans="1:14" ht="12.75">
      <c r="A43" s="98"/>
      <c r="B43" s="128" t="s">
        <v>139</v>
      </c>
      <c r="C43" s="99" t="s">
        <v>44</v>
      </c>
      <c r="D43" s="130">
        <f>SUM(F200:L200)</f>
        <v>0</v>
      </c>
      <c r="E43" s="114"/>
      <c r="F43" s="99"/>
      <c r="G43" s="99"/>
      <c r="H43" s="99" t="s">
        <v>38</v>
      </c>
      <c r="I43" s="99"/>
      <c r="J43" s="131">
        <f>J40/J36*144*4/PI()/D40^2/3600</f>
        <v>9.094525895296009</v>
      </c>
      <c r="K43" s="99"/>
      <c r="L43" s="114" t="s">
        <v>264</v>
      </c>
      <c r="M43" s="99"/>
      <c r="N43" s="101"/>
    </row>
    <row r="44" spans="1:14" ht="12.75">
      <c r="A44" s="98"/>
      <c r="B44" s="117"/>
      <c r="C44" s="99" t="s">
        <v>22</v>
      </c>
      <c r="D44" s="115">
        <f>D41+D42+D43</f>
        <v>0</v>
      </c>
      <c r="E44" s="114"/>
      <c r="F44" s="99"/>
      <c r="G44" s="99"/>
      <c r="H44" s="99" t="s">
        <v>23</v>
      </c>
      <c r="I44" s="99"/>
      <c r="J44" s="132">
        <f>123.916*D40*J43*$J$36/$J$37</f>
        <v>532850.2439558955</v>
      </c>
      <c r="K44" s="99"/>
      <c r="L44" s="114"/>
      <c r="M44" s="99"/>
      <c r="N44" s="101"/>
    </row>
    <row r="45" spans="1:14" ht="12.75">
      <c r="A45" s="98"/>
      <c r="B45" s="123"/>
      <c r="C45" s="120" t="s">
        <v>88</v>
      </c>
      <c r="D45" s="134">
        <f>D44*(D40/12)/J45</f>
        <v>0</v>
      </c>
      <c r="E45" s="120" t="s">
        <v>258</v>
      </c>
      <c r="F45" s="117"/>
      <c r="G45" s="99"/>
      <c r="H45" s="99" t="s">
        <v>39</v>
      </c>
      <c r="I45" s="99"/>
      <c r="J45" s="133">
        <f>MoodyFrictFactor(J44,D39/(D40/12))</f>
        <v>0.02026942511375072</v>
      </c>
      <c r="K45" s="99"/>
      <c r="L45" s="114"/>
      <c r="M45" s="99"/>
      <c r="N45" s="101"/>
    </row>
    <row r="46" spans="1:14" ht="15.75">
      <c r="A46" s="98"/>
      <c r="B46" s="99"/>
      <c r="C46" s="99"/>
      <c r="D46" s="99"/>
      <c r="E46" s="99"/>
      <c r="F46" s="117"/>
      <c r="H46" s="135" t="s">
        <v>166</v>
      </c>
      <c r="J46" s="133">
        <f>MoodyFrictFactor(100000000,D39/(D40/12))</f>
        <v>0.01971396367550566</v>
      </c>
      <c r="L46" s="114"/>
      <c r="M46" s="99"/>
      <c r="N46" s="101"/>
    </row>
    <row r="47" spans="1:14" ht="12.75">
      <c r="A47" s="98"/>
      <c r="B47" s="102" t="s">
        <v>151</v>
      </c>
      <c r="C47" s="136"/>
      <c r="D47" s="136"/>
      <c r="E47" s="137"/>
      <c r="F47" s="117"/>
      <c r="G47" s="99"/>
      <c r="H47" s="107" t="s">
        <v>45</v>
      </c>
      <c r="I47" s="99"/>
      <c r="J47" s="266">
        <f>-D44*J43^2/2/32.2*J36/144</f>
        <v>0</v>
      </c>
      <c r="K47" s="99"/>
      <c r="L47" s="114" t="s">
        <v>259</v>
      </c>
      <c r="M47" s="99"/>
      <c r="N47" s="101"/>
    </row>
    <row r="48" spans="1:14" ht="12.75">
      <c r="A48" s="98"/>
      <c r="B48" s="99"/>
      <c r="C48" s="99"/>
      <c r="D48" s="99"/>
      <c r="E48" s="99"/>
      <c r="F48" s="117"/>
      <c r="G48" s="99"/>
      <c r="H48" s="99" t="s">
        <v>46</v>
      </c>
      <c r="I48" s="99"/>
      <c r="J48" s="266">
        <f>(D30-J30)*J36/144</f>
        <v>0</v>
      </c>
      <c r="K48" s="99"/>
      <c r="L48" s="114" t="s">
        <v>259</v>
      </c>
      <c r="M48" s="99"/>
      <c r="N48" s="101"/>
    </row>
    <row r="49" spans="1:14" ht="12.75">
      <c r="A49" s="98"/>
      <c r="B49" s="99"/>
      <c r="C49" s="99"/>
      <c r="D49" s="99"/>
      <c r="E49" s="99"/>
      <c r="F49" s="117"/>
      <c r="G49" s="99"/>
      <c r="H49" s="99" t="s">
        <v>47</v>
      </c>
      <c r="I49" s="99"/>
      <c r="J49" s="266">
        <f>J47+J48</f>
        <v>0</v>
      </c>
      <c r="K49" s="99"/>
      <c r="L49" s="114" t="s">
        <v>259</v>
      </c>
      <c r="M49" s="99"/>
      <c r="N49" s="101"/>
    </row>
    <row r="50" spans="1:14" ht="12.75">
      <c r="A50" s="98"/>
      <c r="B50" s="99"/>
      <c r="C50" s="99"/>
      <c r="D50" s="99"/>
      <c r="E50" s="99"/>
      <c r="F50" s="117"/>
      <c r="G50" s="99"/>
      <c r="H50" s="99" t="s">
        <v>48</v>
      </c>
      <c r="I50" s="99"/>
      <c r="J50" s="275">
        <f>-(J47)/(D27+14.7)</f>
        <v>0</v>
      </c>
      <c r="K50" s="99"/>
      <c r="L50" s="114"/>
      <c r="M50" s="99"/>
      <c r="N50" s="101"/>
    </row>
    <row r="51" spans="1:14" ht="12.75">
      <c r="A51" s="98"/>
      <c r="B51" s="99"/>
      <c r="C51" s="99"/>
      <c r="D51" s="99"/>
      <c r="E51" s="99"/>
      <c r="F51" s="123"/>
      <c r="G51" s="120"/>
      <c r="H51" s="138" t="s">
        <v>265</v>
      </c>
      <c r="I51" s="120"/>
      <c r="J51" s="265" t="e">
        <f>J47/D45*100</f>
        <v>#DIV/0!</v>
      </c>
      <c r="K51" s="120"/>
      <c r="L51" s="139" t="s">
        <v>266</v>
      </c>
      <c r="M51" s="99"/>
      <c r="N51" s="101"/>
    </row>
    <row r="52" spans="1:14" ht="12.75">
      <c r="A52" s="98"/>
      <c r="B52" s="99"/>
      <c r="C52" s="99"/>
      <c r="D52" s="99"/>
      <c r="E52" s="99"/>
      <c r="F52" s="99"/>
      <c r="G52" s="99"/>
      <c r="H52" s="99"/>
      <c r="I52" s="99"/>
      <c r="J52" s="99"/>
      <c r="K52" s="99"/>
      <c r="L52" s="99"/>
      <c r="M52" s="99"/>
      <c r="N52" s="101"/>
    </row>
    <row r="53" spans="1:14" ht="12.75">
      <c r="A53" s="98"/>
      <c r="B53" s="102" t="s">
        <v>136</v>
      </c>
      <c r="C53" s="99"/>
      <c r="D53" s="109" t="s">
        <v>83</v>
      </c>
      <c r="E53" s="110"/>
      <c r="F53" s="140">
        <f>D35</f>
        <v>2</v>
      </c>
      <c r="G53" s="141"/>
      <c r="H53" s="142">
        <v>1</v>
      </c>
      <c r="I53" s="141"/>
      <c r="J53" s="142">
        <v>3</v>
      </c>
      <c r="K53" s="141"/>
      <c r="L53" s="143">
        <v>4</v>
      </c>
      <c r="M53" s="99"/>
      <c r="N53" s="101"/>
    </row>
    <row r="54" spans="1:14" ht="12.75">
      <c r="A54" s="98"/>
      <c r="B54" s="99"/>
      <c r="C54" s="99"/>
      <c r="D54" s="117" t="s">
        <v>84</v>
      </c>
      <c r="E54" s="99"/>
      <c r="F54" s="144">
        <f>D36</f>
        <v>80</v>
      </c>
      <c r="G54" s="145"/>
      <c r="H54" s="146">
        <v>160</v>
      </c>
      <c r="I54" s="145"/>
      <c r="J54" s="146">
        <v>40</v>
      </c>
      <c r="K54" s="145"/>
      <c r="L54" s="147">
        <v>40</v>
      </c>
      <c r="M54" s="99"/>
      <c r="N54" s="101"/>
    </row>
    <row r="55" spans="1:14" ht="12.75">
      <c r="A55" s="98"/>
      <c r="B55" s="99"/>
      <c r="C55" s="99"/>
      <c r="D55" s="117" t="s">
        <v>3</v>
      </c>
      <c r="E55" s="99"/>
      <c r="F55" s="144">
        <f>D37</f>
        <v>6</v>
      </c>
      <c r="G55" s="145"/>
      <c r="H55" s="146">
        <v>6</v>
      </c>
      <c r="I55" s="145"/>
      <c r="J55" s="146">
        <v>6</v>
      </c>
      <c r="K55" s="145"/>
      <c r="L55" s="147">
        <v>6</v>
      </c>
      <c r="M55" s="99"/>
      <c r="N55" s="101"/>
    </row>
    <row r="56" spans="1:14" ht="12.75">
      <c r="A56" s="98"/>
      <c r="B56" s="99"/>
      <c r="C56" s="99"/>
      <c r="D56" s="117"/>
      <c r="E56" s="99"/>
      <c r="F56" s="148" t="str">
        <f>HLOOKUP(F55,PipeE,2)</f>
        <v>Steel Pipe-clean</v>
      </c>
      <c r="G56" s="145"/>
      <c r="H56" s="148" t="str">
        <f>HLOOKUP(H55,PipeE,2)</f>
        <v>Steel Pipe-clean</v>
      </c>
      <c r="I56" s="145"/>
      <c r="J56" s="148" t="str">
        <f>HLOOKUP(J55,PipeE,2)</f>
        <v>Steel Pipe-clean</v>
      </c>
      <c r="K56" s="145"/>
      <c r="L56" s="149" t="str">
        <f>HLOOKUP(L55,PipeE,2)</f>
        <v>Steel Pipe-clean</v>
      </c>
      <c r="M56" s="99"/>
      <c r="N56" s="101"/>
    </row>
    <row r="57" spans="1:14" ht="15.75" outlineLevel="1">
      <c r="A57" s="98"/>
      <c r="B57" s="99"/>
      <c r="C57" s="99"/>
      <c r="D57" s="150" t="s">
        <v>38</v>
      </c>
      <c r="E57" s="99" t="s">
        <v>258</v>
      </c>
      <c r="F57" s="270">
        <f aca="true" t="shared" si="0" ref="F57:L57">HLOOKUP(F55,PipeE,4)</f>
        <v>0.0001640419947506562</v>
      </c>
      <c r="G57" s="270"/>
      <c r="H57" s="270">
        <f t="shared" si="0"/>
        <v>0.0001640419947506562</v>
      </c>
      <c r="I57" s="270"/>
      <c r="J57" s="270">
        <f t="shared" si="0"/>
        <v>0.0001640419947506562</v>
      </c>
      <c r="K57" s="270"/>
      <c r="L57" s="270">
        <f t="shared" si="0"/>
        <v>0.0001640419947506562</v>
      </c>
      <c r="M57" s="99"/>
      <c r="N57" s="101"/>
    </row>
    <row r="58" spans="1:14" ht="12.75" hidden="1" outlineLevel="1">
      <c r="A58" s="98"/>
      <c r="B58" s="99"/>
      <c r="C58" s="99"/>
      <c r="D58" s="117" t="s">
        <v>85</v>
      </c>
      <c r="E58" s="99" t="s">
        <v>5</v>
      </c>
      <c r="F58" s="151">
        <f>VLOOKUP(F53,PipeWT,2)</f>
        <v>50</v>
      </c>
      <c r="G58" s="145"/>
      <c r="H58" s="151">
        <f>VLOOKUP(H53,PipeWT,2)</f>
        <v>25</v>
      </c>
      <c r="I58" s="145"/>
      <c r="J58" s="151">
        <f>VLOOKUP(J53,PipeWT,2)</f>
        <v>80</v>
      </c>
      <c r="K58" s="145"/>
      <c r="L58" s="152">
        <f>VLOOKUP(L53,PipeWT,2)</f>
        <v>100</v>
      </c>
      <c r="M58" s="99"/>
      <c r="N58" s="101"/>
    </row>
    <row r="59" spans="1:14" ht="12.75" hidden="1" outlineLevel="1">
      <c r="A59" s="98"/>
      <c r="B59" s="99"/>
      <c r="C59" s="99"/>
      <c r="D59" s="117" t="s">
        <v>53</v>
      </c>
      <c r="E59" s="99" t="s">
        <v>262</v>
      </c>
      <c r="F59" s="151">
        <f aca="true" t="shared" si="1" ref="F59:L59">(VLOOKUP(F53,PipeWT,3))/25.4</f>
        <v>2.3740157480314963</v>
      </c>
      <c r="G59" s="151"/>
      <c r="H59" s="151">
        <f t="shared" si="1"/>
        <v>1.31496062992126</v>
      </c>
      <c r="I59" s="151"/>
      <c r="J59" s="151">
        <f t="shared" si="1"/>
        <v>3.5000000000000004</v>
      </c>
      <c r="K59" s="151"/>
      <c r="L59" s="151">
        <f t="shared" si="1"/>
        <v>4.5</v>
      </c>
      <c r="M59" s="99"/>
      <c r="N59" s="101"/>
    </row>
    <row r="60" spans="1:14" ht="12.75" hidden="1" outlineLevel="1">
      <c r="A60" s="98"/>
      <c r="B60" s="99"/>
      <c r="C60" s="99"/>
      <c r="D60" s="117" t="s">
        <v>56</v>
      </c>
      <c r="E60" s="99" t="s">
        <v>262</v>
      </c>
      <c r="F60" s="151">
        <f>(VLOOKUP(F53,PipeWT,'PIPE WT TABLE'!B46))/25.4</f>
        <v>0.21811023622047246</v>
      </c>
      <c r="G60" s="151"/>
      <c r="H60" s="151">
        <f>(VLOOKUP(H53,PipeWT,'PIPE WT TABLE'!C46))/25.4</f>
        <v>0.25</v>
      </c>
      <c r="I60" s="151"/>
      <c r="J60" s="151">
        <f>(VLOOKUP(J53,PipeWT,'PIPE WT TABLE'!D46))/25.4</f>
        <v>0.2161417322834646</v>
      </c>
      <c r="K60" s="145"/>
      <c r="L60" s="152">
        <f>(VLOOKUP(L53,PipeWT,'PIPE WT TABLE'!E46))/25.4</f>
        <v>0.23700787401574802</v>
      </c>
      <c r="M60" s="99"/>
      <c r="N60" s="101"/>
    </row>
    <row r="61" spans="1:14" ht="12.75" collapsed="1">
      <c r="A61" s="98"/>
      <c r="B61" s="99"/>
      <c r="C61" s="99"/>
      <c r="D61" s="117" t="s">
        <v>29</v>
      </c>
      <c r="E61" s="99" t="s">
        <v>262</v>
      </c>
      <c r="F61" s="272">
        <f>F59-2*F60</f>
        <v>1.9377952755905514</v>
      </c>
      <c r="G61" s="273"/>
      <c r="H61" s="272">
        <f>H59-2*H60</f>
        <v>0.81496062992126</v>
      </c>
      <c r="I61" s="273"/>
      <c r="J61" s="272">
        <f>J59-2*J60</f>
        <v>3.067716535433071</v>
      </c>
      <c r="K61" s="273"/>
      <c r="L61" s="274">
        <f>L59-2*L60</f>
        <v>4.025984251968504</v>
      </c>
      <c r="M61" s="99"/>
      <c r="N61" s="101"/>
    </row>
    <row r="62" spans="1:14" ht="12" customHeight="1">
      <c r="A62" s="98"/>
      <c r="B62" s="99"/>
      <c r="C62" s="99"/>
      <c r="D62" s="128" t="s">
        <v>28</v>
      </c>
      <c r="E62" s="99" t="s">
        <v>258</v>
      </c>
      <c r="F62" s="146">
        <v>0</v>
      </c>
      <c r="G62" s="145"/>
      <c r="H62" s="146"/>
      <c r="I62" s="145"/>
      <c r="J62" s="146"/>
      <c r="K62" s="145"/>
      <c r="L62" s="147"/>
      <c r="M62" s="99"/>
      <c r="N62" s="101"/>
    </row>
    <row r="63" spans="1:14" ht="12.75">
      <c r="A63" s="98"/>
      <c r="B63" s="99"/>
      <c r="C63" s="99"/>
      <c r="D63" s="117" t="s">
        <v>38</v>
      </c>
      <c r="E63" s="99" t="s">
        <v>264</v>
      </c>
      <c r="F63" s="153">
        <f>$J40/$J36*144*4/PI()/F61^2/3600</f>
        <v>9.094525895296007</v>
      </c>
      <c r="G63" s="153"/>
      <c r="H63" s="153">
        <f>$J40/$J36*144*4/PI()/H61^2/3600</f>
        <v>51.41887751863901</v>
      </c>
      <c r="I63" s="153"/>
      <c r="J63" s="153">
        <f>$J40/$J36*144*4/PI()/J61^2/3600</f>
        <v>3.62881973599944</v>
      </c>
      <c r="K63" s="153"/>
      <c r="L63" s="153">
        <f>$J40/$J36*144*4/PI()/L61^2/3600</f>
        <v>2.1069377566662535</v>
      </c>
      <c r="M63" s="99"/>
      <c r="N63" s="101"/>
    </row>
    <row r="64" spans="1:14" ht="12.75" outlineLevel="1">
      <c r="A64" s="98"/>
      <c r="B64" s="99"/>
      <c r="C64" s="99"/>
      <c r="D64" s="117" t="s">
        <v>23</v>
      </c>
      <c r="E64" s="99"/>
      <c r="F64" s="155">
        <f>123.916*F61*F63*$J36/$J37</f>
        <v>532850.2439558954</v>
      </c>
      <c r="G64" s="155"/>
      <c r="H64" s="155">
        <f>123.916*H61*H63*$J36/$J37</f>
        <v>1266999.4689617963</v>
      </c>
      <c r="I64" s="155"/>
      <c r="J64" s="155">
        <f>123.916*J61*J63*$J36/$J37</f>
        <v>336587.3845932903</v>
      </c>
      <c r="K64" s="155"/>
      <c r="L64" s="155">
        <f>123.916*L61*L63*$J36/$J37</f>
        <v>256472.60910922335</v>
      </c>
      <c r="M64" s="99"/>
      <c r="N64" s="101"/>
    </row>
    <row r="65" spans="1:14" ht="12.75" outlineLevel="1">
      <c r="A65" s="98"/>
      <c r="B65" s="99"/>
      <c r="C65" s="99"/>
      <c r="D65" s="117" t="s">
        <v>39</v>
      </c>
      <c r="E65" s="99"/>
      <c r="F65" s="156">
        <f>MoodyFrictFactor(F64,F57/(F61/12))</f>
        <v>0.02026942511375072</v>
      </c>
      <c r="G65" s="156"/>
      <c r="H65" s="156">
        <f>MoodyFrictFactor(H64,H57/(H61/12))</f>
        <v>0.02477026870400126</v>
      </c>
      <c r="I65" s="156"/>
      <c r="J65" s="156">
        <f>MoodyFrictFactor(J64,J57/(J61/12))</f>
        <v>0.01884225573195505</v>
      </c>
      <c r="K65" s="156"/>
      <c r="L65" s="156">
        <f>MoodyFrictFactor(L64,L57/(L61/12))</f>
        <v>0.018364678571516996</v>
      </c>
      <c r="M65" s="99"/>
      <c r="N65" s="101"/>
    </row>
    <row r="66" spans="1:14" ht="15.75" outlineLevel="1">
      <c r="A66" s="98"/>
      <c r="B66" s="99"/>
      <c r="C66" s="99"/>
      <c r="D66" s="117" t="s">
        <v>165</v>
      </c>
      <c r="E66" s="99"/>
      <c r="F66" s="156">
        <f>MoodyFrictFactor(100000000,F57/(F61/12))</f>
        <v>0.01971396367550566</v>
      </c>
      <c r="G66" s="156"/>
      <c r="H66" s="156">
        <f>MoodyFrictFactor(100000000,H57/(H61/12))</f>
        <v>0.024643082698508827</v>
      </c>
      <c r="I66" s="156"/>
      <c r="J66" s="156">
        <f>MoodyFrictFactor(100000000,J57/(J61/12))</f>
        <v>0.017679501951500254</v>
      </c>
      <c r="K66" s="156"/>
      <c r="L66" s="156">
        <f>MoodyFrictFactor(100000000,L57/(L61/12))</f>
        <v>0.016621018139481473</v>
      </c>
      <c r="M66" s="99"/>
      <c r="N66" s="101"/>
    </row>
    <row r="67" spans="1:14" ht="12.75" collapsed="1">
      <c r="A67" s="98"/>
      <c r="B67" s="99"/>
      <c r="C67" s="99"/>
      <c r="D67" s="117" t="s">
        <v>30</v>
      </c>
      <c r="E67" s="99"/>
      <c r="F67" s="157">
        <f>F65*F62/(F61/12)</f>
        <v>0</v>
      </c>
      <c r="G67" s="157"/>
      <c r="H67" s="157">
        <f>H65*H62/(H61/12)</f>
        <v>0</v>
      </c>
      <c r="I67" s="157"/>
      <c r="J67" s="157">
        <f>J65*J62/(J61/12)</f>
        <v>0</v>
      </c>
      <c r="K67" s="157"/>
      <c r="L67" s="157">
        <f>L65*L62/(L61/12)</f>
        <v>0</v>
      </c>
      <c r="M67" s="99"/>
      <c r="N67" s="101"/>
    </row>
    <row r="68" spans="1:14" ht="12.75">
      <c r="A68" s="98"/>
      <c r="B68" s="99"/>
      <c r="C68" s="99"/>
      <c r="D68" s="117" t="s">
        <v>89</v>
      </c>
      <c r="E68" s="99" t="s">
        <v>258</v>
      </c>
      <c r="F68" s="153">
        <f>F67*(F61/12)/F65</f>
        <v>0</v>
      </c>
      <c r="G68" s="153" t="e">
        <f aca="true" t="shared" si="2" ref="G68:L68">G67*(G61/12)/G65</f>
        <v>#DIV/0!</v>
      </c>
      <c r="H68" s="153">
        <f t="shared" si="2"/>
        <v>0</v>
      </c>
      <c r="I68" s="153" t="e">
        <f t="shared" si="2"/>
        <v>#DIV/0!</v>
      </c>
      <c r="J68" s="153">
        <f t="shared" si="2"/>
        <v>0</v>
      </c>
      <c r="K68" s="153" t="e">
        <f t="shared" si="2"/>
        <v>#DIV/0!</v>
      </c>
      <c r="L68" s="153">
        <f t="shared" si="2"/>
        <v>0</v>
      </c>
      <c r="M68" s="99"/>
      <c r="N68" s="101"/>
    </row>
    <row r="69" spans="1:14" ht="12.75">
      <c r="A69" s="98"/>
      <c r="B69" s="99"/>
      <c r="C69" s="99"/>
      <c r="D69" s="117" t="s">
        <v>45</v>
      </c>
      <c r="E69" s="99" t="s">
        <v>259</v>
      </c>
      <c r="F69" s="153">
        <f>-F67*F63^2/2/32.2*$J36/144</f>
        <v>0</v>
      </c>
      <c r="G69" s="153"/>
      <c r="H69" s="153">
        <f>-H67*H63^2/2/32.2*$J36/144</f>
        <v>0</v>
      </c>
      <c r="I69" s="153"/>
      <c r="J69" s="153">
        <f>-J67*J63^2/2/32.2*$J36/144</f>
        <v>0</v>
      </c>
      <c r="K69" s="153"/>
      <c r="L69" s="153">
        <f>-L67*L63^2/2/32.2*$J36/144</f>
        <v>0</v>
      </c>
      <c r="M69" s="99"/>
      <c r="N69" s="101"/>
    </row>
    <row r="70" spans="1:14" ht="12.75">
      <c r="A70" s="98"/>
      <c r="B70" s="99"/>
      <c r="C70" s="99"/>
      <c r="D70" s="117" t="s">
        <v>270</v>
      </c>
      <c r="E70" s="99" t="s">
        <v>259</v>
      </c>
      <c r="F70" s="153" t="e">
        <f>F69/F62*100</f>
        <v>#DIV/0!</v>
      </c>
      <c r="G70" s="145"/>
      <c r="H70" s="153" t="e">
        <f>H69/H62*100</f>
        <v>#DIV/0!</v>
      </c>
      <c r="I70" s="145"/>
      <c r="J70" s="153" t="e">
        <f>J69/J62*100</f>
        <v>#DIV/0!</v>
      </c>
      <c r="K70" s="145"/>
      <c r="L70" s="154" t="e">
        <f>L69/L62*100</f>
        <v>#DIV/0!</v>
      </c>
      <c r="M70" s="99"/>
      <c r="N70" s="101"/>
    </row>
    <row r="71" spans="1:14" ht="12.75">
      <c r="A71" s="98"/>
      <c r="B71" s="99"/>
      <c r="C71" s="99"/>
      <c r="D71" s="117" t="s">
        <v>87</v>
      </c>
      <c r="E71" s="99"/>
      <c r="F71" s="157">
        <f>F67*($D$40/F61)^4</f>
        <v>0</v>
      </c>
      <c r="G71" s="145"/>
      <c r="H71" s="157">
        <f>H67*($D$40/H61)^4</f>
        <v>0</v>
      </c>
      <c r="I71" s="145"/>
      <c r="J71" s="157">
        <f>J67*($D$40/J61)^4</f>
        <v>0</v>
      </c>
      <c r="K71" s="145"/>
      <c r="L71" s="158">
        <f>L67*($D$40/L61)^4</f>
        <v>0</v>
      </c>
      <c r="M71" s="99"/>
      <c r="N71" s="101"/>
    </row>
    <row r="72" spans="1:14" ht="12.75">
      <c r="A72" s="98"/>
      <c r="B72" s="99"/>
      <c r="C72" s="99"/>
      <c r="D72" s="159" t="s">
        <v>88</v>
      </c>
      <c r="E72" s="120" t="s">
        <v>258</v>
      </c>
      <c r="F72" s="160">
        <f>F71*F61/12/F65</f>
        <v>0</v>
      </c>
      <c r="G72" s="160"/>
      <c r="H72" s="160">
        <f>H71*H61/12/H65</f>
        <v>0</v>
      </c>
      <c r="I72" s="160"/>
      <c r="J72" s="160">
        <f>J71*J61/12/J65</f>
        <v>0</v>
      </c>
      <c r="K72" s="160"/>
      <c r="L72" s="160">
        <f>L71*L61/12/L65</f>
        <v>0</v>
      </c>
      <c r="M72" s="99"/>
      <c r="N72" s="101"/>
    </row>
    <row r="73" spans="1:14" ht="13.5" thickBot="1">
      <c r="A73" s="161"/>
      <c r="B73" s="162"/>
      <c r="C73" s="162"/>
      <c r="D73" s="162"/>
      <c r="E73" s="162"/>
      <c r="F73" s="162"/>
      <c r="G73" s="162"/>
      <c r="H73" s="162"/>
      <c r="I73" s="162"/>
      <c r="J73" s="162"/>
      <c r="K73" s="162"/>
      <c r="L73" s="162"/>
      <c r="M73" s="162"/>
      <c r="N73" s="163"/>
    </row>
    <row r="74" spans="1:14" ht="15.75">
      <c r="A74" s="164"/>
      <c r="B74" s="165" t="s">
        <v>144</v>
      </c>
      <c r="C74" s="166"/>
      <c r="D74" s="166"/>
      <c r="E74" s="165" t="s">
        <v>4</v>
      </c>
      <c r="F74" s="167">
        <f>F53</f>
        <v>2</v>
      </c>
      <c r="G74" s="168" t="s">
        <v>165</v>
      </c>
      <c r="H74" s="167">
        <f>H53</f>
        <v>1</v>
      </c>
      <c r="I74" s="168" t="s">
        <v>165</v>
      </c>
      <c r="J74" s="167">
        <f>J53</f>
        <v>3</v>
      </c>
      <c r="K74" s="168" t="s">
        <v>165</v>
      </c>
      <c r="L74" s="167">
        <f>L53</f>
        <v>4</v>
      </c>
      <c r="M74" s="168" t="s">
        <v>165</v>
      </c>
      <c r="N74" s="169"/>
    </row>
    <row r="75" spans="1:14" ht="15.75" outlineLevel="1">
      <c r="A75" s="98"/>
      <c r="B75" s="99" t="s">
        <v>152</v>
      </c>
      <c r="C75" s="99"/>
      <c r="D75" s="99"/>
      <c r="E75" s="170" t="s">
        <v>167</v>
      </c>
      <c r="F75" s="271">
        <f>F61</f>
        <v>1.9377952755905514</v>
      </c>
      <c r="G75" s="271">
        <f>F66</f>
        <v>0.01971396367550566</v>
      </c>
      <c r="H75" s="271">
        <f>H61</f>
        <v>0.81496062992126</v>
      </c>
      <c r="I75" s="271">
        <f>H66</f>
        <v>0.024643082698508827</v>
      </c>
      <c r="J75" s="271">
        <f>J61</f>
        <v>3.067716535433071</v>
      </c>
      <c r="K75" s="271">
        <f>J66</f>
        <v>0.017679501951500254</v>
      </c>
      <c r="L75" s="271">
        <f>L61</f>
        <v>4.025984251968504</v>
      </c>
      <c r="M75" s="133">
        <f>L66</f>
        <v>0.016621018139481473</v>
      </c>
      <c r="N75" s="101"/>
    </row>
    <row r="76" spans="1:14" ht="12.75" collapsed="1">
      <c r="A76" s="98"/>
      <c r="B76" s="171" t="s">
        <v>92</v>
      </c>
      <c r="C76" s="172">
        <v>90</v>
      </c>
      <c r="D76" s="173">
        <v>1</v>
      </c>
      <c r="E76" s="174">
        <v>20</v>
      </c>
      <c r="F76" s="175"/>
      <c r="G76" s="174">
        <f aca="true" t="shared" si="3" ref="G76:G100">F76*G$75*$E76</f>
        <v>0</v>
      </c>
      <c r="H76" s="175"/>
      <c r="I76" s="174">
        <f aca="true" t="shared" si="4" ref="I76:I101">H76*I$75*$E76</f>
        <v>0</v>
      </c>
      <c r="J76" s="175"/>
      <c r="K76" s="174">
        <f aca="true" t="shared" si="5" ref="K76:K101">J76*K$75*$E76</f>
        <v>0</v>
      </c>
      <c r="L76" s="176"/>
      <c r="M76" s="177">
        <f aca="true" t="shared" si="6" ref="M76:M101">L76*M$75*$E76</f>
        <v>0</v>
      </c>
      <c r="N76" s="101"/>
    </row>
    <row r="77" spans="1:14" ht="12.75">
      <c r="A77" s="98"/>
      <c r="B77" s="178"/>
      <c r="C77" s="99"/>
      <c r="D77" s="179">
        <v>1.5</v>
      </c>
      <c r="E77" s="104">
        <v>14</v>
      </c>
      <c r="F77" s="180"/>
      <c r="G77" s="104">
        <f t="shared" si="3"/>
        <v>0</v>
      </c>
      <c r="H77" s="180"/>
      <c r="I77" s="104">
        <f t="shared" si="4"/>
        <v>0</v>
      </c>
      <c r="J77" s="180"/>
      <c r="K77" s="104">
        <f t="shared" si="5"/>
        <v>0</v>
      </c>
      <c r="L77" s="181"/>
      <c r="M77" s="182">
        <f t="shared" si="6"/>
        <v>0</v>
      </c>
      <c r="N77" s="101"/>
    </row>
    <row r="78" spans="1:14" ht="12.75">
      <c r="A78" s="98"/>
      <c r="B78" s="178"/>
      <c r="C78" s="99"/>
      <c r="D78" s="183">
        <v>2</v>
      </c>
      <c r="E78" s="104">
        <v>12</v>
      </c>
      <c r="F78" s="180"/>
      <c r="G78" s="104">
        <f t="shared" si="3"/>
        <v>0</v>
      </c>
      <c r="H78" s="180"/>
      <c r="I78" s="104">
        <f t="shared" si="4"/>
        <v>0</v>
      </c>
      <c r="J78" s="180"/>
      <c r="K78" s="104">
        <f t="shared" si="5"/>
        <v>0</v>
      </c>
      <c r="L78" s="181"/>
      <c r="M78" s="182">
        <f t="shared" si="6"/>
        <v>0</v>
      </c>
      <c r="N78" s="101"/>
    </row>
    <row r="79" spans="1:14" ht="12.75">
      <c r="A79" s="98"/>
      <c r="B79" s="178"/>
      <c r="C79" s="99"/>
      <c r="D79" s="183">
        <v>3</v>
      </c>
      <c r="E79" s="104">
        <v>12</v>
      </c>
      <c r="F79" s="180"/>
      <c r="G79" s="104">
        <f t="shared" si="3"/>
        <v>0</v>
      </c>
      <c r="H79" s="180"/>
      <c r="I79" s="104">
        <f t="shared" si="4"/>
        <v>0</v>
      </c>
      <c r="J79" s="180"/>
      <c r="K79" s="104">
        <f t="shared" si="5"/>
        <v>0</v>
      </c>
      <c r="L79" s="181"/>
      <c r="M79" s="182">
        <f t="shared" si="6"/>
        <v>0</v>
      </c>
      <c r="N79" s="101"/>
    </row>
    <row r="80" spans="1:14" ht="12.75">
      <c r="A80" s="98"/>
      <c r="B80" s="178"/>
      <c r="C80" s="99"/>
      <c r="D80" s="183">
        <v>4</v>
      </c>
      <c r="E80" s="104">
        <v>14</v>
      </c>
      <c r="F80" s="180"/>
      <c r="G80" s="104">
        <f t="shared" si="3"/>
        <v>0</v>
      </c>
      <c r="H80" s="180"/>
      <c r="I80" s="104">
        <f t="shared" si="4"/>
        <v>0</v>
      </c>
      <c r="J80" s="180"/>
      <c r="K80" s="104">
        <f t="shared" si="5"/>
        <v>0</v>
      </c>
      <c r="L80" s="181"/>
      <c r="M80" s="182">
        <f t="shared" si="6"/>
        <v>0</v>
      </c>
      <c r="N80" s="101"/>
    </row>
    <row r="81" spans="1:14" ht="12.75">
      <c r="A81" s="98"/>
      <c r="B81" s="178"/>
      <c r="C81" s="99"/>
      <c r="D81" s="183">
        <v>6</v>
      </c>
      <c r="E81" s="104">
        <v>17</v>
      </c>
      <c r="F81" s="180"/>
      <c r="G81" s="104">
        <f t="shared" si="3"/>
        <v>0</v>
      </c>
      <c r="H81" s="180"/>
      <c r="I81" s="104">
        <f t="shared" si="4"/>
        <v>0</v>
      </c>
      <c r="J81" s="180"/>
      <c r="K81" s="104">
        <f t="shared" si="5"/>
        <v>0</v>
      </c>
      <c r="L81" s="181"/>
      <c r="M81" s="182">
        <f t="shared" si="6"/>
        <v>0</v>
      </c>
      <c r="N81" s="101"/>
    </row>
    <row r="82" spans="1:14" ht="12.75">
      <c r="A82" s="98"/>
      <c r="B82" s="178"/>
      <c r="C82" s="99"/>
      <c r="D82" s="183">
        <v>8</v>
      </c>
      <c r="E82" s="104">
        <v>24</v>
      </c>
      <c r="F82" s="180"/>
      <c r="G82" s="104">
        <f t="shared" si="3"/>
        <v>0</v>
      </c>
      <c r="H82" s="180"/>
      <c r="I82" s="104">
        <f t="shared" si="4"/>
        <v>0</v>
      </c>
      <c r="J82" s="180"/>
      <c r="K82" s="104">
        <f t="shared" si="5"/>
        <v>0</v>
      </c>
      <c r="L82" s="181"/>
      <c r="M82" s="182">
        <f t="shared" si="6"/>
        <v>0</v>
      </c>
      <c r="N82" s="101"/>
    </row>
    <row r="83" spans="1:14" ht="12.75">
      <c r="A83" s="98"/>
      <c r="B83" s="178"/>
      <c r="C83" s="99"/>
      <c r="D83" s="183">
        <v>10</v>
      </c>
      <c r="E83" s="104">
        <v>30</v>
      </c>
      <c r="F83" s="180"/>
      <c r="G83" s="104">
        <f t="shared" si="3"/>
        <v>0</v>
      </c>
      <c r="H83" s="180"/>
      <c r="I83" s="104">
        <f t="shared" si="4"/>
        <v>0</v>
      </c>
      <c r="J83" s="180"/>
      <c r="K83" s="104">
        <f t="shared" si="5"/>
        <v>0</v>
      </c>
      <c r="L83" s="181"/>
      <c r="M83" s="182">
        <f t="shared" si="6"/>
        <v>0</v>
      </c>
      <c r="N83" s="101"/>
    </row>
    <row r="84" spans="1:14" ht="12.75">
      <c r="A84" s="98"/>
      <c r="B84" s="178"/>
      <c r="C84" s="99"/>
      <c r="D84" s="183">
        <v>12</v>
      </c>
      <c r="E84" s="104">
        <v>34</v>
      </c>
      <c r="F84" s="180"/>
      <c r="G84" s="104">
        <f t="shared" si="3"/>
        <v>0</v>
      </c>
      <c r="H84" s="180"/>
      <c r="I84" s="104">
        <f t="shared" si="4"/>
        <v>0</v>
      </c>
      <c r="J84" s="180"/>
      <c r="K84" s="104">
        <f t="shared" si="5"/>
        <v>0</v>
      </c>
      <c r="L84" s="181"/>
      <c r="M84" s="182">
        <f t="shared" si="6"/>
        <v>0</v>
      </c>
      <c r="N84" s="101"/>
    </row>
    <row r="85" spans="1:14" ht="12.75">
      <c r="A85" s="98"/>
      <c r="B85" s="178"/>
      <c r="C85" s="99"/>
      <c r="D85" s="183">
        <v>14</v>
      </c>
      <c r="E85" s="104">
        <v>38</v>
      </c>
      <c r="F85" s="180"/>
      <c r="G85" s="104">
        <f t="shared" si="3"/>
        <v>0</v>
      </c>
      <c r="H85" s="180"/>
      <c r="I85" s="104">
        <f t="shared" si="4"/>
        <v>0</v>
      </c>
      <c r="J85" s="180"/>
      <c r="K85" s="104">
        <f t="shared" si="5"/>
        <v>0</v>
      </c>
      <c r="L85" s="181"/>
      <c r="M85" s="182">
        <f t="shared" si="6"/>
        <v>0</v>
      </c>
      <c r="N85" s="101"/>
    </row>
    <row r="86" spans="1:14" ht="12.75">
      <c r="A86" s="98"/>
      <c r="B86" s="178"/>
      <c r="C86" s="99"/>
      <c r="D86" s="183">
        <v>16</v>
      </c>
      <c r="E86" s="104">
        <v>42</v>
      </c>
      <c r="F86" s="180"/>
      <c r="G86" s="104">
        <f t="shared" si="3"/>
        <v>0</v>
      </c>
      <c r="H86" s="180"/>
      <c r="I86" s="104">
        <f t="shared" si="4"/>
        <v>0</v>
      </c>
      <c r="J86" s="180"/>
      <c r="K86" s="104">
        <f t="shared" si="5"/>
        <v>0</v>
      </c>
      <c r="L86" s="181"/>
      <c r="M86" s="182">
        <f t="shared" si="6"/>
        <v>0</v>
      </c>
      <c r="N86" s="101"/>
    </row>
    <row r="87" spans="1:14" ht="12.75">
      <c r="A87" s="98"/>
      <c r="B87" s="178"/>
      <c r="C87" s="99"/>
      <c r="D87" s="183">
        <v>20</v>
      </c>
      <c r="E87" s="104">
        <v>50</v>
      </c>
      <c r="F87" s="180"/>
      <c r="G87" s="104">
        <f t="shared" si="3"/>
        <v>0</v>
      </c>
      <c r="H87" s="180"/>
      <c r="I87" s="104">
        <f t="shared" si="4"/>
        <v>0</v>
      </c>
      <c r="J87" s="180"/>
      <c r="K87" s="104">
        <f t="shared" si="5"/>
        <v>0</v>
      </c>
      <c r="L87" s="181"/>
      <c r="M87" s="182">
        <f t="shared" si="6"/>
        <v>0</v>
      </c>
      <c r="N87" s="101"/>
    </row>
    <row r="88" spans="1:14" ht="12.75">
      <c r="A88" s="98"/>
      <c r="B88" s="178"/>
      <c r="C88" s="184">
        <v>45</v>
      </c>
      <c r="D88" s="99" t="s">
        <v>90</v>
      </c>
      <c r="E88" s="104">
        <v>15</v>
      </c>
      <c r="F88" s="180"/>
      <c r="G88" s="104">
        <f t="shared" si="3"/>
        <v>0</v>
      </c>
      <c r="H88" s="180"/>
      <c r="I88" s="104">
        <f t="shared" si="4"/>
        <v>0</v>
      </c>
      <c r="J88" s="180"/>
      <c r="K88" s="104">
        <f t="shared" si="5"/>
        <v>0</v>
      </c>
      <c r="L88" s="181"/>
      <c r="M88" s="182">
        <f t="shared" si="6"/>
        <v>0</v>
      </c>
      <c r="N88" s="101"/>
    </row>
    <row r="89" spans="1:14" ht="12.75">
      <c r="A89" s="98"/>
      <c r="B89" s="178"/>
      <c r="C89" s="99"/>
      <c r="D89" s="99" t="s">
        <v>91</v>
      </c>
      <c r="E89" s="104">
        <v>10</v>
      </c>
      <c r="F89" s="180"/>
      <c r="G89" s="104">
        <f t="shared" si="3"/>
        <v>0</v>
      </c>
      <c r="H89" s="180"/>
      <c r="I89" s="104">
        <f t="shared" si="4"/>
        <v>0</v>
      </c>
      <c r="J89" s="180"/>
      <c r="K89" s="104">
        <f t="shared" si="5"/>
        <v>0</v>
      </c>
      <c r="L89" s="181"/>
      <c r="M89" s="182">
        <f t="shared" si="6"/>
        <v>0</v>
      </c>
      <c r="N89" s="101"/>
    </row>
    <row r="90" spans="1:14" ht="12.75">
      <c r="A90" s="98"/>
      <c r="B90" s="178"/>
      <c r="C90" s="184">
        <v>180</v>
      </c>
      <c r="D90" s="99" t="s">
        <v>90</v>
      </c>
      <c r="E90" s="104">
        <v>30</v>
      </c>
      <c r="F90" s="180"/>
      <c r="G90" s="104">
        <f t="shared" si="3"/>
        <v>0</v>
      </c>
      <c r="H90" s="180"/>
      <c r="I90" s="104">
        <f t="shared" si="4"/>
        <v>0</v>
      </c>
      <c r="J90" s="180"/>
      <c r="K90" s="104">
        <f t="shared" si="5"/>
        <v>0</v>
      </c>
      <c r="L90" s="181"/>
      <c r="M90" s="182">
        <f t="shared" si="6"/>
        <v>0</v>
      </c>
      <c r="N90" s="101"/>
    </row>
    <row r="91" spans="1:14" ht="12.75">
      <c r="A91" s="98"/>
      <c r="B91" s="178"/>
      <c r="C91" s="99"/>
      <c r="D91" s="99" t="s">
        <v>91</v>
      </c>
      <c r="E91" s="104">
        <v>22</v>
      </c>
      <c r="F91" s="180"/>
      <c r="G91" s="104">
        <f t="shared" si="3"/>
        <v>0</v>
      </c>
      <c r="H91" s="180"/>
      <c r="I91" s="104">
        <f t="shared" si="4"/>
        <v>0</v>
      </c>
      <c r="J91" s="180"/>
      <c r="K91" s="104">
        <f t="shared" si="5"/>
        <v>0</v>
      </c>
      <c r="L91" s="181"/>
      <c r="M91" s="182">
        <f t="shared" si="6"/>
        <v>0</v>
      </c>
      <c r="N91" s="101"/>
    </row>
    <row r="92" spans="1:14" ht="12.75">
      <c r="A92" s="98"/>
      <c r="B92" s="185" t="s">
        <v>108</v>
      </c>
      <c r="C92" s="186">
        <v>180</v>
      </c>
      <c r="D92" s="187">
        <v>4</v>
      </c>
      <c r="E92" s="129">
        <f>(C92/90-1)*(0.25*PI()*D92+0.5*VLOOKUP(D92,D76:E87,2))+VLOOKUP(D92,D76:E87,2)</f>
        <v>24.141592653589793</v>
      </c>
      <c r="F92" s="180"/>
      <c r="G92" s="104">
        <f t="shared" si="3"/>
        <v>0</v>
      </c>
      <c r="H92" s="180"/>
      <c r="I92" s="104">
        <f t="shared" si="4"/>
        <v>0</v>
      </c>
      <c r="J92" s="180"/>
      <c r="K92" s="104">
        <f t="shared" si="5"/>
        <v>0</v>
      </c>
      <c r="L92" s="181"/>
      <c r="M92" s="182">
        <f t="shared" si="6"/>
        <v>0</v>
      </c>
      <c r="N92" s="101"/>
    </row>
    <row r="93" spans="1:14" ht="12.75">
      <c r="A93" s="98"/>
      <c r="B93" s="188" t="s">
        <v>101</v>
      </c>
      <c r="C93" s="189" t="s">
        <v>19</v>
      </c>
      <c r="D93" s="172">
        <v>0</v>
      </c>
      <c r="E93" s="174">
        <v>2</v>
      </c>
      <c r="F93" s="175"/>
      <c r="G93" s="174">
        <f t="shared" si="3"/>
        <v>0</v>
      </c>
      <c r="H93" s="175"/>
      <c r="I93" s="174">
        <f t="shared" si="4"/>
        <v>0</v>
      </c>
      <c r="J93" s="175"/>
      <c r="K93" s="174">
        <f t="shared" si="5"/>
        <v>0</v>
      </c>
      <c r="L93" s="176"/>
      <c r="M93" s="177">
        <f t="shared" si="6"/>
        <v>0</v>
      </c>
      <c r="N93" s="101"/>
    </row>
    <row r="94" spans="1:14" ht="12.75">
      <c r="A94" s="98"/>
      <c r="B94" s="178"/>
      <c r="C94" s="99"/>
      <c r="D94" s="184">
        <v>15</v>
      </c>
      <c r="E94" s="104">
        <v>4</v>
      </c>
      <c r="F94" s="180"/>
      <c r="G94" s="104">
        <f t="shared" si="3"/>
        <v>0</v>
      </c>
      <c r="H94" s="180"/>
      <c r="I94" s="104">
        <f t="shared" si="4"/>
        <v>0</v>
      </c>
      <c r="J94" s="180"/>
      <c r="K94" s="104">
        <f t="shared" si="5"/>
        <v>0</v>
      </c>
      <c r="L94" s="181"/>
      <c r="M94" s="182">
        <f t="shared" si="6"/>
        <v>0</v>
      </c>
      <c r="N94" s="101"/>
    </row>
    <row r="95" spans="1:14" ht="12.75">
      <c r="A95" s="98"/>
      <c r="B95" s="178"/>
      <c r="C95" s="99"/>
      <c r="D95" s="184">
        <v>30</v>
      </c>
      <c r="E95" s="104">
        <v>8</v>
      </c>
      <c r="F95" s="180"/>
      <c r="G95" s="104">
        <f t="shared" si="3"/>
        <v>0</v>
      </c>
      <c r="H95" s="180"/>
      <c r="I95" s="104">
        <f t="shared" si="4"/>
        <v>0</v>
      </c>
      <c r="J95" s="180"/>
      <c r="K95" s="104">
        <f t="shared" si="5"/>
        <v>0</v>
      </c>
      <c r="L95" s="181"/>
      <c r="M95" s="182">
        <f t="shared" si="6"/>
        <v>0</v>
      </c>
      <c r="N95" s="101"/>
    </row>
    <row r="96" spans="1:14" ht="12.75">
      <c r="A96" s="98"/>
      <c r="B96" s="178"/>
      <c r="C96" s="99"/>
      <c r="D96" s="184">
        <v>45</v>
      </c>
      <c r="E96" s="104">
        <v>15</v>
      </c>
      <c r="F96" s="180"/>
      <c r="G96" s="104">
        <f t="shared" si="3"/>
        <v>0</v>
      </c>
      <c r="H96" s="180"/>
      <c r="I96" s="104">
        <f t="shared" si="4"/>
        <v>0</v>
      </c>
      <c r="J96" s="180"/>
      <c r="K96" s="104">
        <f t="shared" si="5"/>
        <v>0</v>
      </c>
      <c r="L96" s="181"/>
      <c r="M96" s="182">
        <f t="shared" si="6"/>
        <v>0</v>
      </c>
      <c r="N96" s="101"/>
    </row>
    <row r="97" spans="1:14" ht="12.75">
      <c r="A97" s="98"/>
      <c r="B97" s="178"/>
      <c r="C97" s="99"/>
      <c r="D97" s="184">
        <v>60</v>
      </c>
      <c r="E97" s="104">
        <v>25</v>
      </c>
      <c r="F97" s="180"/>
      <c r="G97" s="104">
        <f t="shared" si="3"/>
        <v>0</v>
      </c>
      <c r="H97" s="180"/>
      <c r="I97" s="104">
        <f t="shared" si="4"/>
        <v>0</v>
      </c>
      <c r="J97" s="180"/>
      <c r="K97" s="104">
        <f t="shared" si="5"/>
        <v>0</v>
      </c>
      <c r="L97" s="181"/>
      <c r="M97" s="182">
        <f t="shared" si="6"/>
        <v>0</v>
      </c>
      <c r="N97" s="101"/>
    </row>
    <row r="98" spans="1:14" ht="12.75">
      <c r="A98" s="98"/>
      <c r="B98" s="178"/>
      <c r="C98" s="99"/>
      <c r="D98" s="184">
        <v>75</v>
      </c>
      <c r="E98" s="104">
        <v>40</v>
      </c>
      <c r="F98" s="180"/>
      <c r="G98" s="104">
        <f t="shared" si="3"/>
        <v>0</v>
      </c>
      <c r="H98" s="180"/>
      <c r="I98" s="104">
        <f t="shared" si="4"/>
        <v>0</v>
      </c>
      <c r="J98" s="180"/>
      <c r="K98" s="104">
        <f t="shared" si="5"/>
        <v>0</v>
      </c>
      <c r="L98" s="181"/>
      <c r="M98" s="182">
        <f t="shared" si="6"/>
        <v>0</v>
      </c>
      <c r="N98" s="101"/>
    </row>
    <row r="99" spans="1:14" ht="12.75">
      <c r="A99" s="98"/>
      <c r="B99" s="190"/>
      <c r="C99" s="191"/>
      <c r="D99" s="192">
        <v>90</v>
      </c>
      <c r="E99" s="193">
        <v>60</v>
      </c>
      <c r="F99" s="194"/>
      <c r="G99" s="193">
        <f t="shared" si="3"/>
        <v>0</v>
      </c>
      <c r="H99" s="194"/>
      <c r="I99" s="193">
        <f t="shared" si="4"/>
        <v>0</v>
      </c>
      <c r="J99" s="194"/>
      <c r="K99" s="193">
        <f t="shared" si="5"/>
        <v>0</v>
      </c>
      <c r="L99" s="195"/>
      <c r="M99" s="196">
        <f t="shared" si="6"/>
        <v>0</v>
      </c>
      <c r="N99" s="101"/>
    </row>
    <row r="100" spans="1:14" ht="12.75">
      <c r="A100" s="98"/>
      <c r="B100" s="188" t="s">
        <v>93</v>
      </c>
      <c r="C100" s="189" t="s">
        <v>94</v>
      </c>
      <c r="D100" s="189"/>
      <c r="E100" s="174">
        <v>7.5</v>
      </c>
      <c r="F100" s="175"/>
      <c r="G100" s="174">
        <f t="shared" si="3"/>
        <v>0</v>
      </c>
      <c r="H100" s="175"/>
      <c r="I100" s="174">
        <f t="shared" si="4"/>
        <v>0</v>
      </c>
      <c r="J100" s="175"/>
      <c r="K100" s="174">
        <f t="shared" si="5"/>
        <v>0</v>
      </c>
      <c r="L100" s="176"/>
      <c r="M100" s="177">
        <f t="shared" si="6"/>
        <v>0</v>
      </c>
      <c r="N100" s="101"/>
    </row>
    <row r="101" spans="1:14" ht="12.75">
      <c r="A101" s="98"/>
      <c r="B101" s="190"/>
      <c r="C101" s="191" t="s">
        <v>95</v>
      </c>
      <c r="D101" s="191"/>
      <c r="E101" s="193">
        <v>35</v>
      </c>
      <c r="F101" s="194"/>
      <c r="G101" s="193"/>
      <c r="H101" s="194"/>
      <c r="I101" s="193">
        <f t="shared" si="4"/>
        <v>0</v>
      </c>
      <c r="J101" s="194"/>
      <c r="K101" s="193">
        <f t="shared" si="5"/>
        <v>0</v>
      </c>
      <c r="L101" s="195"/>
      <c r="M101" s="196">
        <f t="shared" si="6"/>
        <v>0</v>
      </c>
      <c r="N101" s="101"/>
    </row>
    <row r="102" spans="1:14" ht="12.75">
      <c r="A102" s="98"/>
      <c r="B102" s="188" t="s">
        <v>96</v>
      </c>
      <c r="C102" s="189" t="s">
        <v>8</v>
      </c>
      <c r="D102" s="189"/>
      <c r="E102" s="174">
        <v>0.78</v>
      </c>
      <c r="F102" s="175"/>
      <c r="G102" s="174"/>
      <c r="H102" s="175"/>
      <c r="I102" s="174">
        <f aca="true" t="shared" si="7" ref="I102:I107">H102*$E102</f>
        <v>0</v>
      </c>
      <c r="J102" s="175"/>
      <c r="K102" s="174">
        <f aca="true" t="shared" si="8" ref="K102:K107">J102*$E102</f>
        <v>0</v>
      </c>
      <c r="L102" s="176"/>
      <c r="M102" s="177">
        <f aca="true" t="shared" si="9" ref="M102:M107">L102*$E102</f>
        <v>0</v>
      </c>
      <c r="N102" s="101"/>
    </row>
    <row r="103" spans="1:14" ht="12.75">
      <c r="A103" s="98"/>
      <c r="B103" s="178"/>
      <c r="C103" s="99" t="s">
        <v>7</v>
      </c>
      <c r="D103" s="99" t="s">
        <v>6</v>
      </c>
      <c r="E103" s="104">
        <v>0.5</v>
      </c>
      <c r="F103" s="180"/>
      <c r="G103" s="104"/>
      <c r="H103" s="180"/>
      <c r="I103" s="104">
        <f t="shared" si="7"/>
        <v>0</v>
      </c>
      <c r="J103" s="180"/>
      <c r="K103" s="104">
        <f t="shared" si="8"/>
        <v>0</v>
      </c>
      <c r="L103" s="181"/>
      <c r="M103" s="182">
        <f t="shared" si="9"/>
        <v>0</v>
      </c>
      <c r="N103" s="101"/>
    </row>
    <row r="104" spans="1:14" ht="12.75">
      <c r="A104" s="98"/>
      <c r="B104" s="190"/>
      <c r="C104" s="191"/>
      <c r="D104" s="197" t="s">
        <v>97</v>
      </c>
      <c r="E104" s="193">
        <v>0.09</v>
      </c>
      <c r="F104" s="194"/>
      <c r="G104" s="193"/>
      <c r="H104" s="194"/>
      <c r="I104" s="193">
        <f t="shared" si="7"/>
        <v>0</v>
      </c>
      <c r="J104" s="194"/>
      <c r="K104" s="193">
        <f t="shared" si="8"/>
        <v>0</v>
      </c>
      <c r="L104" s="195"/>
      <c r="M104" s="196">
        <f t="shared" si="9"/>
        <v>0</v>
      </c>
      <c r="N104" s="101"/>
    </row>
    <row r="105" spans="1:14" ht="12.75">
      <c r="A105" s="98"/>
      <c r="B105" s="188" t="s">
        <v>98</v>
      </c>
      <c r="C105" s="189" t="s">
        <v>8</v>
      </c>
      <c r="D105" s="189"/>
      <c r="E105" s="174">
        <v>1</v>
      </c>
      <c r="F105" s="175"/>
      <c r="G105" s="174"/>
      <c r="H105" s="175"/>
      <c r="I105" s="174">
        <f t="shared" si="7"/>
        <v>0</v>
      </c>
      <c r="J105" s="175"/>
      <c r="K105" s="174">
        <f t="shared" si="8"/>
        <v>0</v>
      </c>
      <c r="L105" s="176"/>
      <c r="M105" s="177">
        <f t="shared" si="9"/>
        <v>0</v>
      </c>
      <c r="N105" s="101"/>
    </row>
    <row r="106" spans="1:14" ht="12.75">
      <c r="A106" s="98"/>
      <c r="B106" s="178"/>
      <c r="C106" s="99" t="s">
        <v>7</v>
      </c>
      <c r="D106" s="99" t="s">
        <v>6</v>
      </c>
      <c r="E106" s="104">
        <v>1</v>
      </c>
      <c r="F106" s="180"/>
      <c r="G106" s="104"/>
      <c r="H106" s="180"/>
      <c r="I106" s="104">
        <f t="shared" si="7"/>
        <v>0</v>
      </c>
      <c r="J106" s="180"/>
      <c r="K106" s="104">
        <f t="shared" si="8"/>
        <v>0</v>
      </c>
      <c r="L106" s="181"/>
      <c r="M106" s="182">
        <f t="shared" si="9"/>
        <v>0</v>
      </c>
      <c r="N106" s="101"/>
    </row>
    <row r="107" spans="1:14" ht="12.75">
      <c r="A107" s="98"/>
      <c r="B107" s="190"/>
      <c r="C107" s="191"/>
      <c r="D107" s="197" t="s">
        <v>97</v>
      </c>
      <c r="E107" s="193">
        <v>1</v>
      </c>
      <c r="F107" s="194"/>
      <c r="G107" s="193"/>
      <c r="H107" s="194"/>
      <c r="I107" s="193">
        <f t="shared" si="7"/>
        <v>0</v>
      </c>
      <c r="J107" s="194"/>
      <c r="K107" s="193">
        <f t="shared" si="8"/>
        <v>0</v>
      </c>
      <c r="L107" s="195"/>
      <c r="M107" s="196">
        <f t="shared" si="9"/>
        <v>0</v>
      </c>
      <c r="N107" s="101"/>
    </row>
    <row r="108" spans="1:14" ht="12.75">
      <c r="A108" s="98"/>
      <c r="B108" s="171" t="s">
        <v>103</v>
      </c>
      <c r="C108" s="135" t="s">
        <v>99</v>
      </c>
      <c r="D108" s="198">
        <v>0.4</v>
      </c>
      <c r="E108" s="199">
        <v>36</v>
      </c>
      <c r="F108" s="175"/>
      <c r="G108" s="174"/>
      <c r="H108" s="175"/>
      <c r="I108" s="174">
        <f aca="true" t="shared" si="10" ref="I108:I113">H108*0.8*SIN($E108/2*PI()/180)*(1-$D108^2)</f>
        <v>0</v>
      </c>
      <c r="J108" s="175"/>
      <c r="K108" s="174">
        <f aca="true" t="shared" si="11" ref="K108:K113">J108*0.8*SIN($E108/2*PI()/180)*(1-$D108^2)</f>
        <v>0</v>
      </c>
      <c r="L108" s="176"/>
      <c r="M108" s="177">
        <f aca="true" t="shared" si="12" ref="M108:M113">L108*0.8*SIN($E108/2*PI()/180)*(1-$D108^2)</f>
        <v>0</v>
      </c>
      <c r="N108" s="101"/>
    </row>
    <row r="109" spans="1:14" ht="14.25">
      <c r="A109" s="98"/>
      <c r="B109" s="200" t="s">
        <v>105</v>
      </c>
      <c r="C109" s="99"/>
      <c r="D109" s="99">
        <v>0.5</v>
      </c>
      <c r="E109" s="201">
        <v>30</v>
      </c>
      <c r="F109" s="180"/>
      <c r="G109" s="104"/>
      <c r="H109" s="180"/>
      <c r="I109" s="104">
        <f t="shared" si="10"/>
        <v>0</v>
      </c>
      <c r="J109" s="180"/>
      <c r="K109" s="104">
        <f t="shared" si="11"/>
        <v>0</v>
      </c>
      <c r="L109" s="181"/>
      <c r="M109" s="182">
        <f t="shared" si="12"/>
        <v>0</v>
      </c>
      <c r="N109" s="101"/>
    </row>
    <row r="110" spans="1:14" ht="12.75">
      <c r="A110" s="98"/>
      <c r="B110" s="178"/>
      <c r="C110" s="99"/>
      <c r="D110" s="99">
        <v>0.6</v>
      </c>
      <c r="E110" s="201">
        <v>23</v>
      </c>
      <c r="F110" s="180"/>
      <c r="G110" s="104"/>
      <c r="H110" s="180"/>
      <c r="I110" s="104">
        <f t="shared" si="10"/>
        <v>0</v>
      </c>
      <c r="J110" s="180"/>
      <c r="K110" s="104">
        <f t="shared" si="11"/>
        <v>0</v>
      </c>
      <c r="L110" s="181"/>
      <c r="M110" s="182">
        <f t="shared" si="12"/>
        <v>0</v>
      </c>
      <c r="N110" s="101"/>
    </row>
    <row r="111" spans="1:14" ht="12.75">
      <c r="A111" s="98"/>
      <c r="B111" s="178"/>
      <c r="C111" s="99"/>
      <c r="D111" s="99">
        <v>0.75</v>
      </c>
      <c r="E111" s="201">
        <v>18</v>
      </c>
      <c r="F111" s="180"/>
      <c r="G111" s="104"/>
      <c r="H111" s="180"/>
      <c r="I111" s="104">
        <f t="shared" si="10"/>
        <v>0</v>
      </c>
      <c r="J111" s="180"/>
      <c r="K111" s="104">
        <f t="shared" si="11"/>
        <v>0</v>
      </c>
      <c r="L111" s="181"/>
      <c r="M111" s="182">
        <f t="shared" si="12"/>
        <v>0</v>
      </c>
      <c r="N111" s="101"/>
    </row>
    <row r="112" spans="1:14" ht="12.75">
      <c r="A112" s="98"/>
      <c r="B112" s="178"/>
      <c r="C112" s="99"/>
      <c r="D112" s="99">
        <v>0.8</v>
      </c>
      <c r="E112" s="201">
        <v>10</v>
      </c>
      <c r="F112" s="180"/>
      <c r="G112" s="104"/>
      <c r="H112" s="180"/>
      <c r="I112" s="104">
        <f t="shared" si="10"/>
        <v>0</v>
      </c>
      <c r="J112" s="180"/>
      <c r="K112" s="104">
        <f t="shared" si="11"/>
        <v>0</v>
      </c>
      <c r="L112" s="181"/>
      <c r="M112" s="182">
        <f t="shared" si="12"/>
        <v>0</v>
      </c>
      <c r="N112" s="101"/>
    </row>
    <row r="113" spans="1:14" ht="12.75">
      <c r="A113" s="98"/>
      <c r="B113" s="202"/>
      <c r="C113" s="191" t="s">
        <v>100</v>
      </c>
      <c r="D113" s="203">
        <v>0.7</v>
      </c>
      <c r="E113" s="204">
        <v>20</v>
      </c>
      <c r="F113" s="194"/>
      <c r="G113" s="193"/>
      <c r="H113" s="194"/>
      <c r="I113" s="193">
        <f t="shared" si="10"/>
        <v>0</v>
      </c>
      <c r="J113" s="194"/>
      <c r="K113" s="193">
        <f t="shared" si="11"/>
        <v>0</v>
      </c>
      <c r="L113" s="195"/>
      <c r="M113" s="196">
        <f t="shared" si="12"/>
        <v>0</v>
      </c>
      <c r="N113" s="101"/>
    </row>
    <row r="114" spans="1:14" ht="12.75">
      <c r="A114" s="98"/>
      <c r="B114" s="171" t="s">
        <v>104</v>
      </c>
      <c r="C114" s="99" t="s">
        <v>99</v>
      </c>
      <c r="D114" s="198">
        <v>0.4</v>
      </c>
      <c r="E114" s="205">
        <v>36</v>
      </c>
      <c r="F114" s="175"/>
      <c r="G114" s="174"/>
      <c r="H114" s="175"/>
      <c r="I114" s="174">
        <f aca="true" t="shared" si="13" ref="I114:I119">H114*2.6*SIN($E114/2*PI()/180)*(1-$D114^2)^2</f>
        <v>0</v>
      </c>
      <c r="J114" s="175"/>
      <c r="K114" s="174">
        <f aca="true" t="shared" si="14" ref="K114:K119">J114*2.6*SIN($E114/2*PI()/180)*(1-$D114^2)^2</f>
        <v>0</v>
      </c>
      <c r="L114" s="176"/>
      <c r="M114" s="177">
        <f aca="true" t="shared" si="15" ref="M114:M119">L114*2.6*SIN($E114/2*PI()/180)*(1-$D114^2)^2</f>
        <v>0</v>
      </c>
      <c r="N114" s="101"/>
    </row>
    <row r="115" spans="1:14" ht="14.25">
      <c r="A115" s="98"/>
      <c r="B115" s="200" t="s">
        <v>105</v>
      </c>
      <c r="C115" s="99"/>
      <c r="D115" s="99">
        <v>0.5</v>
      </c>
      <c r="E115" s="201">
        <v>30</v>
      </c>
      <c r="F115" s="180"/>
      <c r="G115" s="104"/>
      <c r="H115" s="180"/>
      <c r="I115" s="104">
        <f t="shared" si="13"/>
        <v>0</v>
      </c>
      <c r="J115" s="180"/>
      <c r="K115" s="104">
        <f t="shared" si="14"/>
        <v>0</v>
      </c>
      <c r="L115" s="181"/>
      <c r="M115" s="182">
        <f t="shared" si="15"/>
        <v>0</v>
      </c>
      <c r="N115" s="101"/>
    </row>
    <row r="116" spans="1:14" ht="12.75">
      <c r="A116" s="98"/>
      <c r="B116" s="178"/>
      <c r="C116" s="99"/>
      <c r="D116" s="99">
        <v>0.6</v>
      </c>
      <c r="E116" s="201">
        <v>23</v>
      </c>
      <c r="F116" s="180"/>
      <c r="G116" s="104"/>
      <c r="H116" s="180"/>
      <c r="I116" s="104">
        <f t="shared" si="13"/>
        <v>0</v>
      </c>
      <c r="J116" s="180"/>
      <c r="K116" s="104">
        <f t="shared" si="14"/>
        <v>0</v>
      </c>
      <c r="L116" s="181"/>
      <c r="M116" s="182">
        <f t="shared" si="15"/>
        <v>0</v>
      </c>
      <c r="N116" s="101"/>
    </row>
    <row r="117" spans="1:14" ht="12.75">
      <c r="A117" s="98"/>
      <c r="B117" s="178"/>
      <c r="C117" s="99"/>
      <c r="D117" s="99">
        <v>0.75</v>
      </c>
      <c r="E117" s="201">
        <v>18</v>
      </c>
      <c r="F117" s="180"/>
      <c r="G117" s="104"/>
      <c r="H117" s="180"/>
      <c r="I117" s="104">
        <f t="shared" si="13"/>
        <v>0</v>
      </c>
      <c r="J117" s="180"/>
      <c r="K117" s="104">
        <f t="shared" si="14"/>
        <v>0</v>
      </c>
      <c r="L117" s="181"/>
      <c r="M117" s="182">
        <f t="shared" si="15"/>
        <v>0</v>
      </c>
      <c r="N117" s="101"/>
    </row>
    <row r="118" spans="1:14" ht="12.75">
      <c r="A118" s="98"/>
      <c r="B118" s="178"/>
      <c r="C118" s="99"/>
      <c r="D118" s="99">
        <v>0.8</v>
      </c>
      <c r="E118" s="201">
        <v>10</v>
      </c>
      <c r="F118" s="180"/>
      <c r="G118" s="104"/>
      <c r="H118" s="180"/>
      <c r="I118" s="104">
        <f t="shared" si="13"/>
        <v>0</v>
      </c>
      <c r="J118" s="180"/>
      <c r="K118" s="104">
        <f t="shared" si="14"/>
        <v>0</v>
      </c>
      <c r="L118" s="181"/>
      <c r="M118" s="182">
        <f t="shared" si="15"/>
        <v>0</v>
      </c>
      <c r="N118" s="101"/>
    </row>
    <row r="119" spans="1:14" ht="12.75">
      <c r="A119" s="98"/>
      <c r="B119" s="202"/>
      <c r="C119" s="191" t="s">
        <v>100</v>
      </c>
      <c r="D119" s="203">
        <v>0.62</v>
      </c>
      <c r="E119" s="204">
        <v>21</v>
      </c>
      <c r="F119" s="194"/>
      <c r="G119" s="193"/>
      <c r="H119" s="194"/>
      <c r="I119" s="193">
        <f t="shared" si="13"/>
        <v>0</v>
      </c>
      <c r="J119" s="194"/>
      <c r="K119" s="193">
        <f t="shared" si="14"/>
        <v>0</v>
      </c>
      <c r="L119" s="195"/>
      <c r="M119" s="196">
        <f t="shared" si="15"/>
        <v>0</v>
      </c>
      <c r="N119" s="101"/>
    </row>
    <row r="120" spans="1:14" ht="12.75">
      <c r="A120" s="98"/>
      <c r="B120" s="171" t="s">
        <v>102</v>
      </c>
      <c r="C120" s="99" t="s">
        <v>99</v>
      </c>
      <c r="D120" s="206">
        <v>0.5</v>
      </c>
      <c r="E120" s="207">
        <v>180</v>
      </c>
      <c r="F120" s="175"/>
      <c r="G120" s="174"/>
      <c r="H120" s="175"/>
      <c r="I120" s="174">
        <f>H120*0.5*(1-$D120^2)*SQRT(SIN($E120/2*PI()/180))</f>
        <v>0</v>
      </c>
      <c r="J120" s="175"/>
      <c r="K120" s="174">
        <f>J120*0.5*(1-$D120^2)*SQRT(SIN($E120/2*PI()/180))</f>
        <v>0</v>
      </c>
      <c r="L120" s="176"/>
      <c r="M120" s="177">
        <f>L120*0.5*(1-$D120^2)*SQRT(SIN($E120/2*PI()/180))</f>
        <v>0</v>
      </c>
      <c r="N120" s="101"/>
    </row>
    <row r="121" spans="1:14" ht="12.75">
      <c r="A121" s="98"/>
      <c r="B121" s="208" t="s">
        <v>107</v>
      </c>
      <c r="C121" s="99" t="s">
        <v>99</v>
      </c>
      <c r="D121" s="209">
        <v>0.6</v>
      </c>
      <c r="E121" s="104" t="s">
        <v>81</v>
      </c>
      <c r="F121" s="180"/>
      <c r="G121" s="104">
        <f>F121*(1-$D121^2)^2</f>
        <v>0</v>
      </c>
      <c r="H121" s="180"/>
      <c r="I121" s="104">
        <f>H121*(1-$D121^2)^2</f>
        <v>0</v>
      </c>
      <c r="J121" s="180"/>
      <c r="K121" s="104">
        <f>J121*(1-$D121^2)^2</f>
        <v>0</v>
      </c>
      <c r="L121" s="181"/>
      <c r="M121" s="182">
        <f>L121*(1-$D121^2)^2</f>
        <v>0</v>
      </c>
      <c r="N121" s="101"/>
    </row>
    <row r="122" spans="1:14" ht="14.25">
      <c r="A122" s="98"/>
      <c r="B122" s="210" t="s">
        <v>106</v>
      </c>
      <c r="C122" s="191"/>
      <c r="D122" s="191"/>
      <c r="E122" s="191"/>
      <c r="F122" s="211"/>
      <c r="G122" s="191"/>
      <c r="H122" s="212"/>
      <c r="I122" s="191"/>
      <c r="J122" s="212"/>
      <c r="K122" s="191"/>
      <c r="L122" s="213"/>
      <c r="M122" s="214"/>
      <c r="N122" s="101"/>
    </row>
    <row r="123" spans="1:14" ht="12.75">
      <c r="A123" s="98"/>
      <c r="B123" s="99"/>
      <c r="C123" s="99"/>
      <c r="D123" s="99"/>
      <c r="E123" s="104" t="s">
        <v>31</v>
      </c>
      <c r="F123" s="215">
        <f>SUM(G76:G122)</f>
        <v>0</v>
      </c>
      <c r="G123" s="99"/>
      <c r="H123" s="215">
        <f>SUM(I76:I122)</f>
        <v>0</v>
      </c>
      <c r="I123" s="99"/>
      <c r="J123" s="215">
        <f>SUM(K76:K122)</f>
        <v>0</v>
      </c>
      <c r="K123" s="99"/>
      <c r="L123" s="215">
        <f>SUM(M76:M122)</f>
        <v>0</v>
      </c>
      <c r="M123" s="99"/>
      <c r="N123" s="101"/>
    </row>
    <row r="124" spans="1:14" ht="12.75">
      <c r="A124" s="98"/>
      <c r="B124" s="263" t="s">
        <v>152</v>
      </c>
      <c r="C124" s="99"/>
      <c r="D124" s="99"/>
      <c r="E124" s="104" t="s">
        <v>129</v>
      </c>
      <c r="F124" s="216">
        <f>F123*($D$40/F75)^4</f>
        <v>0</v>
      </c>
      <c r="G124" s="99"/>
      <c r="H124" s="216">
        <f>H123*($D$40/H75)^4</f>
        <v>0</v>
      </c>
      <c r="I124" s="99"/>
      <c r="J124" s="216">
        <f>J123*($D$40/J75)^4</f>
        <v>0</v>
      </c>
      <c r="K124" s="99"/>
      <c r="L124" s="216">
        <f>L123*($D$40/L75)^4</f>
        <v>0</v>
      </c>
      <c r="M124" s="99"/>
      <c r="N124" s="101"/>
    </row>
    <row r="125" spans="1:14" ht="13.5" thickBot="1">
      <c r="A125" s="161"/>
      <c r="B125" s="162"/>
      <c r="C125" s="162"/>
      <c r="D125" s="162"/>
      <c r="E125" s="162"/>
      <c r="F125" s="162"/>
      <c r="G125" s="217"/>
      <c r="H125" s="162"/>
      <c r="I125" s="217"/>
      <c r="J125" s="162"/>
      <c r="K125" s="217"/>
      <c r="L125" s="162"/>
      <c r="M125" s="217"/>
      <c r="N125" s="163"/>
    </row>
    <row r="126" spans="1:14" ht="15.75">
      <c r="A126" s="98"/>
      <c r="B126" s="102" t="s">
        <v>145</v>
      </c>
      <c r="C126" s="99" t="s">
        <v>3</v>
      </c>
      <c r="D126" s="99"/>
      <c r="E126" s="99" t="s">
        <v>4</v>
      </c>
      <c r="F126" s="218">
        <f>F53</f>
        <v>2</v>
      </c>
      <c r="G126" s="168" t="s">
        <v>165</v>
      </c>
      <c r="H126" s="218">
        <f>H53</f>
        <v>1</v>
      </c>
      <c r="I126" s="168" t="s">
        <v>165</v>
      </c>
      <c r="J126" s="218">
        <f>J53</f>
        <v>3</v>
      </c>
      <c r="K126" s="168" t="s">
        <v>165</v>
      </c>
      <c r="L126" s="218">
        <f>L53</f>
        <v>4</v>
      </c>
      <c r="M126" s="168" t="s">
        <v>165</v>
      </c>
      <c r="N126" s="101"/>
    </row>
    <row r="127" spans="1:14" ht="15.75" outlineLevel="1">
      <c r="A127" s="98"/>
      <c r="B127" s="99"/>
      <c r="C127" s="99"/>
      <c r="D127" s="99"/>
      <c r="E127" s="104" t="s">
        <v>168</v>
      </c>
      <c r="F127" s="127">
        <f>F61</f>
        <v>1.9377952755905514</v>
      </c>
      <c r="G127" s="133">
        <f>G75</f>
        <v>0.01971396367550566</v>
      </c>
      <c r="H127" s="127">
        <f>H61</f>
        <v>0.81496062992126</v>
      </c>
      <c r="I127" s="133">
        <f>I75</f>
        <v>0.024643082698508827</v>
      </c>
      <c r="J127" s="127">
        <f>J61</f>
        <v>3.067716535433071</v>
      </c>
      <c r="K127" s="133">
        <f>K75</f>
        <v>0.017679501951500254</v>
      </c>
      <c r="L127" s="127">
        <f>L61</f>
        <v>4.025984251968504</v>
      </c>
      <c r="M127" s="133">
        <f>M75</f>
        <v>0.016621018139481473</v>
      </c>
      <c r="N127" s="101"/>
    </row>
    <row r="128" spans="1:14" ht="12.75" collapsed="1">
      <c r="A128" s="98"/>
      <c r="B128" s="219" t="s">
        <v>11</v>
      </c>
      <c r="C128" s="220" t="s">
        <v>20</v>
      </c>
      <c r="D128" s="221"/>
      <c r="E128" s="222">
        <v>8</v>
      </c>
      <c r="F128" s="175"/>
      <c r="G128" s="223">
        <f>F128*$E128*G$127</f>
        <v>0</v>
      </c>
      <c r="H128" s="175"/>
      <c r="I128" s="223">
        <f>H128*$E128*I$127</f>
        <v>0</v>
      </c>
      <c r="J128" s="175"/>
      <c r="K128" s="223">
        <f>J128*$E128*K$127</f>
        <v>0</v>
      </c>
      <c r="L128" s="176"/>
      <c r="M128" s="224">
        <f>L128*$E128*M$127</f>
        <v>0</v>
      </c>
      <c r="N128" s="101"/>
    </row>
    <row r="129" spans="1:14" ht="15.75">
      <c r="A129" s="98"/>
      <c r="B129" s="225"/>
      <c r="C129" s="226" t="s">
        <v>112</v>
      </c>
      <c r="D129" s="99" t="s">
        <v>121</v>
      </c>
      <c r="E129" s="227">
        <v>0.666</v>
      </c>
      <c r="F129" s="228"/>
      <c r="G129" s="99"/>
      <c r="H129" s="228"/>
      <c r="I129" s="104"/>
      <c r="J129" s="228"/>
      <c r="K129" s="104"/>
      <c r="L129" s="229"/>
      <c r="M129" s="182"/>
      <c r="N129" s="101"/>
    </row>
    <row r="130" spans="1:14" ht="15.75">
      <c r="A130" s="98"/>
      <c r="B130" s="230"/>
      <c r="C130" s="231"/>
      <c r="D130" s="232" t="s">
        <v>114</v>
      </c>
      <c r="E130" s="233">
        <v>15</v>
      </c>
      <c r="F130" s="194"/>
      <c r="G130" s="234">
        <f>IF($E130&lt;=45,F130*(($E128*G$127)+SIN($E130*PI()/180/2)*(0.8*(1-$E129^2)+2.6*(1-$E129^2)^2))/$E129^4,F130*(($E128*G$127)+0.5*SQRT(SIN($E130*PI()/180/2))*(1-$E129^2)+(1-$E129^2)^2)/$E129^4)</f>
        <v>0</v>
      </c>
      <c r="H130" s="194"/>
      <c r="I130" s="234">
        <f>IF($E130&lt;=45,H130*(($E128*I$127)+SIN($E130*PI()/180/2)*(0.8*(1-$E129^2)+2.6*(1-$E129^2)^2))/$E129^4,H130*(($E128*I$127)+0.5*SQRT(SIN($E130*PI()/180/2))*(1-$E129^2)+(1-$E129^2)^2)/$E129^4)</f>
        <v>0</v>
      </c>
      <c r="J130" s="194"/>
      <c r="K130" s="234">
        <f>IF($E130&lt;=45,J130*(($E128*K$127)+SIN($E130*PI()/180/2)*(0.8*(1-$E129^2)+2.6*(1-$E129^2)^2))/$E129^4,J130*(($E128*K$127)+0.5*SQRT(SIN($E130*PI()/180/2))*(1-$E129^2)+(1-$E129^2)^2)/$E129^4)</f>
        <v>0</v>
      </c>
      <c r="L130" s="195"/>
      <c r="M130" s="235">
        <f>IF($E130&lt;=45,L130*(($E128*M$127)+SIN($E130*PI()/180/2)*(0.8*(1-$E129^2)+2.6*(1-$E129^2)^2))/$E129^4,L130*(($E128*M$127)+0.5*SQRT(SIN($E130*PI()/180/2))*(1-$E129^2)+(1-$E129^2)^2)/$E129^4)</f>
        <v>0</v>
      </c>
      <c r="N130" s="101"/>
    </row>
    <row r="131" spans="1:14" ht="12.75">
      <c r="A131" s="98"/>
      <c r="B131" s="188" t="s">
        <v>9</v>
      </c>
      <c r="C131" s="189" t="s">
        <v>113</v>
      </c>
      <c r="D131" s="189" t="s">
        <v>117</v>
      </c>
      <c r="E131" s="222">
        <v>18</v>
      </c>
      <c r="F131" s="175"/>
      <c r="G131" s="223">
        <f>F131*$E131*G$127</f>
        <v>0</v>
      </c>
      <c r="H131" s="175"/>
      <c r="I131" s="223">
        <f>H131*$E131*I$127</f>
        <v>0</v>
      </c>
      <c r="J131" s="175"/>
      <c r="K131" s="223">
        <f>J131*$E131*K$127</f>
        <v>0</v>
      </c>
      <c r="L131" s="176"/>
      <c r="M131" s="224">
        <f>L131*$E131*M$127</f>
        <v>0</v>
      </c>
      <c r="N131" s="101"/>
    </row>
    <row r="132" spans="1:14" ht="15.75">
      <c r="A132" s="98"/>
      <c r="B132" s="178"/>
      <c r="C132" s="99"/>
      <c r="D132" s="99" t="s">
        <v>121</v>
      </c>
      <c r="E132" s="113">
        <v>0.77</v>
      </c>
      <c r="F132" s="228"/>
      <c r="G132" s="236"/>
      <c r="H132" s="228"/>
      <c r="I132" s="236"/>
      <c r="J132" s="228"/>
      <c r="K132" s="236"/>
      <c r="L132" s="229"/>
      <c r="M132" s="237"/>
      <c r="N132" s="101"/>
    </row>
    <row r="133" spans="1:14" ht="15.75">
      <c r="A133" s="98"/>
      <c r="B133" s="190"/>
      <c r="C133" s="191"/>
      <c r="D133" s="232" t="s">
        <v>114</v>
      </c>
      <c r="E133" s="238">
        <v>16</v>
      </c>
      <c r="F133" s="194"/>
      <c r="G133" s="234">
        <f>F133*(($E131*G$127)+0.5*SQRT(SIN($E133*PI()/180/2))*(1-$E132^2)+(1-$E132^2)^2)/$E132^4</f>
        <v>0</v>
      </c>
      <c r="H133" s="194"/>
      <c r="I133" s="234">
        <f>H133*(($E131*I$127)+0.5*SQRT(SIN($E133*PI()/180/2))*(1-$E132^2)+(1-$E132^2)^2)/$E132^4</f>
        <v>0</v>
      </c>
      <c r="J133" s="194"/>
      <c r="K133" s="234">
        <f>J133*(($E131*K$127)+0.5*SQRT(SIN($E133*PI()/180/2))*(1-$E132^2)+(1-$E132^2)^2)/$E132^4</f>
        <v>0</v>
      </c>
      <c r="L133" s="195"/>
      <c r="M133" s="235">
        <f>L133*(($E131*M$127)+0.5*SQRT(SIN($E133*PI()/180/2))*(1-$E132^2)+(1-$E132^2)^2)/$E132^4</f>
        <v>0</v>
      </c>
      <c r="N133" s="101"/>
    </row>
    <row r="134" spans="1:14" ht="12.75">
      <c r="A134" s="98"/>
      <c r="B134" s="188" t="s">
        <v>12</v>
      </c>
      <c r="C134" s="189" t="s">
        <v>20</v>
      </c>
      <c r="D134" s="189"/>
      <c r="E134" s="222">
        <v>3</v>
      </c>
      <c r="F134" s="175"/>
      <c r="G134" s="223">
        <f>F134*$E134*G$127</f>
        <v>0</v>
      </c>
      <c r="H134" s="175"/>
      <c r="I134" s="223">
        <f>H134*$E134*I$127</f>
        <v>0</v>
      </c>
      <c r="J134" s="175"/>
      <c r="K134" s="223">
        <f>J134*$E134*K$127</f>
        <v>0</v>
      </c>
      <c r="L134" s="176"/>
      <c r="M134" s="224">
        <f>L134*$E134*M$127</f>
        <v>0</v>
      </c>
      <c r="N134" s="101"/>
    </row>
    <row r="135" spans="1:14" ht="15.75">
      <c r="A135" s="98"/>
      <c r="B135" s="178"/>
      <c r="C135" s="99" t="s">
        <v>112</v>
      </c>
      <c r="D135" s="99" t="s">
        <v>121</v>
      </c>
      <c r="E135" s="227">
        <v>0.77</v>
      </c>
      <c r="F135" s="228"/>
      <c r="G135" s="99"/>
      <c r="H135" s="228"/>
      <c r="I135" s="104"/>
      <c r="J135" s="228"/>
      <c r="K135" s="104"/>
      <c r="L135" s="229"/>
      <c r="M135" s="182"/>
      <c r="N135" s="101"/>
    </row>
    <row r="136" spans="1:14" ht="15.75">
      <c r="A136" s="98"/>
      <c r="B136" s="190"/>
      <c r="C136" s="191"/>
      <c r="D136" s="232" t="s">
        <v>114</v>
      </c>
      <c r="E136" s="233">
        <v>23</v>
      </c>
      <c r="F136" s="194"/>
      <c r="G136" s="234">
        <f>IF($E136&lt;=45,F136*(($E134*G$127)+SIN($E136*PI()/180/2)*(0.8*(1-$E135^2)+2.6*(1-$E135^2)^2))/$E135^4,F136*(($E134*G$127)+0.5*SQRT(SIN($E136*PI()/180/2))*(1-$E135^2)+(1-$E135^2)^2)/$E135^4)</f>
        <v>0</v>
      </c>
      <c r="H136" s="194"/>
      <c r="I136" s="234">
        <f>IF($E136&lt;=45,H136*(($E134*I$127)+SIN($E136*PI()/180/2)*(0.8*(1-$E135^2)+2.6*(1-$E135^2)^2))/$E135^4,H136*(($E134*I$127)+0.5*SQRT(SIN($E136*PI()/180/2))*(1-$E135^2)+(1-$E135^2)^2)/$E135^4)</f>
        <v>0</v>
      </c>
      <c r="J136" s="194"/>
      <c r="K136" s="234">
        <f>IF($E136&lt;=45,J136*(($E134*K$127)+SIN($E136*PI()/180/2)*(0.8*(1-$E135^2)+2.6*(1-$E135^2)^2))/$E135^4,J136*(($E134*K$127)+0.5*SQRT(SIN($E136*PI()/180/2))*(1-$E135^2)+(1-$E135^2)^2)/$E135^4)</f>
        <v>0</v>
      </c>
      <c r="L136" s="195"/>
      <c r="M136" s="235">
        <f>IF($E136&lt;=45,L136*(($E134*M$127)+SIN($E136*PI()/180/2)*(0.8*(1-$E135^2)+2.6*(1-$E135^2)^2))/$E135^4,L136*(($E134*M$127)+0.5*SQRT(SIN($E136*PI()/180/2))*(1-$E135^2)+(1-$E135^2)^2)/$E135^4)</f>
        <v>0</v>
      </c>
      <c r="N136" s="101"/>
    </row>
    <row r="137" spans="1:14" ht="12.75">
      <c r="A137" s="98"/>
      <c r="B137" s="239" t="s">
        <v>10</v>
      </c>
      <c r="C137" s="240"/>
      <c r="D137" s="240"/>
      <c r="E137" s="241">
        <v>45</v>
      </c>
      <c r="F137" s="242"/>
      <c r="G137" s="243">
        <f aca="true" t="shared" si="16" ref="G137:G148">F137*$E137*G$127</f>
        <v>0</v>
      </c>
      <c r="H137" s="242"/>
      <c r="I137" s="243">
        <f aca="true" t="shared" si="17" ref="I137:I148">H137*$E137*I$127</f>
        <v>0</v>
      </c>
      <c r="J137" s="242"/>
      <c r="K137" s="243">
        <f aca="true" t="shared" si="18" ref="K137:K148">J137*$E137*K$127</f>
        <v>0</v>
      </c>
      <c r="L137" s="244"/>
      <c r="M137" s="245">
        <f aca="true" t="shared" si="19" ref="M137:M148">L137*$E137*M$127</f>
        <v>0</v>
      </c>
      <c r="N137" s="101"/>
    </row>
    <row r="138" spans="1:14" ht="12.75">
      <c r="A138" s="98"/>
      <c r="B138" s="188" t="s">
        <v>110</v>
      </c>
      <c r="C138" s="189" t="s">
        <v>111</v>
      </c>
      <c r="D138" s="189" t="s">
        <v>123</v>
      </c>
      <c r="E138" s="222">
        <v>100</v>
      </c>
      <c r="F138" s="175"/>
      <c r="G138" s="223">
        <f t="shared" si="16"/>
        <v>0</v>
      </c>
      <c r="H138" s="175"/>
      <c r="I138" s="223">
        <f t="shared" si="17"/>
        <v>0</v>
      </c>
      <c r="J138" s="175"/>
      <c r="K138" s="223">
        <f t="shared" si="18"/>
        <v>0</v>
      </c>
      <c r="L138" s="176"/>
      <c r="M138" s="224">
        <f t="shared" si="19"/>
        <v>0</v>
      </c>
      <c r="N138" s="101"/>
    </row>
    <row r="139" spans="1:14" ht="12.75">
      <c r="A139" s="98"/>
      <c r="B139" s="178"/>
      <c r="C139" s="99"/>
      <c r="D139" s="99" t="s">
        <v>124</v>
      </c>
      <c r="E139" s="246">
        <v>50</v>
      </c>
      <c r="F139" s="180"/>
      <c r="G139" s="236">
        <f t="shared" si="16"/>
        <v>0</v>
      </c>
      <c r="H139" s="180"/>
      <c r="I139" s="236">
        <f t="shared" si="17"/>
        <v>0</v>
      </c>
      <c r="J139" s="180"/>
      <c r="K139" s="236">
        <f t="shared" si="18"/>
        <v>0</v>
      </c>
      <c r="L139" s="181"/>
      <c r="M139" s="237">
        <f t="shared" si="19"/>
        <v>0</v>
      </c>
      <c r="N139" s="101"/>
    </row>
    <row r="140" spans="1:14" ht="12.75">
      <c r="A140" s="98"/>
      <c r="B140" s="178"/>
      <c r="C140" s="99" t="s">
        <v>15</v>
      </c>
      <c r="D140" s="99" t="s">
        <v>125</v>
      </c>
      <c r="E140" s="246">
        <v>600</v>
      </c>
      <c r="F140" s="180"/>
      <c r="G140" s="236">
        <f t="shared" si="16"/>
        <v>0</v>
      </c>
      <c r="H140" s="180"/>
      <c r="I140" s="236">
        <f t="shared" si="17"/>
        <v>0</v>
      </c>
      <c r="J140" s="180"/>
      <c r="K140" s="236">
        <f t="shared" si="18"/>
        <v>0</v>
      </c>
      <c r="L140" s="181"/>
      <c r="M140" s="237">
        <f t="shared" si="19"/>
        <v>0</v>
      </c>
      <c r="N140" s="101"/>
    </row>
    <row r="141" spans="1:14" ht="12.75">
      <c r="A141" s="98"/>
      <c r="B141" s="178"/>
      <c r="C141" s="99" t="s">
        <v>126</v>
      </c>
      <c r="D141" s="99" t="s">
        <v>123</v>
      </c>
      <c r="E141" s="246">
        <v>55</v>
      </c>
      <c r="F141" s="180"/>
      <c r="G141" s="236">
        <f t="shared" si="16"/>
        <v>0</v>
      </c>
      <c r="H141" s="180"/>
      <c r="I141" s="236">
        <f t="shared" si="17"/>
        <v>0</v>
      </c>
      <c r="J141" s="180"/>
      <c r="K141" s="236">
        <f t="shared" si="18"/>
        <v>0</v>
      </c>
      <c r="L141" s="181"/>
      <c r="M141" s="237">
        <f t="shared" si="19"/>
        <v>0</v>
      </c>
      <c r="N141" s="101"/>
    </row>
    <row r="142" spans="1:14" ht="12.75">
      <c r="A142" s="98"/>
      <c r="B142" s="178"/>
      <c r="C142" s="99" t="s">
        <v>115</v>
      </c>
      <c r="D142" s="99"/>
      <c r="E142" s="246" t="s">
        <v>170</v>
      </c>
      <c r="F142" s="180"/>
      <c r="G142" s="236">
        <f>IF(F126=2,F142*255*G127,IF(F126=3,F142*207*G127,IF(F126=4,F142*183*G127,IF(F126=6,F142*147*G127,IF(F126=8,F142*115*G127,IF(F126=10,F142*92*G127,IF(F126=12,F142*86*G1307)))))))</f>
        <v>0</v>
      </c>
      <c r="H142" s="180"/>
      <c r="I142" s="262" t="b">
        <f>IF(H126=2,H142*255*I127,IF(H126=3,H142*207*I127,IF(H126=4,H142*183*I127,IF(H126=6,H142*147*I127,IF(H126=8,H142*115*I127,IF(H126=10,H142*92*I127,IF(H126=12,H142*86*I1307)))))))</f>
        <v>0</v>
      </c>
      <c r="J142" s="180"/>
      <c r="K142" s="236">
        <f>IF(J126=2,J142*255*K127,IF(J126=3,J142*207*K127,IF(J126=4,J142*183*K127,IF(J126=6,J142*147*K127,IF(J126=8,J142*115*K127,IF(J126=10,J142*92*K127,IF(J126=12,J142*86*K1307)))))))</f>
        <v>0</v>
      </c>
      <c r="L142" s="181"/>
      <c r="M142" s="237">
        <f>IF(L126=2,L142*255*M127,IF(L126=3,L142*207*M127,IF(L126=4,L142*183*M127,IF(L126=6,L142*147*M127,IF(L126=8,L142*115*M127,IF(L126=10,L142*92*M127,IF(L126=12,L142*86*M1307)))))))</f>
        <v>0</v>
      </c>
      <c r="N142" s="101"/>
    </row>
    <row r="143" spans="1:14" ht="12.75">
      <c r="A143" s="98"/>
      <c r="B143" s="190"/>
      <c r="C143" s="191" t="s">
        <v>116</v>
      </c>
      <c r="D143" s="191"/>
      <c r="E143" s="247"/>
      <c r="F143" s="194"/>
      <c r="G143" s="193">
        <f t="shared" si="16"/>
        <v>0</v>
      </c>
      <c r="H143" s="194"/>
      <c r="I143" s="193">
        <f t="shared" si="17"/>
        <v>0</v>
      </c>
      <c r="J143" s="194"/>
      <c r="K143" s="193">
        <f t="shared" si="18"/>
        <v>0</v>
      </c>
      <c r="L143" s="195"/>
      <c r="M143" s="196">
        <f t="shared" si="19"/>
        <v>0</v>
      </c>
      <c r="N143" s="101"/>
    </row>
    <row r="144" spans="1:14" ht="12.75">
      <c r="A144" s="98"/>
      <c r="B144" s="188" t="s">
        <v>16</v>
      </c>
      <c r="C144" s="189" t="s">
        <v>17</v>
      </c>
      <c r="D144" s="189"/>
      <c r="E144" s="222">
        <v>420</v>
      </c>
      <c r="F144" s="175"/>
      <c r="G144" s="223">
        <f t="shared" si="16"/>
        <v>0</v>
      </c>
      <c r="H144" s="175"/>
      <c r="I144" s="223">
        <f t="shared" si="17"/>
        <v>0</v>
      </c>
      <c r="J144" s="175"/>
      <c r="K144" s="223">
        <f t="shared" si="18"/>
        <v>0</v>
      </c>
      <c r="L144" s="176"/>
      <c r="M144" s="224">
        <f t="shared" si="19"/>
        <v>0</v>
      </c>
      <c r="N144" s="101"/>
    </row>
    <row r="145" spans="1:14" ht="12.75">
      <c r="A145" s="98"/>
      <c r="B145" s="190"/>
      <c r="C145" s="191" t="s">
        <v>18</v>
      </c>
      <c r="D145" s="191"/>
      <c r="E145" s="247">
        <v>75</v>
      </c>
      <c r="F145" s="194"/>
      <c r="G145" s="234">
        <f t="shared" si="16"/>
        <v>0</v>
      </c>
      <c r="H145" s="194"/>
      <c r="I145" s="234">
        <f t="shared" si="17"/>
        <v>0</v>
      </c>
      <c r="J145" s="194"/>
      <c r="K145" s="234">
        <f t="shared" si="18"/>
        <v>0</v>
      </c>
      <c r="L145" s="195"/>
      <c r="M145" s="235">
        <f t="shared" si="19"/>
        <v>0</v>
      </c>
      <c r="N145" s="101"/>
    </row>
    <row r="146" spans="1:14" ht="12.75">
      <c r="A146" s="98"/>
      <c r="B146" s="188" t="s">
        <v>120</v>
      </c>
      <c r="C146" s="189" t="s">
        <v>13</v>
      </c>
      <c r="D146" s="189" t="s">
        <v>117</v>
      </c>
      <c r="E146" s="222">
        <v>340</v>
      </c>
      <c r="F146" s="175"/>
      <c r="G146" s="223">
        <f t="shared" si="16"/>
        <v>0</v>
      </c>
      <c r="H146" s="175"/>
      <c r="I146" s="223">
        <f t="shared" si="17"/>
        <v>0</v>
      </c>
      <c r="J146" s="175"/>
      <c r="K146" s="223">
        <f t="shared" si="18"/>
        <v>0</v>
      </c>
      <c r="L146" s="176"/>
      <c r="M146" s="224">
        <f t="shared" si="19"/>
        <v>0</v>
      </c>
      <c r="N146" s="101"/>
    </row>
    <row r="147" spans="1:14" ht="14.25">
      <c r="A147" s="98"/>
      <c r="B147" s="178"/>
      <c r="C147" s="99" t="s">
        <v>14</v>
      </c>
      <c r="D147" s="248" t="s">
        <v>118</v>
      </c>
      <c r="E147" s="246">
        <v>55</v>
      </c>
      <c r="F147" s="180"/>
      <c r="G147" s="236">
        <f t="shared" si="16"/>
        <v>0</v>
      </c>
      <c r="H147" s="180"/>
      <c r="I147" s="236">
        <f t="shared" si="17"/>
        <v>0</v>
      </c>
      <c r="J147" s="180"/>
      <c r="K147" s="236">
        <f t="shared" si="18"/>
        <v>0</v>
      </c>
      <c r="L147" s="181"/>
      <c r="M147" s="237">
        <f t="shared" si="19"/>
        <v>0</v>
      </c>
      <c r="N147" s="101"/>
    </row>
    <row r="148" spans="1:14" ht="14.25">
      <c r="A148" s="98"/>
      <c r="B148" s="178"/>
      <c r="C148" s="99"/>
      <c r="D148" s="248" t="s">
        <v>119</v>
      </c>
      <c r="E148" s="246">
        <v>150</v>
      </c>
      <c r="F148" s="180"/>
      <c r="G148" s="236">
        <f t="shared" si="16"/>
        <v>0</v>
      </c>
      <c r="H148" s="180"/>
      <c r="I148" s="236">
        <f t="shared" si="17"/>
        <v>0</v>
      </c>
      <c r="J148" s="180"/>
      <c r="K148" s="236">
        <f t="shared" si="18"/>
        <v>0</v>
      </c>
      <c r="L148" s="181"/>
      <c r="M148" s="237">
        <f t="shared" si="19"/>
        <v>0</v>
      </c>
      <c r="N148" s="101"/>
    </row>
    <row r="149" spans="1:14" ht="15.75">
      <c r="A149" s="98"/>
      <c r="B149" s="178"/>
      <c r="C149" s="99" t="s">
        <v>122</v>
      </c>
      <c r="D149" s="99" t="s">
        <v>121</v>
      </c>
      <c r="E149" s="249">
        <v>0.9</v>
      </c>
      <c r="F149" s="180"/>
      <c r="G149" s="236">
        <f>F149*(($E146*G$127)+(0.5*(1-$E149^2)+(1-$E149^2)^2))/$E149^4</f>
        <v>0</v>
      </c>
      <c r="H149" s="180"/>
      <c r="I149" s="236">
        <f>H149*(($E146*I$127)+(0.5*(1-$E149^2)+(1-$E149^2)^2))/$E149^4</f>
        <v>0</v>
      </c>
      <c r="J149" s="180"/>
      <c r="K149" s="236">
        <f>J149*(($E146*K$127)+(0.5*(1-$E149^2)+(1-$E149^2)^2))/$E149^4</f>
        <v>0</v>
      </c>
      <c r="L149" s="181"/>
      <c r="M149" s="237">
        <f>L149*(($E146*M$127)+(0.5*(1-$E149^2)+(1-$E149^2)^2))/$E149^4</f>
        <v>0</v>
      </c>
      <c r="N149" s="101"/>
    </row>
    <row r="150" spans="1:14" ht="12.75">
      <c r="A150" s="98"/>
      <c r="B150" s="188" t="s">
        <v>284</v>
      </c>
      <c r="C150" s="189"/>
      <c r="D150" s="284" t="s">
        <v>280</v>
      </c>
      <c r="E150" s="282">
        <v>0.693</v>
      </c>
      <c r="F150" s="175"/>
      <c r="G150" s="223">
        <f>F150*(1-$E150^2)/($E151^2*$E150^4)</f>
        <v>0</v>
      </c>
      <c r="H150" s="175"/>
      <c r="I150" s="223">
        <f>H150*(1-$E150^2)/($E151^2*$E150^4)</f>
        <v>0</v>
      </c>
      <c r="J150" s="175"/>
      <c r="K150" s="223">
        <f>J150*(1-$E150^2)/($E151^2*$E150^4)</f>
        <v>0</v>
      </c>
      <c r="L150" s="176"/>
      <c r="M150" s="223">
        <f>L150*(1-$E150^2)/($E151^2*$E150^4)</f>
        <v>0</v>
      </c>
      <c r="N150" s="101"/>
    </row>
    <row r="151" spans="1:14" ht="15.75">
      <c r="A151" s="98"/>
      <c r="B151" s="178" t="s">
        <v>279</v>
      </c>
      <c r="C151" s="191"/>
      <c r="D151" s="283" t="s">
        <v>285</v>
      </c>
      <c r="E151" s="288">
        <f>1/(1-E150^4)^0.5*(0.5959+0.0312*E150^2.1-0.184*E150^8+91.71*E150^2.5*F64^-0.75)</f>
        <v>0.6868012951544094</v>
      </c>
      <c r="F151" s="285"/>
      <c r="G151" s="286"/>
      <c r="H151" s="285"/>
      <c r="I151" s="286"/>
      <c r="J151" s="285"/>
      <c r="K151" s="286"/>
      <c r="L151" s="287"/>
      <c r="M151" s="237"/>
      <c r="N151" s="101"/>
    </row>
    <row r="152" spans="1:14" ht="12.75">
      <c r="A152" s="98"/>
      <c r="B152" s="188" t="s">
        <v>108</v>
      </c>
      <c r="C152" s="189"/>
      <c r="D152" s="189"/>
      <c r="E152" s="189"/>
      <c r="F152" s="250"/>
      <c r="G152" s="189"/>
      <c r="H152" s="250"/>
      <c r="I152" s="189"/>
      <c r="J152" s="250"/>
      <c r="K152" s="189"/>
      <c r="L152" s="251"/>
      <c r="M152" s="252"/>
      <c r="N152" s="101"/>
    </row>
    <row r="153" spans="1:14" ht="12.75">
      <c r="A153" s="98"/>
      <c r="B153" s="253" t="s">
        <v>171</v>
      </c>
      <c r="C153" s="209"/>
      <c r="D153" s="99" t="s">
        <v>127</v>
      </c>
      <c r="E153" s="249">
        <v>54.3</v>
      </c>
      <c r="F153" s="254"/>
      <c r="G153" s="246">
        <f>IF($E153=0,0,F153*(29.9*(F$127)^2/$E153)^2)</f>
        <v>0</v>
      </c>
      <c r="H153" s="254"/>
      <c r="I153" s="246">
        <f aca="true" t="shared" si="20" ref="I153:I181">IF($E153=0,0,H153*(29.9*(H$127)^2/$E153)^2)</f>
        <v>0</v>
      </c>
      <c r="J153" s="254"/>
      <c r="K153" s="246">
        <f aca="true" t="shared" si="21" ref="K153:K181">IF($E153=0,0,J153*(29.9*(J$127)^2/$E153)^2)</f>
        <v>0</v>
      </c>
      <c r="L153" s="255"/>
      <c r="M153" s="256">
        <f aca="true" t="shared" si="22" ref="M153:M181">IF($E153=0,0,L153*(29.9*(L$127/25.4)^2/$E153)^2)</f>
        <v>0</v>
      </c>
      <c r="N153" s="101"/>
    </row>
    <row r="154" spans="1:14" ht="12.75">
      <c r="A154" s="98"/>
      <c r="B154" s="253" t="s">
        <v>172</v>
      </c>
      <c r="C154" s="209"/>
      <c r="D154" s="135" t="s">
        <v>130</v>
      </c>
      <c r="E154" s="249">
        <v>139.3</v>
      </c>
      <c r="F154" s="254"/>
      <c r="G154" s="246">
        <f aca="true" t="shared" si="23" ref="G154:G181">IF($E154=0,0,F154*(29.9*(F$127)^2/$E154)^2)</f>
        <v>0</v>
      </c>
      <c r="H154" s="254"/>
      <c r="I154" s="246">
        <f t="shared" si="20"/>
        <v>0</v>
      </c>
      <c r="J154" s="254"/>
      <c r="K154" s="246">
        <f t="shared" si="21"/>
        <v>0</v>
      </c>
      <c r="L154" s="255"/>
      <c r="M154" s="256">
        <f t="shared" si="22"/>
        <v>0</v>
      </c>
      <c r="N154" s="101"/>
    </row>
    <row r="155" spans="1:14" ht="12.75">
      <c r="A155" s="98"/>
      <c r="B155" s="253" t="s">
        <v>173</v>
      </c>
      <c r="C155" s="209"/>
      <c r="D155" s="99"/>
      <c r="E155" s="113">
        <v>271.3</v>
      </c>
      <c r="F155" s="254"/>
      <c r="G155" s="246">
        <f t="shared" si="23"/>
        <v>0</v>
      </c>
      <c r="H155" s="254"/>
      <c r="I155" s="246">
        <f t="shared" si="20"/>
        <v>0</v>
      </c>
      <c r="J155" s="254"/>
      <c r="K155" s="246">
        <f t="shared" si="21"/>
        <v>0</v>
      </c>
      <c r="L155" s="255"/>
      <c r="M155" s="256">
        <f t="shared" si="22"/>
        <v>0</v>
      </c>
      <c r="N155" s="101"/>
    </row>
    <row r="156" spans="1:14" ht="12.75">
      <c r="A156" s="98"/>
      <c r="B156" s="253" t="s">
        <v>174</v>
      </c>
      <c r="C156" s="209"/>
      <c r="D156" s="99"/>
      <c r="E156" s="113">
        <v>725</v>
      </c>
      <c r="F156" s="254"/>
      <c r="G156" s="246">
        <f t="shared" si="23"/>
        <v>0</v>
      </c>
      <c r="H156" s="254"/>
      <c r="I156" s="246">
        <f t="shared" si="20"/>
        <v>0</v>
      </c>
      <c r="J156" s="254"/>
      <c r="K156" s="246">
        <f t="shared" si="21"/>
        <v>0</v>
      </c>
      <c r="L156" s="255"/>
      <c r="M156" s="256">
        <f t="shared" si="22"/>
        <v>0</v>
      </c>
      <c r="N156" s="101"/>
    </row>
    <row r="157" spans="1:14" ht="12.75">
      <c r="A157" s="98"/>
      <c r="B157" s="253" t="s">
        <v>175</v>
      </c>
      <c r="C157" s="209"/>
      <c r="D157" s="99"/>
      <c r="E157" s="113">
        <v>1509</v>
      </c>
      <c r="F157" s="254"/>
      <c r="G157" s="246">
        <f t="shared" si="23"/>
        <v>0</v>
      </c>
      <c r="H157" s="254"/>
      <c r="I157" s="246">
        <f t="shared" si="20"/>
        <v>0</v>
      </c>
      <c r="J157" s="254"/>
      <c r="K157" s="246">
        <f t="shared" si="21"/>
        <v>0</v>
      </c>
      <c r="L157" s="255"/>
      <c r="M157" s="256">
        <f t="shared" si="22"/>
        <v>0</v>
      </c>
      <c r="N157" s="101"/>
    </row>
    <row r="158" spans="1:14" ht="12.75">
      <c r="A158" s="98"/>
      <c r="B158" s="253" t="s">
        <v>176</v>
      </c>
      <c r="C158" s="209"/>
      <c r="D158" s="99"/>
      <c r="E158" s="113">
        <v>2640</v>
      </c>
      <c r="F158" s="254"/>
      <c r="G158" s="246">
        <f t="shared" si="23"/>
        <v>0</v>
      </c>
      <c r="H158" s="254"/>
      <c r="I158" s="246">
        <f t="shared" si="20"/>
        <v>0</v>
      </c>
      <c r="J158" s="254"/>
      <c r="K158" s="246">
        <f t="shared" si="21"/>
        <v>0</v>
      </c>
      <c r="L158" s="255"/>
      <c r="M158" s="256">
        <f t="shared" si="22"/>
        <v>0</v>
      </c>
      <c r="N158" s="101"/>
    </row>
    <row r="159" spans="1:14" ht="12.75">
      <c r="A159" s="98"/>
      <c r="B159" s="253" t="s">
        <v>177</v>
      </c>
      <c r="C159" s="209"/>
      <c r="D159" s="99"/>
      <c r="E159" s="113">
        <v>4075</v>
      </c>
      <c r="F159" s="254"/>
      <c r="G159" s="246">
        <f t="shared" si="23"/>
        <v>0</v>
      </c>
      <c r="H159" s="254"/>
      <c r="I159" s="246">
        <f t="shared" si="20"/>
        <v>0</v>
      </c>
      <c r="J159" s="254"/>
      <c r="K159" s="246">
        <f t="shared" si="21"/>
        <v>0</v>
      </c>
      <c r="L159" s="255"/>
      <c r="M159" s="256">
        <f t="shared" si="22"/>
        <v>0</v>
      </c>
      <c r="N159" s="101"/>
    </row>
    <row r="160" spans="1:14" ht="12.75">
      <c r="A160" s="98"/>
      <c r="B160" s="253" t="s">
        <v>178</v>
      </c>
      <c r="C160" s="209"/>
      <c r="D160" s="99"/>
      <c r="E160" s="113">
        <v>160</v>
      </c>
      <c r="F160" s="254"/>
      <c r="G160" s="246">
        <f t="shared" si="23"/>
        <v>0</v>
      </c>
      <c r="H160" s="254"/>
      <c r="I160" s="246">
        <f t="shared" si="20"/>
        <v>0</v>
      </c>
      <c r="J160" s="254"/>
      <c r="K160" s="246">
        <f t="shared" si="21"/>
        <v>0</v>
      </c>
      <c r="L160" s="255"/>
      <c r="M160" s="256">
        <f t="shared" si="22"/>
        <v>0</v>
      </c>
      <c r="N160" s="101"/>
    </row>
    <row r="161" spans="1:14" ht="12.75">
      <c r="A161" s="98"/>
      <c r="B161" s="253" t="s">
        <v>179</v>
      </c>
      <c r="C161" s="209"/>
      <c r="D161" s="99"/>
      <c r="E161" s="113">
        <v>440</v>
      </c>
      <c r="F161" s="254"/>
      <c r="G161" s="246">
        <f t="shared" si="23"/>
        <v>0</v>
      </c>
      <c r="H161" s="254"/>
      <c r="I161" s="246">
        <f t="shared" si="20"/>
        <v>0</v>
      </c>
      <c r="J161" s="254"/>
      <c r="K161" s="246">
        <f t="shared" si="21"/>
        <v>0</v>
      </c>
      <c r="L161" s="255"/>
      <c r="M161" s="256">
        <f t="shared" si="22"/>
        <v>0</v>
      </c>
      <c r="N161" s="101"/>
    </row>
    <row r="162" spans="1:14" ht="12.75">
      <c r="A162" s="98"/>
      <c r="B162" s="253" t="s">
        <v>180</v>
      </c>
      <c r="C162" s="209"/>
      <c r="D162" s="99"/>
      <c r="E162" s="113">
        <v>780</v>
      </c>
      <c r="F162" s="254"/>
      <c r="G162" s="246">
        <f t="shared" si="23"/>
        <v>0</v>
      </c>
      <c r="H162" s="254"/>
      <c r="I162" s="246">
        <f t="shared" si="20"/>
        <v>0</v>
      </c>
      <c r="J162" s="254"/>
      <c r="K162" s="246">
        <f t="shared" si="21"/>
        <v>0</v>
      </c>
      <c r="L162" s="255"/>
      <c r="M162" s="256">
        <f t="shared" si="22"/>
        <v>0</v>
      </c>
      <c r="N162" s="101"/>
    </row>
    <row r="163" spans="1:14" ht="12.75">
      <c r="A163" s="98"/>
      <c r="B163" s="253" t="s">
        <v>181</v>
      </c>
      <c r="C163" s="209"/>
      <c r="D163" s="99"/>
      <c r="E163" s="113">
        <v>1500</v>
      </c>
      <c r="F163" s="254"/>
      <c r="G163" s="246">
        <f t="shared" si="23"/>
        <v>0</v>
      </c>
      <c r="H163" s="254"/>
      <c r="I163" s="246">
        <f t="shared" si="20"/>
        <v>0</v>
      </c>
      <c r="J163" s="254"/>
      <c r="K163" s="246">
        <f t="shared" si="21"/>
        <v>0</v>
      </c>
      <c r="L163" s="255"/>
      <c r="M163" s="256">
        <f t="shared" si="22"/>
        <v>0</v>
      </c>
      <c r="N163" s="101"/>
    </row>
    <row r="164" spans="1:14" ht="12.75">
      <c r="A164" s="98"/>
      <c r="B164" s="253" t="s">
        <v>182</v>
      </c>
      <c r="C164" s="209"/>
      <c r="D164" s="99"/>
      <c r="E164" s="113">
        <v>1700</v>
      </c>
      <c r="F164" s="254"/>
      <c r="G164" s="246">
        <f t="shared" si="23"/>
        <v>0</v>
      </c>
      <c r="H164" s="254"/>
      <c r="I164" s="246">
        <f t="shared" si="20"/>
        <v>0</v>
      </c>
      <c r="J164" s="254"/>
      <c r="K164" s="246">
        <f t="shared" si="21"/>
        <v>0</v>
      </c>
      <c r="L164" s="255"/>
      <c r="M164" s="256">
        <f t="shared" si="22"/>
        <v>0</v>
      </c>
      <c r="N164" s="101"/>
    </row>
    <row r="165" spans="1:14" ht="12.75">
      <c r="A165" s="98"/>
      <c r="B165" s="253" t="s">
        <v>183</v>
      </c>
      <c r="C165" s="209"/>
      <c r="D165" s="99"/>
      <c r="E165" s="113">
        <v>3100</v>
      </c>
      <c r="F165" s="254"/>
      <c r="G165" s="246">
        <f t="shared" si="23"/>
        <v>0</v>
      </c>
      <c r="H165" s="254"/>
      <c r="I165" s="246">
        <f t="shared" si="20"/>
        <v>0</v>
      </c>
      <c r="J165" s="254"/>
      <c r="K165" s="246">
        <f t="shared" si="21"/>
        <v>0</v>
      </c>
      <c r="L165" s="255"/>
      <c r="M165" s="256">
        <f t="shared" si="22"/>
        <v>0</v>
      </c>
      <c r="N165" s="101"/>
    </row>
    <row r="166" spans="1:14" ht="12.75">
      <c r="A166" s="98"/>
      <c r="B166" s="253" t="s">
        <v>184</v>
      </c>
      <c r="C166" s="209"/>
      <c r="D166" s="99"/>
      <c r="E166" s="113">
        <v>5800</v>
      </c>
      <c r="F166" s="254"/>
      <c r="G166" s="246">
        <f t="shared" si="23"/>
        <v>0</v>
      </c>
      <c r="H166" s="254"/>
      <c r="I166" s="246">
        <f t="shared" si="20"/>
        <v>0</v>
      </c>
      <c r="J166" s="254"/>
      <c r="K166" s="246">
        <f t="shared" si="21"/>
        <v>0</v>
      </c>
      <c r="L166" s="255"/>
      <c r="M166" s="256">
        <f t="shared" si="22"/>
        <v>0</v>
      </c>
      <c r="N166" s="101"/>
    </row>
    <row r="167" spans="1:14" ht="12.75">
      <c r="A167" s="98"/>
      <c r="B167" s="253" t="s">
        <v>185</v>
      </c>
      <c r="C167" s="209"/>
      <c r="D167" s="99"/>
      <c r="E167" s="113">
        <v>115</v>
      </c>
      <c r="F167" s="254"/>
      <c r="G167" s="246">
        <f t="shared" si="23"/>
        <v>0</v>
      </c>
      <c r="H167" s="254"/>
      <c r="I167" s="246">
        <f t="shared" si="20"/>
        <v>0</v>
      </c>
      <c r="J167" s="254"/>
      <c r="K167" s="246">
        <f t="shared" si="21"/>
        <v>0</v>
      </c>
      <c r="L167" s="255"/>
      <c r="M167" s="256">
        <f t="shared" si="22"/>
        <v>0</v>
      </c>
      <c r="N167" s="101"/>
    </row>
    <row r="168" spans="1:14" ht="12.75">
      <c r="A168" s="98"/>
      <c r="B168" s="253" t="s">
        <v>186</v>
      </c>
      <c r="C168" s="209"/>
      <c r="D168" s="99"/>
      <c r="E168" s="113">
        <v>320</v>
      </c>
      <c r="F168" s="254"/>
      <c r="G168" s="246">
        <f t="shared" si="23"/>
        <v>0</v>
      </c>
      <c r="H168" s="254"/>
      <c r="I168" s="246">
        <f t="shared" si="20"/>
        <v>0</v>
      </c>
      <c r="J168" s="254"/>
      <c r="K168" s="246">
        <f t="shared" si="21"/>
        <v>0</v>
      </c>
      <c r="L168" s="255"/>
      <c r="M168" s="256">
        <f t="shared" si="22"/>
        <v>0</v>
      </c>
      <c r="N168" s="101"/>
    </row>
    <row r="169" spans="1:14" ht="12.75">
      <c r="A169" s="98"/>
      <c r="B169" s="253" t="s">
        <v>187</v>
      </c>
      <c r="C169" s="209"/>
      <c r="D169" s="99"/>
      <c r="E169" s="113">
        <v>600</v>
      </c>
      <c r="F169" s="254"/>
      <c r="G169" s="246">
        <f t="shared" si="23"/>
        <v>0</v>
      </c>
      <c r="H169" s="254"/>
      <c r="I169" s="246">
        <f t="shared" si="20"/>
        <v>0</v>
      </c>
      <c r="J169" s="254"/>
      <c r="K169" s="246">
        <f t="shared" si="21"/>
        <v>0</v>
      </c>
      <c r="L169" s="255"/>
      <c r="M169" s="256">
        <f t="shared" si="22"/>
        <v>0</v>
      </c>
      <c r="N169" s="101"/>
    </row>
    <row r="170" spans="1:14" ht="12.75">
      <c r="A170" s="98"/>
      <c r="B170" s="253" t="s">
        <v>188</v>
      </c>
      <c r="C170" s="209"/>
      <c r="D170" s="99"/>
      <c r="E170" s="113">
        <v>1000</v>
      </c>
      <c r="F170" s="254"/>
      <c r="G170" s="246">
        <f t="shared" si="23"/>
        <v>0</v>
      </c>
      <c r="H170" s="254"/>
      <c r="I170" s="246">
        <f t="shared" si="20"/>
        <v>0</v>
      </c>
      <c r="J170" s="254"/>
      <c r="K170" s="246">
        <f t="shared" si="21"/>
        <v>0</v>
      </c>
      <c r="L170" s="255"/>
      <c r="M170" s="256">
        <f t="shared" si="22"/>
        <v>0</v>
      </c>
      <c r="N170" s="101"/>
    </row>
    <row r="171" spans="1:14" ht="12.75">
      <c r="A171" s="98"/>
      <c r="B171" s="253" t="s">
        <v>189</v>
      </c>
      <c r="C171" s="209"/>
      <c r="D171" s="99"/>
      <c r="E171" s="113">
        <v>2000</v>
      </c>
      <c r="F171" s="254"/>
      <c r="G171" s="246">
        <f t="shared" si="23"/>
        <v>0</v>
      </c>
      <c r="H171" s="254"/>
      <c r="I171" s="246">
        <f t="shared" si="20"/>
        <v>0</v>
      </c>
      <c r="J171" s="254"/>
      <c r="K171" s="246">
        <f t="shared" si="21"/>
        <v>0</v>
      </c>
      <c r="L171" s="255"/>
      <c r="M171" s="256">
        <f t="shared" si="22"/>
        <v>0</v>
      </c>
      <c r="N171" s="101"/>
    </row>
    <row r="172" spans="1:14" ht="12.75">
      <c r="A172" s="98"/>
      <c r="B172" s="253" t="s">
        <v>190</v>
      </c>
      <c r="C172" s="209"/>
      <c r="D172" s="99"/>
      <c r="E172" s="113">
        <v>125</v>
      </c>
      <c r="F172" s="254"/>
      <c r="G172" s="246">
        <f t="shared" si="23"/>
        <v>0</v>
      </c>
      <c r="H172" s="254"/>
      <c r="I172" s="246">
        <f t="shared" si="20"/>
        <v>0</v>
      </c>
      <c r="J172" s="254"/>
      <c r="K172" s="246">
        <f t="shared" si="21"/>
        <v>0</v>
      </c>
      <c r="L172" s="255"/>
      <c r="M172" s="256">
        <f t="shared" si="22"/>
        <v>0</v>
      </c>
      <c r="N172" s="101"/>
    </row>
    <row r="173" spans="1:14" ht="12.75">
      <c r="A173" s="98"/>
      <c r="B173" s="253" t="s">
        <v>191</v>
      </c>
      <c r="C173" s="209"/>
      <c r="D173" s="99"/>
      <c r="E173" s="113">
        <v>319</v>
      </c>
      <c r="F173" s="254"/>
      <c r="G173" s="246">
        <f t="shared" si="23"/>
        <v>0</v>
      </c>
      <c r="H173" s="254"/>
      <c r="I173" s="246">
        <f t="shared" si="20"/>
        <v>0</v>
      </c>
      <c r="J173" s="254"/>
      <c r="K173" s="246">
        <f t="shared" si="21"/>
        <v>0</v>
      </c>
      <c r="L173" s="255"/>
      <c r="M173" s="256">
        <f t="shared" si="22"/>
        <v>0</v>
      </c>
      <c r="N173" s="101"/>
    </row>
    <row r="174" spans="1:14" ht="12.75">
      <c r="A174" s="98"/>
      <c r="B174" s="253" t="s">
        <v>192</v>
      </c>
      <c r="C174" s="209"/>
      <c r="D174" s="99"/>
      <c r="E174" s="113">
        <v>580</v>
      </c>
      <c r="F174" s="254"/>
      <c r="G174" s="246">
        <f t="shared" si="23"/>
        <v>0</v>
      </c>
      <c r="H174" s="254"/>
      <c r="I174" s="246">
        <f t="shared" si="20"/>
        <v>0</v>
      </c>
      <c r="J174" s="254"/>
      <c r="K174" s="246">
        <f t="shared" si="21"/>
        <v>0</v>
      </c>
      <c r="L174" s="255"/>
      <c r="M174" s="256">
        <f t="shared" si="22"/>
        <v>0</v>
      </c>
      <c r="N174" s="101"/>
    </row>
    <row r="175" spans="1:14" ht="12.75">
      <c r="A175" s="98"/>
      <c r="B175" s="253"/>
      <c r="C175" s="209"/>
      <c r="D175" s="99"/>
      <c r="E175" s="113"/>
      <c r="F175" s="254"/>
      <c r="G175" s="246">
        <f t="shared" si="23"/>
        <v>0</v>
      </c>
      <c r="H175" s="254"/>
      <c r="I175" s="246">
        <f t="shared" si="20"/>
        <v>0</v>
      </c>
      <c r="J175" s="254"/>
      <c r="K175" s="246">
        <f t="shared" si="21"/>
        <v>0</v>
      </c>
      <c r="L175" s="255"/>
      <c r="M175" s="256">
        <f t="shared" si="22"/>
        <v>0</v>
      </c>
      <c r="N175" s="101"/>
    </row>
    <row r="176" spans="1:14" ht="12.75">
      <c r="A176" s="98"/>
      <c r="B176" s="253"/>
      <c r="C176" s="209"/>
      <c r="D176" s="99"/>
      <c r="E176" s="113"/>
      <c r="F176" s="254"/>
      <c r="G176" s="246">
        <f t="shared" si="23"/>
        <v>0</v>
      </c>
      <c r="H176" s="254"/>
      <c r="I176" s="246">
        <f t="shared" si="20"/>
        <v>0</v>
      </c>
      <c r="J176" s="254"/>
      <c r="K176" s="246">
        <f t="shared" si="21"/>
        <v>0</v>
      </c>
      <c r="L176" s="255"/>
      <c r="M176" s="256">
        <f t="shared" si="22"/>
        <v>0</v>
      </c>
      <c r="N176" s="101"/>
    </row>
    <row r="177" spans="1:14" ht="12.75">
      <c r="A177" s="98"/>
      <c r="B177" s="253" t="s">
        <v>276</v>
      </c>
      <c r="C177" s="209"/>
      <c r="D177" s="99"/>
      <c r="E177" s="113">
        <v>8.84</v>
      </c>
      <c r="F177" s="254"/>
      <c r="G177" s="246">
        <f t="shared" si="23"/>
        <v>0</v>
      </c>
      <c r="H177" s="254"/>
      <c r="I177" s="246">
        <f t="shared" si="20"/>
        <v>0</v>
      </c>
      <c r="J177" s="254"/>
      <c r="K177" s="246">
        <f t="shared" si="21"/>
        <v>0</v>
      </c>
      <c r="L177" s="255"/>
      <c r="M177" s="256">
        <f t="shared" si="22"/>
        <v>0</v>
      </c>
      <c r="N177" s="101"/>
    </row>
    <row r="178" spans="1:14" ht="12.75">
      <c r="A178" s="98"/>
      <c r="B178" s="253" t="s">
        <v>277</v>
      </c>
      <c r="C178" s="209"/>
      <c r="D178" s="99"/>
      <c r="E178" s="113">
        <v>53.8</v>
      </c>
      <c r="F178" s="254"/>
      <c r="G178" s="246">
        <f t="shared" si="23"/>
        <v>0</v>
      </c>
      <c r="H178" s="254"/>
      <c r="I178" s="246">
        <f t="shared" si="20"/>
        <v>0</v>
      </c>
      <c r="J178" s="254"/>
      <c r="K178" s="246">
        <f t="shared" si="21"/>
        <v>0</v>
      </c>
      <c r="L178" s="255"/>
      <c r="M178" s="256">
        <f t="shared" si="22"/>
        <v>0</v>
      </c>
      <c r="N178" s="101"/>
    </row>
    <row r="179" spans="1:14" ht="12.75">
      <c r="A179" s="98"/>
      <c r="B179" s="253" t="s">
        <v>278</v>
      </c>
      <c r="C179" s="209"/>
      <c r="D179" s="99"/>
      <c r="E179" s="113">
        <v>26.9</v>
      </c>
      <c r="F179" s="254"/>
      <c r="G179" s="246">
        <f t="shared" si="23"/>
        <v>0</v>
      </c>
      <c r="H179" s="254"/>
      <c r="I179" s="246">
        <f t="shared" si="20"/>
        <v>0</v>
      </c>
      <c r="J179" s="254"/>
      <c r="K179" s="246">
        <f t="shared" si="21"/>
        <v>0</v>
      </c>
      <c r="L179" s="255"/>
      <c r="M179" s="256">
        <f t="shared" si="22"/>
        <v>0</v>
      </c>
      <c r="N179" s="101"/>
    </row>
    <row r="180" spans="1:14" ht="12.75">
      <c r="A180" s="98"/>
      <c r="B180" s="253"/>
      <c r="C180" s="209"/>
      <c r="D180" s="99"/>
      <c r="E180" s="113"/>
      <c r="F180" s="254"/>
      <c r="G180" s="246">
        <f t="shared" si="23"/>
        <v>0</v>
      </c>
      <c r="H180" s="254"/>
      <c r="I180" s="246">
        <f t="shared" si="20"/>
        <v>0</v>
      </c>
      <c r="J180" s="254"/>
      <c r="K180" s="246">
        <f t="shared" si="21"/>
        <v>0</v>
      </c>
      <c r="L180" s="255"/>
      <c r="M180" s="256">
        <f t="shared" si="22"/>
        <v>0</v>
      </c>
      <c r="N180" s="101"/>
    </row>
    <row r="181" spans="1:14" ht="12.75">
      <c r="A181" s="98"/>
      <c r="B181" s="253"/>
      <c r="C181" s="209"/>
      <c r="D181" s="99"/>
      <c r="E181" s="113"/>
      <c r="F181" s="254"/>
      <c r="G181" s="246">
        <f t="shared" si="23"/>
        <v>0</v>
      </c>
      <c r="H181" s="254"/>
      <c r="I181" s="246">
        <f t="shared" si="20"/>
        <v>0</v>
      </c>
      <c r="J181" s="254"/>
      <c r="K181" s="246">
        <f t="shared" si="21"/>
        <v>0</v>
      </c>
      <c r="L181" s="255"/>
      <c r="M181" s="256">
        <f t="shared" si="22"/>
        <v>0</v>
      </c>
      <c r="N181" s="101"/>
    </row>
    <row r="182" spans="1:14" ht="12.75">
      <c r="A182" s="98"/>
      <c r="B182" s="253"/>
      <c r="C182" s="209"/>
      <c r="D182" s="99"/>
      <c r="E182" s="113"/>
      <c r="F182" s="254"/>
      <c r="G182" s="246"/>
      <c r="H182" s="254"/>
      <c r="I182" s="246"/>
      <c r="J182" s="254"/>
      <c r="K182" s="246"/>
      <c r="L182" s="255"/>
      <c r="M182" s="256"/>
      <c r="N182" s="101"/>
    </row>
    <row r="183" spans="1:14" ht="12.75">
      <c r="A183" s="98"/>
      <c r="B183" s="188" t="s">
        <v>108</v>
      </c>
      <c r="C183" s="189"/>
      <c r="D183" s="189"/>
      <c r="E183" s="189"/>
      <c r="F183" s="250"/>
      <c r="G183" s="189"/>
      <c r="H183" s="250"/>
      <c r="I183" s="189"/>
      <c r="J183" s="250"/>
      <c r="K183" s="189"/>
      <c r="L183" s="251"/>
      <c r="M183" s="252"/>
      <c r="N183" s="101"/>
    </row>
    <row r="184" spans="1:14" ht="12.75">
      <c r="A184" s="98"/>
      <c r="B184" s="253"/>
      <c r="C184" s="209"/>
      <c r="D184" s="105" t="s">
        <v>128</v>
      </c>
      <c r="E184" s="249">
        <v>5.42</v>
      </c>
      <c r="F184" s="254"/>
      <c r="G184" s="246">
        <f aca="true" t="shared" si="24" ref="G184:G198">F184*$E184</f>
        <v>0</v>
      </c>
      <c r="H184" s="254"/>
      <c r="I184" s="246">
        <f aca="true" t="shared" si="25" ref="I184:I198">H184*$E184</f>
        <v>0</v>
      </c>
      <c r="J184" s="254"/>
      <c r="K184" s="246">
        <f aca="true" t="shared" si="26" ref="K184:K198">J184*$E184</f>
        <v>0</v>
      </c>
      <c r="L184" s="255"/>
      <c r="M184" s="256">
        <f aca="true" t="shared" si="27" ref="M184:M198">L184*$E184</f>
        <v>0</v>
      </c>
      <c r="N184" s="101"/>
    </row>
    <row r="185" spans="1:14" ht="12.75">
      <c r="A185" s="98"/>
      <c r="B185" s="253"/>
      <c r="C185" s="209"/>
      <c r="D185" s="99"/>
      <c r="E185" s="249"/>
      <c r="F185" s="254"/>
      <c r="G185" s="246">
        <f t="shared" si="24"/>
        <v>0</v>
      </c>
      <c r="H185" s="254"/>
      <c r="I185" s="246">
        <f t="shared" si="25"/>
        <v>0</v>
      </c>
      <c r="J185" s="254"/>
      <c r="K185" s="246">
        <f t="shared" si="26"/>
        <v>0</v>
      </c>
      <c r="L185" s="255"/>
      <c r="M185" s="256">
        <f t="shared" si="27"/>
        <v>0</v>
      </c>
      <c r="N185" s="101"/>
    </row>
    <row r="186" spans="1:14" ht="12.75">
      <c r="A186" s="98"/>
      <c r="B186" s="253"/>
      <c r="C186" s="209"/>
      <c r="D186" s="99"/>
      <c r="E186" s="113"/>
      <c r="F186" s="254"/>
      <c r="G186" s="246">
        <f t="shared" si="24"/>
        <v>0</v>
      </c>
      <c r="H186" s="254"/>
      <c r="I186" s="246">
        <f t="shared" si="25"/>
        <v>0</v>
      </c>
      <c r="J186" s="254"/>
      <c r="K186" s="246">
        <f t="shared" si="26"/>
        <v>0</v>
      </c>
      <c r="L186" s="255"/>
      <c r="M186" s="256">
        <f t="shared" si="27"/>
        <v>0</v>
      </c>
      <c r="N186" s="101"/>
    </row>
    <row r="187" spans="1:14" ht="12.75">
      <c r="A187" s="98"/>
      <c r="B187" s="253"/>
      <c r="C187" s="209"/>
      <c r="D187" s="99"/>
      <c r="E187" s="113"/>
      <c r="F187" s="254"/>
      <c r="G187" s="246">
        <f t="shared" si="24"/>
        <v>0</v>
      </c>
      <c r="H187" s="254"/>
      <c r="I187" s="246">
        <f t="shared" si="25"/>
        <v>0</v>
      </c>
      <c r="J187" s="254"/>
      <c r="K187" s="246">
        <f t="shared" si="26"/>
        <v>0</v>
      </c>
      <c r="L187" s="255"/>
      <c r="M187" s="256">
        <f t="shared" si="27"/>
        <v>0</v>
      </c>
      <c r="N187" s="101"/>
    </row>
    <row r="188" spans="1:14" ht="12.75">
      <c r="A188" s="98"/>
      <c r="B188" s="253"/>
      <c r="C188" s="209"/>
      <c r="D188" s="99"/>
      <c r="E188" s="113"/>
      <c r="F188" s="254"/>
      <c r="G188" s="246">
        <f t="shared" si="24"/>
        <v>0</v>
      </c>
      <c r="H188" s="254"/>
      <c r="I188" s="246">
        <f t="shared" si="25"/>
        <v>0</v>
      </c>
      <c r="J188" s="254"/>
      <c r="K188" s="246">
        <f t="shared" si="26"/>
        <v>0</v>
      </c>
      <c r="L188" s="255"/>
      <c r="M188" s="256">
        <f t="shared" si="27"/>
        <v>0</v>
      </c>
      <c r="N188" s="101"/>
    </row>
    <row r="189" spans="1:14" ht="12.75">
      <c r="A189" s="98"/>
      <c r="B189" s="253"/>
      <c r="C189" s="209"/>
      <c r="D189" s="99"/>
      <c r="E189" s="113"/>
      <c r="F189" s="254"/>
      <c r="G189" s="246">
        <f t="shared" si="24"/>
        <v>0</v>
      </c>
      <c r="H189" s="254"/>
      <c r="I189" s="246">
        <f t="shared" si="25"/>
        <v>0</v>
      </c>
      <c r="J189" s="254"/>
      <c r="K189" s="246">
        <f t="shared" si="26"/>
        <v>0</v>
      </c>
      <c r="L189" s="255"/>
      <c r="M189" s="256">
        <f t="shared" si="27"/>
        <v>0</v>
      </c>
      <c r="N189" s="101"/>
    </row>
    <row r="190" spans="1:14" ht="12.75">
      <c r="A190" s="98"/>
      <c r="B190" s="253"/>
      <c r="C190" s="209"/>
      <c r="D190" s="99"/>
      <c r="E190" s="113"/>
      <c r="F190" s="254"/>
      <c r="G190" s="246">
        <f t="shared" si="24"/>
        <v>0</v>
      </c>
      <c r="H190" s="254"/>
      <c r="I190" s="246">
        <f t="shared" si="25"/>
        <v>0</v>
      </c>
      <c r="J190" s="254"/>
      <c r="K190" s="246">
        <f t="shared" si="26"/>
        <v>0</v>
      </c>
      <c r="L190" s="255"/>
      <c r="M190" s="256">
        <f t="shared" si="27"/>
        <v>0</v>
      </c>
      <c r="N190" s="101"/>
    </row>
    <row r="191" spans="1:14" ht="12.75">
      <c r="A191" s="98"/>
      <c r="B191" s="253"/>
      <c r="C191" s="209"/>
      <c r="D191" s="99"/>
      <c r="E191" s="113"/>
      <c r="F191" s="254"/>
      <c r="G191" s="246">
        <f t="shared" si="24"/>
        <v>0</v>
      </c>
      <c r="H191" s="254"/>
      <c r="I191" s="246">
        <f t="shared" si="25"/>
        <v>0</v>
      </c>
      <c r="J191" s="254"/>
      <c r="K191" s="246">
        <f t="shared" si="26"/>
        <v>0</v>
      </c>
      <c r="L191" s="255"/>
      <c r="M191" s="256">
        <f t="shared" si="27"/>
        <v>0</v>
      </c>
      <c r="N191" s="101"/>
    </row>
    <row r="192" spans="1:14" ht="12.75">
      <c r="A192" s="98"/>
      <c r="B192" s="253"/>
      <c r="C192" s="209"/>
      <c r="D192" s="99"/>
      <c r="E192" s="113"/>
      <c r="F192" s="254"/>
      <c r="G192" s="246">
        <f t="shared" si="24"/>
        <v>0</v>
      </c>
      <c r="H192" s="254"/>
      <c r="I192" s="246">
        <f t="shared" si="25"/>
        <v>0</v>
      </c>
      <c r="J192" s="254"/>
      <c r="K192" s="246">
        <f t="shared" si="26"/>
        <v>0</v>
      </c>
      <c r="L192" s="255"/>
      <c r="M192" s="256">
        <f t="shared" si="27"/>
        <v>0</v>
      </c>
      <c r="N192" s="101"/>
    </row>
    <row r="193" spans="1:14" ht="12.75">
      <c r="A193" s="98"/>
      <c r="B193" s="253"/>
      <c r="C193" s="209"/>
      <c r="D193" s="99"/>
      <c r="E193" s="113"/>
      <c r="F193" s="254"/>
      <c r="G193" s="246">
        <f t="shared" si="24"/>
        <v>0</v>
      </c>
      <c r="H193" s="254"/>
      <c r="I193" s="246">
        <f t="shared" si="25"/>
        <v>0</v>
      </c>
      <c r="J193" s="254"/>
      <c r="K193" s="246">
        <f t="shared" si="26"/>
        <v>0</v>
      </c>
      <c r="L193" s="255"/>
      <c r="M193" s="256">
        <f t="shared" si="27"/>
        <v>0</v>
      </c>
      <c r="N193" s="101"/>
    </row>
    <row r="194" spans="1:14" ht="12.75">
      <c r="A194" s="98"/>
      <c r="B194" s="253"/>
      <c r="C194" s="209"/>
      <c r="D194" s="99"/>
      <c r="E194" s="113"/>
      <c r="F194" s="254"/>
      <c r="G194" s="246">
        <f t="shared" si="24"/>
        <v>0</v>
      </c>
      <c r="H194" s="254"/>
      <c r="I194" s="246">
        <f t="shared" si="25"/>
        <v>0</v>
      </c>
      <c r="J194" s="254"/>
      <c r="K194" s="246">
        <f t="shared" si="26"/>
        <v>0</v>
      </c>
      <c r="L194" s="255"/>
      <c r="M194" s="256">
        <f t="shared" si="27"/>
        <v>0</v>
      </c>
      <c r="N194" s="101"/>
    </row>
    <row r="195" spans="1:14" ht="12.75">
      <c r="A195" s="98"/>
      <c r="B195" s="253"/>
      <c r="C195" s="209"/>
      <c r="D195" s="99"/>
      <c r="E195" s="113"/>
      <c r="F195" s="254"/>
      <c r="G195" s="246">
        <f t="shared" si="24"/>
        <v>0</v>
      </c>
      <c r="H195" s="254"/>
      <c r="I195" s="246">
        <f t="shared" si="25"/>
        <v>0</v>
      </c>
      <c r="J195" s="254"/>
      <c r="K195" s="246">
        <f t="shared" si="26"/>
        <v>0</v>
      </c>
      <c r="L195" s="255"/>
      <c r="M195" s="256">
        <f t="shared" si="27"/>
        <v>0</v>
      </c>
      <c r="N195" s="101"/>
    </row>
    <row r="196" spans="1:14" ht="12.75">
      <c r="A196" s="98"/>
      <c r="B196" s="253"/>
      <c r="C196" s="209"/>
      <c r="D196" s="99"/>
      <c r="E196" s="113"/>
      <c r="F196" s="254"/>
      <c r="G196" s="246">
        <f t="shared" si="24"/>
        <v>0</v>
      </c>
      <c r="H196" s="254"/>
      <c r="I196" s="246">
        <f t="shared" si="25"/>
        <v>0</v>
      </c>
      <c r="J196" s="254"/>
      <c r="K196" s="246">
        <f t="shared" si="26"/>
        <v>0</v>
      </c>
      <c r="L196" s="255"/>
      <c r="M196" s="256">
        <f t="shared" si="27"/>
        <v>0</v>
      </c>
      <c r="N196" s="101"/>
    </row>
    <row r="197" spans="1:14" ht="12.75">
      <c r="A197" s="98"/>
      <c r="B197" s="253"/>
      <c r="C197" s="209"/>
      <c r="D197" s="99"/>
      <c r="E197" s="113"/>
      <c r="F197" s="254"/>
      <c r="G197" s="246">
        <f t="shared" si="24"/>
        <v>0</v>
      </c>
      <c r="H197" s="254"/>
      <c r="I197" s="246">
        <f t="shared" si="25"/>
        <v>0</v>
      </c>
      <c r="J197" s="254"/>
      <c r="K197" s="246">
        <f t="shared" si="26"/>
        <v>0</v>
      </c>
      <c r="L197" s="255"/>
      <c r="M197" s="256">
        <f t="shared" si="27"/>
        <v>0</v>
      </c>
      <c r="N197" s="101"/>
    </row>
    <row r="198" spans="1:14" ht="12.75">
      <c r="A198" s="98"/>
      <c r="B198" s="258"/>
      <c r="C198" s="203"/>
      <c r="D198" s="191"/>
      <c r="E198" s="238"/>
      <c r="F198" s="257"/>
      <c r="G198" s="247">
        <f t="shared" si="24"/>
        <v>0</v>
      </c>
      <c r="H198" s="257"/>
      <c r="I198" s="247">
        <f t="shared" si="25"/>
        <v>0</v>
      </c>
      <c r="J198" s="257"/>
      <c r="K198" s="247">
        <f t="shared" si="26"/>
        <v>0</v>
      </c>
      <c r="L198" s="259"/>
      <c r="M198" s="260">
        <f t="shared" si="27"/>
        <v>0</v>
      </c>
      <c r="N198" s="101"/>
    </row>
    <row r="199" spans="1:14" ht="12.75">
      <c r="A199" s="98"/>
      <c r="B199" s="99"/>
      <c r="C199" s="99"/>
      <c r="D199" s="99"/>
      <c r="E199" s="104" t="s">
        <v>44</v>
      </c>
      <c r="F199" s="276">
        <f>SUM(G128:G198)</f>
        <v>0</v>
      </c>
      <c r="G199" s="278"/>
      <c r="H199" s="276">
        <f>SUM(I128:I198)</f>
        <v>0</v>
      </c>
      <c r="I199" s="278"/>
      <c r="J199" s="276">
        <f>SUM(K128:K198)</f>
        <v>0</v>
      </c>
      <c r="K199" s="278"/>
      <c r="L199" s="276">
        <f>SUM(M128:M198)</f>
        <v>0</v>
      </c>
      <c r="M199" s="99"/>
      <c r="N199" s="101"/>
    </row>
    <row r="200" spans="1:14" ht="12.75">
      <c r="A200" s="98"/>
      <c r="B200" s="99"/>
      <c r="C200" s="99"/>
      <c r="D200" s="99"/>
      <c r="E200" s="104" t="s">
        <v>269</v>
      </c>
      <c r="F200" s="277">
        <f>F199*($D$40/F127)^4</f>
        <v>0</v>
      </c>
      <c r="G200" s="278"/>
      <c r="H200" s="277">
        <f>H199*($D$40/H127)^4</f>
        <v>0</v>
      </c>
      <c r="I200" s="278"/>
      <c r="J200" s="277">
        <f>J199*($D$40/J127)^4</f>
        <v>0</v>
      </c>
      <c r="K200" s="278"/>
      <c r="L200" s="277">
        <f>L199*($D$40/L127)^4</f>
        <v>0</v>
      </c>
      <c r="M200" s="99"/>
      <c r="N200" s="101"/>
    </row>
    <row r="201" spans="1:14" ht="13.5" thickBot="1">
      <c r="A201" s="161"/>
      <c r="B201" s="162"/>
      <c r="C201" s="162"/>
      <c r="D201" s="162"/>
      <c r="E201" s="162"/>
      <c r="F201" s="162"/>
      <c r="G201" s="162"/>
      <c r="H201" s="162"/>
      <c r="I201" s="162"/>
      <c r="J201" s="162"/>
      <c r="K201" s="162"/>
      <c r="L201" s="162"/>
      <c r="M201" s="162"/>
      <c r="N201" s="163"/>
    </row>
  </sheetData>
  <mergeCells count="6">
    <mergeCell ref="J34:L34"/>
    <mergeCell ref="A1:N1"/>
    <mergeCell ref="C5:E5"/>
    <mergeCell ref="C6:E6"/>
    <mergeCell ref="H5:L5"/>
    <mergeCell ref="H6:L6"/>
  </mergeCells>
  <printOptions/>
  <pageMargins left="0.61" right="0.36" top="0.4724409448818898" bottom="0.7086614173228347" header="0.5118110236220472" footer="0.54"/>
  <pageSetup fitToHeight="0" fitToWidth="1" horizontalDpi="600" verticalDpi="600" orientation="portrait" paperSize="9" scale="85" r:id="rId4"/>
  <headerFooter alignWithMargins="0">
    <oddFooter>&amp;L&amp;F&amp;C&amp;A&amp;R&amp;D</oddFooter>
  </headerFooter>
  <rowBreaks count="2" manualBreakCount="2">
    <brk id="72" max="13" man="1"/>
    <brk id="125" max="255" man="1"/>
  </rowBreaks>
  <drawing r:id="rId3"/>
  <legacyDrawing r:id="rId2"/>
  <oleObjects>
    <oleObject progId="Autosketch Drawing" shapeId="8738613" r:id="rId1"/>
  </oleObjects>
</worksheet>
</file>

<file path=xl/worksheets/sheet2.xml><?xml version="1.0" encoding="utf-8"?>
<worksheet xmlns="http://schemas.openxmlformats.org/spreadsheetml/2006/main" xmlns:r="http://schemas.openxmlformats.org/officeDocument/2006/relationships">
  <sheetPr codeName="Sheet1">
    <pageSetUpPr fitToPage="1"/>
  </sheetPr>
  <dimension ref="A1:K270"/>
  <sheetViews>
    <sheetView showGridLines="0" workbookViewId="0" topLeftCell="A1">
      <pane ySplit="4" topLeftCell="BM8" activePane="bottomLeft" state="frozen"/>
      <selection pane="topLeft" activeCell="B15" sqref="B15"/>
      <selection pane="bottomLeft" activeCell="B41" sqref="B41"/>
    </sheetView>
  </sheetViews>
  <sheetFormatPr defaultColWidth="9.140625" defaultRowHeight="12.75"/>
  <cols>
    <col min="1" max="1" width="2.57421875" style="0" customWidth="1"/>
    <col min="2" max="3" width="16.7109375" style="0" customWidth="1"/>
    <col min="5" max="6" width="16.7109375" style="0" customWidth="1"/>
    <col min="8" max="9" width="16.7109375" style="0" customWidth="1"/>
    <col min="11" max="11" width="2.57421875" style="0" customWidth="1"/>
  </cols>
  <sheetData>
    <row r="1" spans="1:11" ht="13.5" thickBot="1">
      <c r="A1" s="295" t="s">
        <v>194</v>
      </c>
      <c r="B1" s="296"/>
      <c r="C1" s="296"/>
      <c r="D1" s="296"/>
      <c r="E1" s="296"/>
      <c r="F1" s="296"/>
      <c r="G1" s="296"/>
      <c r="H1" s="296"/>
      <c r="I1" s="296"/>
      <c r="J1" s="296"/>
      <c r="K1" s="297"/>
    </row>
    <row r="2" spans="1:11" ht="12.75">
      <c r="A2" s="71"/>
      <c r="B2" s="67"/>
      <c r="C2" s="67"/>
      <c r="D2" s="67"/>
      <c r="E2" s="67"/>
      <c r="F2" s="67"/>
      <c r="G2" s="67"/>
      <c r="H2" s="67"/>
      <c r="I2" s="67"/>
      <c r="J2" s="67"/>
      <c r="K2" s="72"/>
    </row>
    <row r="3" spans="1:11" ht="12.75">
      <c r="A3" s="71"/>
      <c r="B3" s="67"/>
      <c r="C3" s="67"/>
      <c r="D3" s="67"/>
      <c r="E3" s="67"/>
      <c r="F3" s="67"/>
      <c r="G3" s="67"/>
      <c r="H3" s="67"/>
      <c r="I3" s="67"/>
      <c r="J3" s="67"/>
      <c r="K3" s="72"/>
    </row>
    <row r="4" spans="1:11" ht="12.75">
      <c r="A4" s="71"/>
      <c r="B4" s="68" t="s">
        <v>193</v>
      </c>
      <c r="C4" s="94" t="s">
        <v>130</v>
      </c>
      <c r="D4" s="95" t="s">
        <v>127</v>
      </c>
      <c r="E4" s="96" t="s">
        <v>193</v>
      </c>
      <c r="F4" s="69" t="s">
        <v>169</v>
      </c>
      <c r="G4" s="95" t="s">
        <v>127</v>
      </c>
      <c r="H4" s="68" t="s">
        <v>193</v>
      </c>
      <c r="I4" s="69"/>
      <c r="J4" s="95" t="s">
        <v>128</v>
      </c>
      <c r="K4" s="72"/>
    </row>
    <row r="5" spans="1:11" ht="12.75">
      <c r="A5" s="71"/>
      <c r="B5" s="78" t="s">
        <v>171</v>
      </c>
      <c r="C5" s="76"/>
      <c r="D5" s="91">
        <v>54.3</v>
      </c>
      <c r="E5" s="78"/>
      <c r="F5" s="76"/>
      <c r="G5" s="91"/>
      <c r="H5" s="78"/>
      <c r="I5" s="76"/>
      <c r="J5" s="91"/>
      <c r="K5" s="72"/>
    </row>
    <row r="6" spans="1:11" ht="12.75">
      <c r="A6" s="71"/>
      <c r="B6" s="78" t="s">
        <v>172</v>
      </c>
      <c r="C6" s="76"/>
      <c r="D6" s="91">
        <v>139.3</v>
      </c>
      <c r="E6" s="78"/>
      <c r="F6" s="76"/>
      <c r="G6" s="91"/>
      <c r="H6" s="78"/>
      <c r="I6" s="76"/>
      <c r="J6" s="91"/>
      <c r="K6" s="72"/>
    </row>
    <row r="7" spans="1:11" ht="12.75">
      <c r="A7" s="71"/>
      <c r="B7" s="78" t="s">
        <v>173</v>
      </c>
      <c r="C7" s="76"/>
      <c r="D7" s="92">
        <v>271.3</v>
      </c>
      <c r="E7" s="78"/>
      <c r="F7" s="76"/>
      <c r="G7" s="92"/>
      <c r="H7" s="78"/>
      <c r="I7" s="76"/>
      <c r="J7" s="92"/>
      <c r="K7" s="72"/>
    </row>
    <row r="8" spans="1:11" ht="12.75">
      <c r="A8" s="71"/>
      <c r="B8" s="78" t="s">
        <v>174</v>
      </c>
      <c r="C8" s="76"/>
      <c r="D8" s="92">
        <v>725</v>
      </c>
      <c r="E8" s="78"/>
      <c r="F8" s="76"/>
      <c r="G8" s="92"/>
      <c r="H8" s="78"/>
      <c r="I8" s="76"/>
      <c r="J8" s="92"/>
      <c r="K8" s="72"/>
    </row>
    <row r="9" spans="1:11" ht="12.75">
      <c r="A9" s="71"/>
      <c r="B9" s="78" t="s">
        <v>175</v>
      </c>
      <c r="C9" s="76"/>
      <c r="D9" s="92">
        <v>1509</v>
      </c>
      <c r="E9" s="78"/>
      <c r="F9" s="76"/>
      <c r="G9" s="92"/>
      <c r="H9" s="78"/>
      <c r="I9" s="76"/>
      <c r="J9" s="92"/>
      <c r="K9" s="72"/>
    </row>
    <row r="10" spans="1:11" ht="12.75">
      <c r="A10" s="71"/>
      <c r="B10" s="78" t="s">
        <v>176</v>
      </c>
      <c r="C10" s="76"/>
      <c r="D10" s="92">
        <v>2640</v>
      </c>
      <c r="E10" s="78"/>
      <c r="F10" s="76"/>
      <c r="G10" s="92"/>
      <c r="H10" s="78"/>
      <c r="I10" s="76"/>
      <c r="J10" s="92"/>
      <c r="K10" s="72"/>
    </row>
    <row r="11" spans="1:11" ht="12.75">
      <c r="A11" s="71"/>
      <c r="B11" s="78" t="s">
        <v>177</v>
      </c>
      <c r="C11" s="76"/>
      <c r="D11" s="92">
        <v>4075</v>
      </c>
      <c r="E11" s="78"/>
      <c r="F11" s="76"/>
      <c r="G11" s="92"/>
      <c r="H11" s="78"/>
      <c r="I11" s="76"/>
      <c r="J11" s="92"/>
      <c r="K11" s="72"/>
    </row>
    <row r="12" spans="1:11" ht="12.75">
      <c r="A12" s="71"/>
      <c r="B12" s="78" t="s">
        <v>250</v>
      </c>
      <c r="C12" s="76"/>
      <c r="D12" s="92">
        <v>5303</v>
      </c>
      <c r="E12" s="78"/>
      <c r="F12" s="76"/>
      <c r="G12" s="92"/>
      <c r="H12" s="78"/>
      <c r="I12" s="76"/>
      <c r="J12" s="92"/>
      <c r="K12" s="72"/>
    </row>
    <row r="13" spans="1:11" ht="12.75">
      <c r="A13" s="71"/>
      <c r="B13" s="78" t="s">
        <v>251</v>
      </c>
      <c r="C13" s="76"/>
      <c r="D13" s="92">
        <v>7340</v>
      </c>
      <c r="E13" s="78"/>
      <c r="F13" s="76"/>
      <c r="G13" s="92"/>
      <c r="H13" s="78"/>
      <c r="I13" s="76"/>
      <c r="J13" s="92"/>
      <c r="K13" s="72"/>
    </row>
    <row r="14" spans="1:11" ht="12.75">
      <c r="A14" s="71"/>
      <c r="B14" s="78" t="s">
        <v>252</v>
      </c>
      <c r="C14" s="76"/>
      <c r="D14" s="92">
        <v>9940</v>
      </c>
      <c r="E14" s="78"/>
      <c r="F14" s="76"/>
      <c r="G14" s="92"/>
      <c r="H14" s="78"/>
      <c r="I14" s="76"/>
      <c r="J14" s="92"/>
      <c r="K14" s="72"/>
    </row>
    <row r="15" spans="1:11" ht="12.75">
      <c r="A15" s="71"/>
      <c r="B15" s="78" t="s">
        <v>253</v>
      </c>
      <c r="C15" s="76"/>
      <c r="D15" s="92">
        <v>12960</v>
      </c>
      <c r="E15" s="78"/>
      <c r="F15" s="76"/>
      <c r="G15" s="92"/>
      <c r="H15" s="78"/>
      <c r="I15" s="76"/>
      <c r="J15" s="92"/>
      <c r="K15" s="72"/>
    </row>
    <row r="16" spans="1:11" ht="12.75">
      <c r="A16" s="71"/>
      <c r="B16" s="78" t="s">
        <v>254</v>
      </c>
      <c r="C16" s="76"/>
      <c r="D16" s="92">
        <v>20500</v>
      </c>
      <c r="E16" s="78"/>
      <c r="F16" s="76"/>
      <c r="G16" s="92"/>
      <c r="H16" s="78"/>
      <c r="I16" s="76"/>
      <c r="J16" s="92"/>
      <c r="K16" s="72"/>
    </row>
    <row r="17" spans="1:11" ht="12.75">
      <c r="A17" s="71"/>
      <c r="B17" s="78" t="s">
        <v>255</v>
      </c>
      <c r="C17" s="76"/>
      <c r="D17" s="92">
        <v>37200</v>
      </c>
      <c r="E17" s="78"/>
      <c r="F17" s="76"/>
      <c r="G17" s="92"/>
      <c r="H17" s="78"/>
      <c r="I17" s="76"/>
      <c r="J17" s="92"/>
      <c r="K17" s="72"/>
    </row>
    <row r="18" spans="1:11" ht="12.75">
      <c r="A18" s="71"/>
      <c r="B18" s="78" t="s">
        <v>256</v>
      </c>
      <c r="C18" s="76"/>
      <c r="D18" s="92">
        <v>59000</v>
      </c>
      <c r="E18" s="78"/>
      <c r="F18" s="76"/>
      <c r="G18" s="92"/>
      <c r="H18" s="78"/>
      <c r="I18" s="76"/>
      <c r="J18" s="92"/>
      <c r="K18" s="72"/>
    </row>
    <row r="19" spans="1:11" ht="12.75">
      <c r="A19" s="71"/>
      <c r="B19" s="78" t="s">
        <v>178</v>
      </c>
      <c r="C19" s="76"/>
      <c r="D19" s="92">
        <v>160</v>
      </c>
      <c r="E19" s="78"/>
      <c r="F19" s="76"/>
      <c r="G19" s="92"/>
      <c r="H19" s="78"/>
      <c r="I19" s="76"/>
      <c r="J19" s="92"/>
      <c r="K19" s="72"/>
    </row>
    <row r="20" spans="1:11" ht="12.75">
      <c r="A20" s="71"/>
      <c r="B20" s="78" t="s">
        <v>179</v>
      </c>
      <c r="C20" s="76"/>
      <c r="D20" s="92">
        <v>440</v>
      </c>
      <c r="E20" s="78"/>
      <c r="F20" s="76"/>
      <c r="G20" s="92"/>
      <c r="H20" s="78"/>
      <c r="I20" s="76"/>
      <c r="J20" s="92"/>
      <c r="K20" s="72"/>
    </row>
    <row r="21" spans="1:11" ht="12.75">
      <c r="A21" s="71"/>
      <c r="B21" s="78" t="s">
        <v>180</v>
      </c>
      <c r="C21" s="76"/>
      <c r="D21" s="92">
        <v>780</v>
      </c>
      <c r="E21" s="78"/>
      <c r="F21" s="76"/>
      <c r="G21" s="92"/>
      <c r="H21" s="78"/>
      <c r="I21" s="76"/>
      <c r="J21" s="92"/>
      <c r="K21" s="72"/>
    </row>
    <row r="22" spans="1:11" ht="12.75">
      <c r="A22" s="71"/>
      <c r="B22" s="78" t="s">
        <v>181</v>
      </c>
      <c r="C22" s="76"/>
      <c r="D22" s="92">
        <v>1500</v>
      </c>
      <c r="E22" s="78"/>
      <c r="F22" s="76"/>
      <c r="G22" s="92"/>
      <c r="H22" s="78"/>
      <c r="I22" s="76"/>
      <c r="J22" s="92"/>
      <c r="K22" s="72"/>
    </row>
    <row r="23" spans="1:11" ht="12.75">
      <c r="A23" s="71"/>
      <c r="B23" s="78" t="s">
        <v>182</v>
      </c>
      <c r="C23" s="76"/>
      <c r="D23" s="92">
        <v>1700</v>
      </c>
      <c r="E23" s="78"/>
      <c r="F23" s="76"/>
      <c r="G23" s="92"/>
      <c r="H23" s="78"/>
      <c r="I23" s="76"/>
      <c r="J23" s="92"/>
      <c r="K23" s="72"/>
    </row>
    <row r="24" spans="1:11" ht="12.75">
      <c r="A24" s="71"/>
      <c r="B24" s="78" t="s">
        <v>183</v>
      </c>
      <c r="C24" s="76"/>
      <c r="D24" s="92">
        <v>3100</v>
      </c>
      <c r="E24" s="78"/>
      <c r="F24" s="76"/>
      <c r="G24" s="92"/>
      <c r="H24" s="78"/>
      <c r="I24" s="76"/>
      <c r="J24" s="92"/>
      <c r="K24" s="72"/>
    </row>
    <row r="25" spans="1:11" ht="12.75">
      <c r="A25" s="71"/>
      <c r="B25" s="78" t="s">
        <v>184</v>
      </c>
      <c r="C25" s="76"/>
      <c r="D25" s="92">
        <v>5800</v>
      </c>
      <c r="E25" s="78"/>
      <c r="F25" s="76"/>
      <c r="G25" s="92"/>
      <c r="H25" s="78"/>
      <c r="I25" s="76"/>
      <c r="J25" s="92"/>
      <c r="K25" s="72"/>
    </row>
    <row r="26" spans="1:11" ht="12.75">
      <c r="A26" s="71"/>
      <c r="B26" s="78" t="s">
        <v>185</v>
      </c>
      <c r="C26" s="76"/>
      <c r="D26" s="92">
        <v>115</v>
      </c>
      <c r="E26" s="78"/>
      <c r="F26" s="76"/>
      <c r="G26" s="92"/>
      <c r="H26" s="78"/>
      <c r="I26" s="76"/>
      <c r="J26" s="92"/>
      <c r="K26" s="72"/>
    </row>
    <row r="27" spans="1:11" ht="12.75">
      <c r="A27" s="71"/>
      <c r="B27" s="78" t="s">
        <v>186</v>
      </c>
      <c r="C27" s="76"/>
      <c r="D27" s="92">
        <v>320</v>
      </c>
      <c r="E27" s="78"/>
      <c r="F27" s="76"/>
      <c r="G27" s="92"/>
      <c r="H27" s="78"/>
      <c r="I27" s="76"/>
      <c r="J27" s="92"/>
      <c r="K27" s="72"/>
    </row>
    <row r="28" spans="1:11" ht="12.75">
      <c r="A28" s="71"/>
      <c r="B28" s="78" t="s">
        <v>187</v>
      </c>
      <c r="C28" s="76"/>
      <c r="D28" s="92">
        <v>600</v>
      </c>
      <c r="E28" s="78"/>
      <c r="F28" s="76"/>
      <c r="G28" s="92"/>
      <c r="H28" s="78"/>
      <c r="I28" s="76"/>
      <c r="J28" s="92"/>
      <c r="K28" s="72"/>
    </row>
    <row r="29" spans="1:11" ht="12.75">
      <c r="A29" s="71"/>
      <c r="B29" s="78" t="s">
        <v>188</v>
      </c>
      <c r="C29" s="76"/>
      <c r="D29" s="92">
        <v>1000</v>
      </c>
      <c r="E29" s="78"/>
      <c r="F29" s="76"/>
      <c r="G29" s="92"/>
      <c r="H29" s="78"/>
      <c r="I29" s="76"/>
      <c r="J29" s="92"/>
      <c r="K29" s="72"/>
    </row>
    <row r="30" spans="1:11" ht="12.75">
      <c r="A30" s="71"/>
      <c r="B30" s="78" t="s">
        <v>189</v>
      </c>
      <c r="C30" s="76"/>
      <c r="D30" s="92">
        <v>2000</v>
      </c>
      <c r="E30" s="78"/>
      <c r="F30" s="76"/>
      <c r="G30" s="92"/>
      <c r="H30" s="78"/>
      <c r="I30" s="76"/>
      <c r="J30" s="92"/>
      <c r="K30" s="72"/>
    </row>
    <row r="31" spans="1:11" ht="12.75">
      <c r="A31" s="71"/>
      <c r="B31" s="78" t="s">
        <v>190</v>
      </c>
      <c r="C31" s="76"/>
      <c r="D31" s="92">
        <v>125</v>
      </c>
      <c r="E31" s="78"/>
      <c r="F31" s="76"/>
      <c r="G31" s="92"/>
      <c r="H31" s="78"/>
      <c r="I31" s="76"/>
      <c r="J31" s="92"/>
      <c r="K31" s="72"/>
    </row>
    <row r="32" spans="1:11" ht="12.75">
      <c r="A32" s="71"/>
      <c r="B32" s="78" t="s">
        <v>191</v>
      </c>
      <c r="C32" s="76"/>
      <c r="D32" s="92">
        <v>319</v>
      </c>
      <c r="E32" s="78"/>
      <c r="F32" s="76"/>
      <c r="G32" s="92"/>
      <c r="H32" s="78"/>
      <c r="I32" s="76"/>
      <c r="J32" s="92"/>
      <c r="K32" s="72"/>
    </row>
    <row r="33" spans="1:11" ht="12.75">
      <c r="A33" s="71"/>
      <c r="B33" s="78" t="s">
        <v>192</v>
      </c>
      <c r="C33" s="76"/>
      <c r="D33" s="92">
        <v>580</v>
      </c>
      <c r="E33" s="78"/>
      <c r="F33" s="76"/>
      <c r="G33" s="92"/>
      <c r="H33" s="78"/>
      <c r="I33" s="76"/>
      <c r="J33" s="92"/>
      <c r="K33" s="72"/>
    </row>
    <row r="34" spans="1:11" ht="12.75">
      <c r="A34" s="71"/>
      <c r="B34" s="78" t="s">
        <v>195</v>
      </c>
      <c r="C34" s="76"/>
      <c r="D34" s="92">
        <v>450</v>
      </c>
      <c r="E34" s="78"/>
      <c r="F34" s="76"/>
      <c r="G34" s="92"/>
      <c r="H34" s="78"/>
      <c r="I34" s="76"/>
      <c r="J34" s="92"/>
      <c r="K34" s="72"/>
    </row>
    <row r="35" spans="1:11" ht="12.75">
      <c r="A35" s="71"/>
      <c r="B35" s="78" t="s">
        <v>196</v>
      </c>
      <c r="C35" s="76"/>
      <c r="D35" s="92">
        <v>1300</v>
      </c>
      <c r="E35" s="78"/>
      <c r="F35" s="76"/>
      <c r="G35" s="92"/>
      <c r="H35" s="78"/>
      <c r="I35" s="76"/>
      <c r="J35" s="92"/>
      <c r="K35" s="72"/>
    </row>
    <row r="36" spans="1:11" ht="12.75">
      <c r="A36" s="71"/>
      <c r="B36" s="78" t="s">
        <v>197</v>
      </c>
      <c r="C36" s="76"/>
      <c r="D36" s="92">
        <v>2200</v>
      </c>
      <c r="E36" s="78"/>
      <c r="F36" s="76"/>
      <c r="G36" s="92"/>
      <c r="H36" s="78"/>
      <c r="I36" s="76"/>
      <c r="J36" s="92"/>
      <c r="K36" s="72"/>
    </row>
    <row r="37" spans="1:11" ht="12.75">
      <c r="A37" s="71"/>
      <c r="B37" s="78" t="s">
        <v>198</v>
      </c>
      <c r="C37" s="76"/>
      <c r="D37" s="92">
        <v>5000</v>
      </c>
      <c r="E37" s="78"/>
      <c r="F37" s="76"/>
      <c r="G37" s="92"/>
      <c r="H37" s="78"/>
      <c r="I37" s="76"/>
      <c r="J37" s="92"/>
      <c r="K37" s="72"/>
    </row>
    <row r="38" spans="1:11" ht="12.75">
      <c r="A38" s="71"/>
      <c r="B38" s="78" t="s">
        <v>199</v>
      </c>
      <c r="C38" s="76"/>
      <c r="D38" s="92">
        <v>10000</v>
      </c>
      <c r="E38" s="78"/>
      <c r="F38" s="76"/>
      <c r="G38" s="92"/>
      <c r="H38" s="78"/>
      <c r="I38" s="76"/>
      <c r="J38" s="92"/>
      <c r="K38" s="72"/>
    </row>
    <row r="39" spans="1:11" ht="12.75">
      <c r="A39" s="71"/>
      <c r="B39" s="78" t="s">
        <v>200</v>
      </c>
      <c r="C39" s="76"/>
      <c r="D39" s="92">
        <v>17000</v>
      </c>
      <c r="E39" s="78"/>
      <c r="F39" s="76"/>
      <c r="G39" s="92"/>
      <c r="H39" s="78"/>
      <c r="I39" s="76"/>
      <c r="J39" s="92"/>
      <c r="K39" s="72"/>
    </row>
    <row r="40" spans="1:11" ht="12.75">
      <c r="A40" s="71"/>
      <c r="B40" s="78" t="s">
        <v>201</v>
      </c>
      <c r="C40" s="76"/>
      <c r="D40" s="92">
        <v>25000</v>
      </c>
      <c r="E40" s="78"/>
      <c r="F40" s="76"/>
      <c r="G40" s="92"/>
      <c r="H40" s="78"/>
      <c r="I40" s="76"/>
      <c r="J40" s="92"/>
      <c r="K40" s="72"/>
    </row>
    <row r="41" spans="1:11" ht="12.75">
      <c r="A41" s="71"/>
      <c r="B41" s="78"/>
      <c r="C41" s="76"/>
      <c r="D41" s="92"/>
      <c r="E41" s="78"/>
      <c r="F41" s="76"/>
      <c r="G41" s="92"/>
      <c r="H41" s="78"/>
      <c r="I41" s="76"/>
      <c r="J41" s="92"/>
      <c r="K41" s="72"/>
    </row>
    <row r="42" spans="1:11" ht="12.75">
      <c r="A42" s="71"/>
      <c r="B42" s="78"/>
      <c r="C42" s="76"/>
      <c r="D42" s="92"/>
      <c r="E42" s="78"/>
      <c r="F42" s="76"/>
      <c r="G42" s="92"/>
      <c r="H42" s="78"/>
      <c r="I42" s="76"/>
      <c r="J42" s="92"/>
      <c r="K42" s="72"/>
    </row>
    <row r="43" spans="1:11" ht="12.75">
      <c r="A43" s="71"/>
      <c r="B43" s="78"/>
      <c r="C43" s="76"/>
      <c r="D43" s="92"/>
      <c r="E43" s="78"/>
      <c r="F43" s="76"/>
      <c r="G43" s="92"/>
      <c r="H43" s="78"/>
      <c r="I43" s="76"/>
      <c r="J43" s="92"/>
      <c r="K43" s="72"/>
    </row>
    <row r="44" spans="1:11" ht="12.75">
      <c r="A44" s="71"/>
      <c r="B44" s="78"/>
      <c r="C44" s="76"/>
      <c r="D44" s="92"/>
      <c r="E44" s="78"/>
      <c r="F44" s="76"/>
      <c r="G44" s="92"/>
      <c r="H44" s="78"/>
      <c r="I44" s="76"/>
      <c r="J44" s="92"/>
      <c r="K44" s="72"/>
    </row>
    <row r="45" spans="1:11" ht="12.75">
      <c r="A45" s="71"/>
      <c r="B45" s="78"/>
      <c r="C45" s="76"/>
      <c r="D45" s="92"/>
      <c r="E45" s="78"/>
      <c r="F45" s="76"/>
      <c r="G45" s="92"/>
      <c r="H45" s="78"/>
      <c r="I45" s="76"/>
      <c r="J45" s="92"/>
      <c r="K45" s="72"/>
    </row>
    <row r="46" spans="1:11" ht="12.75">
      <c r="A46" s="71"/>
      <c r="B46" s="78"/>
      <c r="C46" s="76"/>
      <c r="D46" s="92"/>
      <c r="E46" s="78"/>
      <c r="F46" s="76"/>
      <c r="G46" s="92"/>
      <c r="H46" s="78"/>
      <c r="I46" s="76"/>
      <c r="J46" s="92"/>
      <c r="K46" s="72"/>
    </row>
    <row r="47" spans="1:11" ht="12.75">
      <c r="A47" s="71"/>
      <c r="B47" s="78"/>
      <c r="C47" s="76"/>
      <c r="D47" s="92"/>
      <c r="E47" s="78"/>
      <c r="F47" s="76"/>
      <c r="G47" s="92"/>
      <c r="H47" s="78"/>
      <c r="I47" s="76"/>
      <c r="J47" s="92"/>
      <c r="K47" s="72"/>
    </row>
    <row r="48" spans="1:11" ht="12.75">
      <c r="A48" s="71"/>
      <c r="B48" s="78"/>
      <c r="C48" s="76"/>
      <c r="D48" s="92"/>
      <c r="E48" s="78"/>
      <c r="F48" s="76"/>
      <c r="G48" s="92"/>
      <c r="H48" s="78"/>
      <c r="I48" s="76"/>
      <c r="J48" s="92"/>
      <c r="K48" s="72"/>
    </row>
    <row r="49" spans="1:11" ht="12.75">
      <c r="A49" s="71"/>
      <c r="B49" s="78"/>
      <c r="C49" s="76"/>
      <c r="D49" s="92"/>
      <c r="E49" s="78"/>
      <c r="F49" s="76"/>
      <c r="G49" s="92"/>
      <c r="H49" s="78"/>
      <c r="I49" s="76"/>
      <c r="J49" s="92"/>
      <c r="K49" s="72"/>
    </row>
    <row r="50" spans="1:11" ht="12.75">
      <c r="A50" s="71"/>
      <c r="B50" s="78"/>
      <c r="C50" s="76"/>
      <c r="D50" s="92"/>
      <c r="E50" s="78"/>
      <c r="F50" s="76"/>
      <c r="G50" s="92"/>
      <c r="H50" s="78"/>
      <c r="I50" s="76"/>
      <c r="J50" s="92"/>
      <c r="K50" s="72"/>
    </row>
    <row r="51" spans="1:11" ht="12.75">
      <c r="A51" s="71"/>
      <c r="B51" s="78"/>
      <c r="C51" s="76"/>
      <c r="D51" s="92"/>
      <c r="E51" s="78"/>
      <c r="F51" s="76"/>
      <c r="G51" s="92"/>
      <c r="H51" s="78"/>
      <c r="I51" s="76"/>
      <c r="J51" s="92"/>
      <c r="K51" s="72"/>
    </row>
    <row r="52" spans="1:11" ht="12.75">
      <c r="A52" s="71"/>
      <c r="B52" s="78"/>
      <c r="C52" s="76"/>
      <c r="D52" s="92"/>
      <c r="E52" s="78"/>
      <c r="F52" s="76"/>
      <c r="G52" s="92"/>
      <c r="H52" s="78"/>
      <c r="I52" s="76"/>
      <c r="J52" s="92"/>
      <c r="K52" s="72"/>
    </row>
    <row r="53" spans="1:11" ht="12.75">
      <c r="A53" s="71"/>
      <c r="B53" s="78"/>
      <c r="C53" s="76"/>
      <c r="D53" s="92"/>
      <c r="E53" s="78"/>
      <c r="F53" s="76"/>
      <c r="G53" s="92"/>
      <c r="H53" s="78"/>
      <c r="I53" s="76"/>
      <c r="J53" s="92"/>
      <c r="K53" s="72"/>
    </row>
    <row r="54" spans="1:11" ht="12.75">
      <c r="A54" s="71"/>
      <c r="B54" s="78"/>
      <c r="C54" s="76"/>
      <c r="D54" s="92"/>
      <c r="E54" s="78"/>
      <c r="F54" s="76"/>
      <c r="G54" s="92"/>
      <c r="H54" s="78"/>
      <c r="I54" s="76"/>
      <c r="J54" s="92"/>
      <c r="K54" s="72"/>
    </row>
    <row r="55" spans="1:11" ht="12.75">
      <c r="A55" s="71"/>
      <c r="B55" s="78"/>
      <c r="C55" s="76"/>
      <c r="D55" s="92"/>
      <c r="E55" s="78"/>
      <c r="F55" s="76"/>
      <c r="G55" s="92"/>
      <c r="H55" s="78"/>
      <c r="I55" s="76"/>
      <c r="J55" s="92"/>
      <c r="K55" s="72"/>
    </row>
    <row r="56" spans="1:11" ht="12.75">
      <c r="A56" s="71"/>
      <c r="B56" s="78"/>
      <c r="C56" s="76"/>
      <c r="D56" s="92"/>
      <c r="E56" s="78"/>
      <c r="F56" s="76"/>
      <c r="G56" s="92"/>
      <c r="H56" s="78"/>
      <c r="I56" s="76"/>
      <c r="J56" s="92"/>
      <c r="K56" s="72"/>
    </row>
    <row r="57" spans="1:11" ht="12.75">
      <c r="A57" s="71"/>
      <c r="B57" s="78"/>
      <c r="C57" s="76"/>
      <c r="D57" s="92"/>
      <c r="E57" s="78"/>
      <c r="F57" s="76"/>
      <c r="G57" s="92"/>
      <c r="H57" s="78"/>
      <c r="I57" s="76"/>
      <c r="J57" s="92"/>
      <c r="K57" s="72"/>
    </row>
    <row r="58" spans="1:11" ht="12.75">
      <c r="A58" s="71"/>
      <c r="B58" s="78"/>
      <c r="C58" s="76"/>
      <c r="D58" s="92"/>
      <c r="E58" s="78"/>
      <c r="F58" s="76"/>
      <c r="G58" s="92"/>
      <c r="H58" s="78"/>
      <c r="I58" s="76"/>
      <c r="J58" s="92"/>
      <c r="K58" s="72"/>
    </row>
    <row r="59" spans="1:11" ht="12.75">
      <c r="A59" s="71"/>
      <c r="B59" s="78"/>
      <c r="C59" s="76"/>
      <c r="D59" s="92"/>
      <c r="E59" s="78"/>
      <c r="F59" s="76"/>
      <c r="G59" s="92"/>
      <c r="H59" s="78"/>
      <c r="I59" s="76"/>
      <c r="J59" s="92"/>
      <c r="K59" s="72"/>
    </row>
    <row r="60" spans="1:11" ht="12.75">
      <c r="A60" s="71"/>
      <c r="B60" s="78"/>
      <c r="C60" s="76"/>
      <c r="D60" s="92"/>
      <c r="E60" s="78"/>
      <c r="F60" s="76"/>
      <c r="G60" s="92"/>
      <c r="H60" s="78"/>
      <c r="I60" s="76"/>
      <c r="J60" s="92"/>
      <c r="K60" s="72"/>
    </row>
    <row r="61" spans="1:11" ht="12.75">
      <c r="A61" s="71"/>
      <c r="B61" s="78"/>
      <c r="C61" s="76"/>
      <c r="D61" s="92"/>
      <c r="E61" s="78"/>
      <c r="F61" s="76"/>
      <c r="G61" s="92"/>
      <c r="H61" s="78"/>
      <c r="I61" s="76"/>
      <c r="J61" s="92"/>
      <c r="K61" s="72"/>
    </row>
    <row r="62" spans="1:11" ht="12.75">
      <c r="A62" s="71"/>
      <c r="B62" s="78"/>
      <c r="C62" s="76"/>
      <c r="D62" s="92"/>
      <c r="E62" s="78"/>
      <c r="F62" s="76"/>
      <c r="G62" s="92"/>
      <c r="H62" s="78"/>
      <c r="I62" s="76"/>
      <c r="J62" s="92"/>
      <c r="K62" s="72"/>
    </row>
    <row r="63" spans="1:11" ht="12.75">
      <c r="A63" s="71"/>
      <c r="B63" s="78"/>
      <c r="C63" s="76"/>
      <c r="D63" s="92"/>
      <c r="E63" s="78"/>
      <c r="F63" s="76"/>
      <c r="G63" s="92"/>
      <c r="H63" s="78"/>
      <c r="I63" s="76"/>
      <c r="J63" s="92"/>
      <c r="K63" s="72"/>
    </row>
    <row r="64" spans="1:11" ht="12.75">
      <c r="A64" s="71"/>
      <c r="B64" s="78" t="s">
        <v>208</v>
      </c>
      <c r="C64" s="76" t="s">
        <v>202</v>
      </c>
      <c r="D64" s="91">
        <v>16</v>
      </c>
      <c r="E64" s="78"/>
      <c r="F64" s="76"/>
      <c r="G64" s="91"/>
      <c r="H64" s="78"/>
      <c r="I64" s="76"/>
      <c r="J64" s="91"/>
      <c r="K64" s="72"/>
    </row>
    <row r="65" spans="1:11" ht="12.75">
      <c r="A65" s="71"/>
      <c r="B65" s="78" t="s">
        <v>208</v>
      </c>
      <c r="C65" s="76" t="s">
        <v>203</v>
      </c>
      <c r="D65" s="91">
        <v>14</v>
      </c>
      <c r="E65" s="78"/>
      <c r="F65" s="76"/>
      <c r="G65" s="91"/>
      <c r="H65" s="78"/>
      <c r="I65" s="76"/>
      <c r="J65" s="91"/>
      <c r="K65" s="72"/>
    </row>
    <row r="66" spans="1:11" ht="12.75">
      <c r="A66" s="71"/>
      <c r="B66" s="78" t="s">
        <v>208</v>
      </c>
      <c r="C66" s="76" t="s">
        <v>204</v>
      </c>
      <c r="D66" s="92">
        <v>12</v>
      </c>
      <c r="E66" s="78"/>
      <c r="F66" s="76"/>
      <c r="G66" s="92"/>
      <c r="H66" s="78"/>
      <c r="I66" s="76"/>
      <c r="J66" s="92"/>
      <c r="K66" s="72"/>
    </row>
    <row r="67" spans="1:11" ht="12.75">
      <c r="A67" s="71"/>
      <c r="B67" s="78" t="s">
        <v>208</v>
      </c>
      <c r="C67" s="76" t="s">
        <v>205</v>
      </c>
      <c r="D67" s="92">
        <v>11</v>
      </c>
      <c r="E67" s="78"/>
      <c r="F67" s="76"/>
      <c r="G67" s="92"/>
      <c r="H67" s="78"/>
      <c r="I67" s="76"/>
      <c r="J67" s="92"/>
      <c r="K67" s="72"/>
    </row>
    <row r="68" spans="1:11" ht="12.75">
      <c r="A68" s="71"/>
      <c r="B68" s="78" t="s">
        <v>208</v>
      </c>
      <c r="C68" s="76" t="s">
        <v>206</v>
      </c>
      <c r="D68" s="92">
        <v>11</v>
      </c>
      <c r="E68" s="78"/>
      <c r="F68" s="76"/>
      <c r="G68" s="92"/>
      <c r="H68" s="78"/>
      <c r="I68" s="76"/>
      <c r="J68" s="92"/>
      <c r="K68" s="72"/>
    </row>
    <row r="69" spans="1:11" ht="12.75">
      <c r="A69" s="71"/>
      <c r="B69" s="78" t="s">
        <v>208</v>
      </c>
      <c r="C69" s="76" t="s">
        <v>207</v>
      </c>
      <c r="D69" s="92">
        <v>10</v>
      </c>
      <c r="E69" s="78"/>
      <c r="F69" s="76"/>
      <c r="G69" s="92"/>
      <c r="H69" s="78"/>
      <c r="I69" s="76"/>
      <c r="J69" s="92"/>
      <c r="K69" s="72"/>
    </row>
    <row r="70" spans="1:11" ht="12.75">
      <c r="A70" s="71"/>
      <c r="B70" s="78" t="s">
        <v>209</v>
      </c>
      <c r="C70" s="76" t="s">
        <v>202</v>
      </c>
      <c r="D70" s="92">
        <v>44</v>
      </c>
      <c r="E70" s="78"/>
      <c r="F70" s="76"/>
      <c r="G70" s="92"/>
      <c r="H70" s="78"/>
      <c r="I70" s="76"/>
      <c r="J70" s="92"/>
      <c r="K70" s="72"/>
    </row>
    <row r="71" spans="1:11" ht="12.75">
      <c r="A71" s="71"/>
      <c r="B71" s="78" t="s">
        <v>209</v>
      </c>
      <c r="C71" s="76" t="s">
        <v>203</v>
      </c>
      <c r="D71" s="92">
        <v>38</v>
      </c>
      <c r="E71" s="78"/>
      <c r="F71" s="76"/>
      <c r="G71" s="92"/>
      <c r="H71" s="78"/>
      <c r="I71" s="76"/>
      <c r="J71" s="92"/>
      <c r="K71" s="72"/>
    </row>
    <row r="72" spans="1:11" ht="12.75">
      <c r="A72" s="71"/>
      <c r="B72" s="78" t="s">
        <v>209</v>
      </c>
      <c r="C72" s="76" t="s">
        <v>204</v>
      </c>
      <c r="D72" s="92">
        <v>34</v>
      </c>
      <c r="E72" s="78"/>
      <c r="F72" s="76"/>
      <c r="G72" s="92"/>
      <c r="H72" s="78"/>
      <c r="I72" s="76"/>
      <c r="J72" s="92"/>
      <c r="K72" s="72"/>
    </row>
    <row r="73" spans="1:11" ht="12.75">
      <c r="A73" s="71"/>
      <c r="B73" s="78" t="s">
        <v>209</v>
      </c>
      <c r="C73" s="76" t="s">
        <v>205</v>
      </c>
      <c r="D73" s="92">
        <v>31</v>
      </c>
      <c r="E73" s="78"/>
      <c r="F73" s="76"/>
      <c r="G73" s="92"/>
      <c r="H73" s="78"/>
      <c r="I73" s="76"/>
      <c r="J73" s="92"/>
      <c r="K73" s="72"/>
    </row>
    <row r="74" spans="1:11" ht="12.75">
      <c r="A74" s="71"/>
      <c r="B74" s="78" t="s">
        <v>209</v>
      </c>
      <c r="C74" s="76" t="s">
        <v>206</v>
      </c>
      <c r="D74" s="92">
        <v>30</v>
      </c>
      <c r="E74" s="78"/>
      <c r="F74" s="76"/>
      <c r="G74" s="92"/>
      <c r="H74" s="78"/>
      <c r="I74" s="76"/>
      <c r="J74" s="92"/>
      <c r="K74" s="72"/>
    </row>
    <row r="75" spans="1:11" ht="12.75">
      <c r="A75" s="71"/>
      <c r="B75" s="78" t="s">
        <v>209</v>
      </c>
      <c r="C75" s="76" t="s">
        <v>207</v>
      </c>
      <c r="D75" s="92">
        <v>29</v>
      </c>
      <c r="E75" s="78"/>
      <c r="F75" s="76"/>
      <c r="G75" s="92"/>
      <c r="H75" s="78"/>
      <c r="I75" s="76"/>
      <c r="J75" s="92"/>
      <c r="K75" s="72"/>
    </row>
    <row r="76" spans="1:11" ht="12.75">
      <c r="A76" s="71"/>
      <c r="B76" s="78" t="s">
        <v>210</v>
      </c>
      <c r="C76" s="76" t="s">
        <v>202</v>
      </c>
      <c r="D76" s="92">
        <v>90</v>
      </c>
      <c r="E76" s="78"/>
      <c r="F76" s="76"/>
      <c r="G76" s="92"/>
      <c r="H76" s="78"/>
      <c r="I76" s="76"/>
      <c r="J76" s="92"/>
      <c r="K76" s="72"/>
    </row>
    <row r="77" spans="1:11" ht="12.75">
      <c r="A77" s="71"/>
      <c r="B77" s="78" t="s">
        <v>210</v>
      </c>
      <c r="C77" s="76" t="s">
        <v>203</v>
      </c>
      <c r="D77" s="92">
        <v>78</v>
      </c>
      <c r="E77" s="78"/>
      <c r="F77" s="76"/>
      <c r="G77" s="92"/>
      <c r="H77" s="78"/>
      <c r="I77" s="76"/>
      <c r="J77" s="92"/>
      <c r="K77" s="72"/>
    </row>
    <row r="78" spans="1:11" ht="12.75">
      <c r="A78" s="71"/>
      <c r="B78" s="78" t="s">
        <v>210</v>
      </c>
      <c r="C78" s="76" t="s">
        <v>204</v>
      </c>
      <c r="D78" s="92">
        <v>69</v>
      </c>
      <c r="E78" s="78"/>
      <c r="F78" s="76"/>
      <c r="G78" s="92"/>
      <c r="H78" s="78"/>
      <c r="I78" s="76"/>
      <c r="J78" s="92"/>
      <c r="K78" s="72"/>
    </row>
    <row r="79" spans="1:11" ht="12.75">
      <c r="A79" s="71"/>
      <c r="B79" s="78" t="s">
        <v>210</v>
      </c>
      <c r="C79" s="76" t="s">
        <v>205</v>
      </c>
      <c r="D79" s="92">
        <v>63</v>
      </c>
      <c r="E79" s="78"/>
      <c r="F79" s="76"/>
      <c r="G79" s="92"/>
      <c r="H79" s="78"/>
      <c r="I79" s="76"/>
      <c r="J79" s="92"/>
      <c r="K79" s="72"/>
    </row>
    <row r="80" spans="1:11" ht="12.75">
      <c r="A80" s="71"/>
      <c r="B80" s="78" t="s">
        <v>210</v>
      </c>
      <c r="C80" s="76" t="s">
        <v>206</v>
      </c>
      <c r="D80" s="92">
        <v>63</v>
      </c>
      <c r="E80" s="78"/>
      <c r="F80" s="76"/>
      <c r="G80" s="92"/>
      <c r="H80" s="78"/>
      <c r="I80" s="76"/>
      <c r="J80" s="92"/>
      <c r="K80" s="72"/>
    </row>
    <row r="81" spans="1:11" ht="12.75">
      <c r="A81" s="71"/>
      <c r="B81" s="78" t="s">
        <v>210</v>
      </c>
      <c r="C81" s="76" t="s">
        <v>207</v>
      </c>
      <c r="D81" s="92">
        <v>27</v>
      </c>
      <c r="E81" s="78"/>
      <c r="F81" s="76"/>
      <c r="G81" s="92"/>
      <c r="H81" s="78"/>
      <c r="I81" s="76"/>
      <c r="J81" s="92"/>
      <c r="K81" s="72"/>
    </row>
    <row r="82" spans="1:11" ht="12.75">
      <c r="A82" s="71"/>
      <c r="B82" s="78" t="s">
        <v>211</v>
      </c>
      <c r="C82" s="76" t="s">
        <v>202</v>
      </c>
      <c r="D82" s="92">
        <v>227</v>
      </c>
      <c r="E82" s="78"/>
      <c r="F82" s="76"/>
      <c r="G82" s="92"/>
      <c r="H82" s="78"/>
      <c r="I82" s="76"/>
      <c r="J82" s="92"/>
      <c r="K82" s="72"/>
    </row>
    <row r="83" spans="1:11" ht="12.75">
      <c r="A83" s="71"/>
      <c r="B83" s="78" t="s">
        <v>211</v>
      </c>
      <c r="C83" s="76" t="s">
        <v>203</v>
      </c>
      <c r="D83" s="92">
        <v>211</v>
      </c>
      <c r="E83" s="78"/>
      <c r="F83" s="76"/>
      <c r="G83" s="92"/>
      <c r="H83" s="78"/>
      <c r="I83" s="76"/>
      <c r="J83" s="92"/>
      <c r="K83" s="72"/>
    </row>
    <row r="84" spans="1:11" ht="12.75">
      <c r="A84" s="71"/>
      <c r="B84" s="78" t="s">
        <v>211</v>
      </c>
      <c r="C84" s="76" t="s">
        <v>204</v>
      </c>
      <c r="D84" s="92">
        <v>187</v>
      </c>
      <c r="E84" s="78"/>
      <c r="F84" s="76"/>
      <c r="G84" s="92"/>
      <c r="H84" s="78"/>
      <c r="I84" s="76"/>
      <c r="J84" s="92"/>
      <c r="K84" s="72"/>
    </row>
    <row r="85" spans="1:11" ht="12.75">
      <c r="A85" s="71"/>
      <c r="B85" s="78" t="s">
        <v>211</v>
      </c>
      <c r="C85" s="76" t="s">
        <v>205</v>
      </c>
      <c r="D85" s="92">
        <v>167</v>
      </c>
      <c r="E85" s="78"/>
      <c r="F85" s="76"/>
      <c r="G85" s="92"/>
      <c r="H85" s="78"/>
      <c r="I85" s="76"/>
      <c r="J85" s="92"/>
      <c r="K85" s="72"/>
    </row>
    <row r="86" spans="1:11" ht="12.75">
      <c r="A86" s="71"/>
      <c r="B86" s="78" t="s">
        <v>211</v>
      </c>
      <c r="C86" s="76" t="s">
        <v>206</v>
      </c>
      <c r="D86" s="92">
        <v>167</v>
      </c>
      <c r="E86" s="78"/>
      <c r="F86" s="76"/>
      <c r="G86" s="92"/>
      <c r="H86" s="78"/>
      <c r="I86" s="76"/>
      <c r="J86" s="92"/>
      <c r="K86" s="72"/>
    </row>
    <row r="87" spans="1:11" ht="12.75">
      <c r="A87" s="71"/>
      <c r="B87" s="78" t="s">
        <v>211</v>
      </c>
      <c r="C87" s="76" t="s">
        <v>207</v>
      </c>
      <c r="D87" s="92">
        <v>92</v>
      </c>
      <c r="E87" s="78"/>
      <c r="F87" s="76"/>
      <c r="G87" s="92"/>
      <c r="H87" s="78"/>
      <c r="I87" s="76"/>
      <c r="J87" s="92"/>
      <c r="K87" s="72"/>
    </row>
    <row r="88" spans="1:11" ht="12.75">
      <c r="A88" s="71"/>
      <c r="B88" s="78" t="s">
        <v>212</v>
      </c>
      <c r="C88" s="76" t="s">
        <v>202</v>
      </c>
      <c r="D88" s="92">
        <v>463</v>
      </c>
      <c r="E88" s="78"/>
      <c r="F88" s="76"/>
      <c r="G88" s="92"/>
      <c r="H88" s="78"/>
      <c r="I88" s="76"/>
      <c r="J88" s="92"/>
      <c r="K88" s="72"/>
    </row>
    <row r="89" spans="1:11" ht="12.75">
      <c r="A89" s="71"/>
      <c r="B89" s="78" t="s">
        <v>212</v>
      </c>
      <c r="C89" s="76" t="s">
        <v>203</v>
      </c>
      <c r="D89" s="92">
        <v>420</v>
      </c>
      <c r="E89" s="78"/>
      <c r="F89" s="76"/>
      <c r="G89" s="92"/>
      <c r="H89" s="78"/>
      <c r="I89" s="76"/>
      <c r="J89" s="92"/>
      <c r="K89" s="72"/>
    </row>
    <row r="90" spans="1:11" ht="12.75">
      <c r="A90" s="71"/>
      <c r="B90" s="78" t="s">
        <v>212</v>
      </c>
      <c r="C90" s="76" t="s">
        <v>204</v>
      </c>
      <c r="D90" s="92">
        <v>361</v>
      </c>
      <c r="E90" s="78"/>
      <c r="F90" s="76"/>
      <c r="G90" s="92"/>
      <c r="H90" s="78"/>
      <c r="I90" s="76"/>
      <c r="J90" s="92"/>
      <c r="K90" s="72"/>
    </row>
    <row r="91" spans="1:11" ht="12.75">
      <c r="A91" s="71"/>
      <c r="B91" s="78" t="s">
        <v>212</v>
      </c>
      <c r="C91" s="76" t="s">
        <v>205</v>
      </c>
      <c r="D91" s="92">
        <v>322</v>
      </c>
      <c r="E91" s="78"/>
      <c r="F91" s="76"/>
      <c r="G91" s="92"/>
      <c r="H91" s="78"/>
      <c r="I91" s="76"/>
      <c r="J91" s="92"/>
      <c r="K91" s="72"/>
    </row>
    <row r="92" spans="1:11" ht="12.75">
      <c r="A92" s="71"/>
      <c r="B92" s="78" t="s">
        <v>212</v>
      </c>
      <c r="C92" s="76" t="s">
        <v>206</v>
      </c>
      <c r="D92" s="92">
        <v>322</v>
      </c>
      <c r="E92" s="78"/>
      <c r="F92" s="76"/>
      <c r="G92" s="92"/>
      <c r="H92" s="78"/>
      <c r="I92" s="76"/>
      <c r="J92" s="92"/>
      <c r="K92" s="72"/>
    </row>
    <row r="93" spans="1:11" ht="12.75">
      <c r="A93" s="71"/>
      <c r="B93" s="78" t="s">
        <v>212</v>
      </c>
      <c r="C93" s="76" t="s">
        <v>207</v>
      </c>
      <c r="D93" s="92">
        <v>291</v>
      </c>
      <c r="E93" s="78"/>
      <c r="F93" s="76"/>
      <c r="G93" s="92"/>
      <c r="H93" s="78"/>
      <c r="I93" s="76"/>
      <c r="J93" s="92"/>
      <c r="K93" s="72"/>
    </row>
    <row r="94" spans="1:11" ht="12.75">
      <c r="A94" s="71"/>
      <c r="B94" s="78" t="s">
        <v>213</v>
      </c>
      <c r="C94" s="76" t="s">
        <v>202</v>
      </c>
      <c r="D94" s="92">
        <v>1247</v>
      </c>
      <c r="E94" s="78"/>
      <c r="F94" s="76"/>
      <c r="G94" s="92"/>
      <c r="H94" s="78"/>
      <c r="I94" s="76"/>
      <c r="J94" s="92"/>
      <c r="K94" s="72"/>
    </row>
    <row r="95" spans="1:11" ht="12.75">
      <c r="A95" s="71"/>
      <c r="B95" s="78" t="s">
        <v>213</v>
      </c>
      <c r="C95" s="76" t="s">
        <v>203</v>
      </c>
      <c r="D95" s="92">
        <v>1057</v>
      </c>
      <c r="E95" s="78"/>
      <c r="F95" s="76"/>
      <c r="G95" s="92"/>
      <c r="H95" s="78"/>
      <c r="I95" s="76"/>
      <c r="J95" s="92"/>
      <c r="K95" s="72"/>
    </row>
    <row r="96" spans="1:11" ht="12.75">
      <c r="A96" s="71"/>
      <c r="B96" s="78" t="s">
        <v>213</v>
      </c>
      <c r="C96" s="76" t="s">
        <v>204</v>
      </c>
      <c r="D96" s="92">
        <v>943</v>
      </c>
      <c r="E96" s="78"/>
      <c r="F96" s="76"/>
      <c r="G96" s="92"/>
      <c r="H96" s="78"/>
      <c r="I96" s="76"/>
      <c r="J96" s="92"/>
      <c r="K96" s="72"/>
    </row>
    <row r="97" spans="1:11" ht="12.75">
      <c r="A97" s="71"/>
      <c r="B97" s="78" t="s">
        <v>213</v>
      </c>
      <c r="C97" s="76" t="s">
        <v>205</v>
      </c>
      <c r="D97" s="92">
        <v>911</v>
      </c>
      <c r="E97" s="78"/>
      <c r="F97" s="76"/>
      <c r="G97" s="92"/>
      <c r="H97" s="78"/>
      <c r="I97" s="76"/>
      <c r="J97" s="92"/>
      <c r="K97" s="72"/>
    </row>
    <row r="98" spans="1:11" ht="12.75">
      <c r="A98" s="71"/>
      <c r="B98" s="78" t="s">
        <v>213</v>
      </c>
      <c r="C98" s="76" t="s">
        <v>206</v>
      </c>
      <c r="D98" s="92">
        <v>820</v>
      </c>
      <c r="E98" s="78"/>
      <c r="F98" s="76"/>
      <c r="G98" s="92"/>
      <c r="H98" s="78"/>
      <c r="I98" s="76"/>
      <c r="J98" s="92"/>
      <c r="K98" s="72"/>
    </row>
    <row r="99" spans="1:11" ht="12.75">
      <c r="A99" s="71"/>
      <c r="B99" s="78" t="s">
        <v>213</v>
      </c>
      <c r="C99" s="76" t="s">
        <v>207</v>
      </c>
      <c r="D99" s="92">
        <v>739</v>
      </c>
      <c r="E99" s="78"/>
      <c r="F99" s="76"/>
      <c r="G99" s="92"/>
      <c r="H99" s="78"/>
      <c r="I99" s="76"/>
      <c r="J99" s="92"/>
      <c r="K99" s="72"/>
    </row>
    <row r="100" spans="1:11" ht="12.75">
      <c r="A100" s="71"/>
      <c r="B100" s="78" t="s">
        <v>214</v>
      </c>
      <c r="C100" s="76" t="s">
        <v>202</v>
      </c>
      <c r="D100" s="92">
        <v>2489</v>
      </c>
      <c r="E100" s="78"/>
      <c r="F100" s="76"/>
      <c r="G100" s="92"/>
      <c r="H100" s="78"/>
      <c r="I100" s="76"/>
      <c r="J100" s="92"/>
      <c r="K100" s="72"/>
    </row>
    <row r="101" spans="1:11" ht="12.75">
      <c r="A101" s="71"/>
      <c r="B101" s="78" t="s">
        <v>214</v>
      </c>
      <c r="C101" s="76" t="s">
        <v>203</v>
      </c>
      <c r="D101" s="92">
        <v>2156</v>
      </c>
      <c r="E101" s="78"/>
      <c r="F101" s="76"/>
      <c r="G101" s="92"/>
      <c r="H101" s="78"/>
      <c r="I101" s="76"/>
      <c r="J101" s="92"/>
      <c r="K101" s="72"/>
    </row>
    <row r="102" spans="1:11" ht="12.75">
      <c r="A102" s="71"/>
      <c r="B102" s="78" t="s">
        <v>214</v>
      </c>
      <c r="C102" s="76" t="s">
        <v>204</v>
      </c>
      <c r="D102" s="92">
        <v>1811</v>
      </c>
      <c r="E102" s="78"/>
      <c r="F102" s="76"/>
      <c r="G102" s="92"/>
      <c r="H102" s="78"/>
      <c r="I102" s="76"/>
      <c r="J102" s="92"/>
      <c r="K102" s="72"/>
    </row>
    <row r="103" spans="1:11" ht="12.75">
      <c r="A103" s="71"/>
      <c r="B103" s="78" t="s">
        <v>214</v>
      </c>
      <c r="C103" s="76" t="s">
        <v>205</v>
      </c>
      <c r="D103" s="92">
        <v>1760</v>
      </c>
      <c r="E103" s="78"/>
      <c r="F103" s="76"/>
      <c r="G103" s="92"/>
      <c r="H103" s="78"/>
      <c r="I103" s="76"/>
      <c r="J103" s="92"/>
      <c r="K103" s="72"/>
    </row>
    <row r="104" spans="1:11" ht="12.75">
      <c r="A104" s="71"/>
      <c r="B104" s="78" t="s">
        <v>214</v>
      </c>
      <c r="C104" s="76" t="s">
        <v>206</v>
      </c>
      <c r="D104" s="92">
        <v>1610</v>
      </c>
      <c r="E104" s="78"/>
      <c r="F104" s="76"/>
      <c r="G104" s="92"/>
      <c r="H104" s="78"/>
      <c r="I104" s="76"/>
      <c r="J104" s="92"/>
      <c r="K104" s="72"/>
    </row>
    <row r="105" spans="1:11" ht="12.75">
      <c r="A105" s="71"/>
      <c r="B105" s="78" t="s">
        <v>214</v>
      </c>
      <c r="C105" s="76" t="s">
        <v>207</v>
      </c>
      <c r="D105" s="92">
        <v>1450</v>
      </c>
      <c r="E105" s="78"/>
      <c r="F105" s="76"/>
      <c r="G105" s="92"/>
      <c r="H105" s="78"/>
      <c r="I105" s="76"/>
      <c r="J105" s="92"/>
      <c r="K105" s="72"/>
    </row>
    <row r="106" spans="1:11" ht="12.75">
      <c r="A106" s="71"/>
      <c r="B106" s="78" t="s">
        <v>215</v>
      </c>
      <c r="C106" s="76" t="s">
        <v>202</v>
      </c>
      <c r="D106" s="92">
        <v>5458</v>
      </c>
      <c r="E106" s="78"/>
      <c r="F106" s="76"/>
      <c r="G106" s="92"/>
      <c r="H106" s="78"/>
      <c r="I106" s="76"/>
      <c r="J106" s="92"/>
      <c r="K106" s="72"/>
    </row>
    <row r="107" spans="1:11" ht="12.75">
      <c r="A107" s="71"/>
      <c r="B107" s="78" t="s">
        <v>215</v>
      </c>
      <c r="C107" s="76" t="s">
        <v>203</v>
      </c>
      <c r="D107" s="92">
        <v>5393</v>
      </c>
      <c r="E107" s="78"/>
      <c r="F107" s="76"/>
      <c r="G107" s="92"/>
      <c r="H107" s="78"/>
      <c r="I107" s="76"/>
      <c r="J107" s="92"/>
      <c r="K107" s="72"/>
    </row>
    <row r="108" spans="1:11" ht="12.75">
      <c r="A108" s="71"/>
      <c r="B108" s="78" t="s">
        <v>215</v>
      </c>
      <c r="C108" s="76" t="s">
        <v>204</v>
      </c>
      <c r="D108" s="92">
        <v>4581</v>
      </c>
      <c r="E108" s="78"/>
      <c r="F108" s="76"/>
      <c r="G108" s="92"/>
      <c r="H108" s="78"/>
      <c r="I108" s="76"/>
      <c r="J108" s="92"/>
      <c r="K108" s="72"/>
    </row>
    <row r="109" spans="1:11" ht="12.75">
      <c r="A109" s="71"/>
      <c r="B109" s="78" t="s">
        <v>215</v>
      </c>
      <c r="C109" s="76" t="s">
        <v>205</v>
      </c>
      <c r="D109" s="92">
        <v>4386</v>
      </c>
      <c r="E109" s="78"/>
      <c r="F109" s="76"/>
      <c r="G109" s="92"/>
      <c r="H109" s="78"/>
      <c r="I109" s="76"/>
      <c r="J109" s="92"/>
      <c r="K109" s="72"/>
    </row>
    <row r="110" spans="1:11" ht="12.75">
      <c r="A110" s="71"/>
      <c r="B110" s="78" t="s">
        <v>215</v>
      </c>
      <c r="C110" s="76" t="s">
        <v>206</v>
      </c>
      <c r="D110" s="92">
        <v>4079</v>
      </c>
      <c r="E110" s="78"/>
      <c r="F110" s="76"/>
      <c r="G110" s="92"/>
      <c r="H110" s="78"/>
      <c r="I110" s="76"/>
      <c r="J110" s="92"/>
      <c r="K110" s="72"/>
    </row>
    <row r="111" spans="1:11" ht="12.75">
      <c r="A111" s="71"/>
      <c r="B111" s="78" t="s">
        <v>215</v>
      </c>
      <c r="C111" s="76" t="s">
        <v>207</v>
      </c>
      <c r="D111" s="92">
        <v>2528</v>
      </c>
      <c r="E111" s="78"/>
      <c r="F111" s="76"/>
      <c r="G111" s="92"/>
      <c r="H111" s="78"/>
      <c r="I111" s="76"/>
      <c r="J111" s="92"/>
      <c r="K111" s="72"/>
    </row>
    <row r="112" spans="1:11" ht="12.75">
      <c r="A112" s="71"/>
      <c r="B112" s="78" t="s">
        <v>216</v>
      </c>
      <c r="C112" s="76" t="s">
        <v>202</v>
      </c>
      <c r="D112" s="92">
        <v>10721</v>
      </c>
      <c r="E112" s="78"/>
      <c r="F112" s="76"/>
      <c r="G112" s="92"/>
      <c r="H112" s="78"/>
      <c r="I112" s="76"/>
      <c r="J112" s="92"/>
      <c r="K112" s="72"/>
    </row>
    <row r="113" spans="1:11" ht="12.75">
      <c r="A113" s="71"/>
      <c r="B113" s="78" t="s">
        <v>216</v>
      </c>
      <c r="C113" s="76" t="s">
        <v>203</v>
      </c>
      <c r="D113" s="92">
        <v>10235</v>
      </c>
      <c r="E113" s="78"/>
      <c r="F113" s="76"/>
      <c r="G113" s="92"/>
      <c r="H113" s="78"/>
      <c r="I113" s="76"/>
      <c r="J113" s="92"/>
      <c r="K113" s="72"/>
    </row>
    <row r="114" spans="1:11" ht="12.75">
      <c r="A114" s="71"/>
      <c r="B114" s="78" t="s">
        <v>216</v>
      </c>
      <c r="C114" s="76" t="s">
        <v>204</v>
      </c>
      <c r="D114" s="92">
        <v>8920</v>
      </c>
      <c r="E114" s="78"/>
      <c r="F114" s="76"/>
      <c r="G114" s="92"/>
      <c r="H114" s="78"/>
      <c r="I114" s="76"/>
      <c r="J114" s="92"/>
      <c r="K114" s="72"/>
    </row>
    <row r="115" spans="1:11" ht="12.75">
      <c r="A115" s="71"/>
      <c r="B115" s="78" t="s">
        <v>216</v>
      </c>
      <c r="C115" s="76" t="s">
        <v>205</v>
      </c>
      <c r="D115" s="92">
        <v>8446</v>
      </c>
      <c r="E115" s="78"/>
      <c r="F115" s="76"/>
      <c r="G115" s="92"/>
      <c r="H115" s="78"/>
      <c r="I115" s="76"/>
      <c r="J115" s="92"/>
      <c r="K115" s="72"/>
    </row>
    <row r="116" spans="1:11" ht="12.75">
      <c r="A116" s="71"/>
      <c r="B116" s="78" t="s">
        <v>216</v>
      </c>
      <c r="C116" s="76" t="s">
        <v>206</v>
      </c>
      <c r="D116" s="92">
        <v>7978</v>
      </c>
      <c r="E116" s="78"/>
      <c r="F116" s="76"/>
      <c r="G116" s="92"/>
      <c r="H116" s="78"/>
      <c r="I116" s="76"/>
      <c r="J116" s="92"/>
      <c r="K116" s="72"/>
    </row>
    <row r="117" spans="1:11" ht="12.75">
      <c r="A117" s="71"/>
      <c r="B117" s="78" t="s">
        <v>216</v>
      </c>
      <c r="C117" s="76" t="s">
        <v>207</v>
      </c>
      <c r="D117" s="92">
        <v>5301</v>
      </c>
      <c r="E117" s="78"/>
      <c r="F117" s="76"/>
      <c r="G117" s="92"/>
      <c r="H117" s="78"/>
      <c r="I117" s="76"/>
      <c r="J117" s="92"/>
      <c r="K117" s="72"/>
    </row>
    <row r="118" spans="1:11" ht="12.75">
      <c r="A118" s="71"/>
      <c r="B118" s="78" t="s">
        <v>217</v>
      </c>
      <c r="C118" s="76" t="s">
        <v>202</v>
      </c>
      <c r="D118" s="92">
        <v>17756</v>
      </c>
      <c r="E118" s="78"/>
      <c r="F118" s="76"/>
      <c r="G118" s="92"/>
      <c r="H118" s="78"/>
      <c r="I118" s="76"/>
      <c r="J118" s="92"/>
      <c r="K118" s="72"/>
    </row>
    <row r="119" spans="1:11" ht="12.75">
      <c r="A119" s="71"/>
      <c r="B119" s="78" t="s">
        <v>217</v>
      </c>
      <c r="C119" s="76" t="s">
        <v>203</v>
      </c>
      <c r="D119" s="92">
        <v>17202</v>
      </c>
      <c r="E119" s="78"/>
      <c r="F119" s="76"/>
      <c r="G119" s="92"/>
      <c r="H119" s="78"/>
      <c r="I119" s="76"/>
      <c r="J119" s="92"/>
      <c r="K119" s="72"/>
    </row>
    <row r="120" spans="1:11" ht="12.75">
      <c r="A120" s="71"/>
      <c r="B120" s="78" t="s">
        <v>217</v>
      </c>
      <c r="C120" s="76" t="s">
        <v>204</v>
      </c>
      <c r="D120" s="92">
        <v>14614</v>
      </c>
      <c r="E120" s="78"/>
      <c r="F120" s="76"/>
      <c r="G120" s="92"/>
      <c r="H120" s="78"/>
      <c r="I120" s="76"/>
      <c r="J120" s="92"/>
      <c r="K120" s="72"/>
    </row>
    <row r="121" spans="1:11" ht="12.75">
      <c r="A121" s="71"/>
      <c r="B121" s="78" t="s">
        <v>217</v>
      </c>
      <c r="C121" s="76" t="s">
        <v>205</v>
      </c>
      <c r="D121" s="92">
        <v>14164</v>
      </c>
      <c r="E121" s="78"/>
      <c r="F121" s="76"/>
      <c r="G121" s="92"/>
      <c r="H121" s="78"/>
      <c r="I121" s="76"/>
      <c r="J121" s="92"/>
      <c r="K121" s="72"/>
    </row>
    <row r="122" spans="1:11" ht="12.75">
      <c r="A122" s="71"/>
      <c r="B122" s="78" t="s">
        <v>217</v>
      </c>
      <c r="C122" s="76" t="s">
        <v>206</v>
      </c>
      <c r="D122" s="92">
        <v>13029</v>
      </c>
      <c r="E122" s="78"/>
      <c r="F122" s="76"/>
      <c r="G122" s="92"/>
      <c r="H122" s="78"/>
      <c r="I122" s="76"/>
      <c r="J122" s="92"/>
      <c r="K122" s="72"/>
    </row>
    <row r="123" spans="1:11" ht="12.75">
      <c r="A123" s="71"/>
      <c r="B123" s="78" t="s">
        <v>217</v>
      </c>
      <c r="C123" s="76" t="s">
        <v>207</v>
      </c>
      <c r="D123" s="92">
        <v>8431</v>
      </c>
      <c r="E123" s="78"/>
      <c r="F123" s="76"/>
      <c r="G123" s="92"/>
      <c r="H123" s="78"/>
      <c r="I123" s="76"/>
      <c r="J123" s="92"/>
      <c r="K123" s="72"/>
    </row>
    <row r="124" spans="1:11" ht="12.75">
      <c r="A124" s="71"/>
      <c r="B124" s="78" t="s">
        <v>218</v>
      </c>
      <c r="C124" s="76" t="s">
        <v>202</v>
      </c>
      <c r="D124" s="92">
        <v>26714</v>
      </c>
      <c r="E124" s="78"/>
      <c r="F124" s="76"/>
      <c r="G124" s="92"/>
      <c r="H124" s="78"/>
      <c r="I124" s="76"/>
      <c r="J124" s="92"/>
      <c r="K124" s="72"/>
    </row>
    <row r="125" spans="1:11" ht="12.75">
      <c r="A125" s="71"/>
      <c r="B125" s="78" t="s">
        <v>218</v>
      </c>
      <c r="C125" s="76" t="s">
        <v>203</v>
      </c>
      <c r="D125" s="92">
        <v>25917</v>
      </c>
      <c r="E125" s="78"/>
      <c r="F125" s="76"/>
      <c r="G125" s="92"/>
      <c r="H125" s="78"/>
      <c r="I125" s="76"/>
      <c r="J125" s="92"/>
      <c r="K125" s="72"/>
    </row>
    <row r="126" spans="1:11" ht="12.75">
      <c r="A126" s="71"/>
      <c r="B126" s="78" t="s">
        <v>218</v>
      </c>
      <c r="C126" s="76" t="s">
        <v>204</v>
      </c>
      <c r="D126" s="92">
        <v>22782</v>
      </c>
      <c r="E126" s="78"/>
      <c r="F126" s="76"/>
      <c r="G126" s="92"/>
      <c r="H126" s="78"/>
      <c r="I126" s="76"/>
      <c r="J126" s="92"/>
      <c r="K126" s="72"/>
    </row>
    <row r="127" spans="1:11" ht="12.75">
      <c r="A127" s="71"/>
      <c r="B127" s="78" t="s">
        <v>218</v>
      </c>
      <c r="C127" s="76" t="s">
        <v>205</v>
      </c>
      <c r="D127" s="92">
        <v>21230</v>
      </c>
      <c r="E127" s="78"/>
      <c r="F127" s="76"/>
      <c r="G127" s="92"/>
      <c r="H127" s="78"/>
      <c r="I127" s="76"/>
      <c r="J127" s="92"/>
      <c r="K127" s="72"/>
    </row>
    <row r="128" spans="1:11" ht="12.75">
      <c r="A128" s="71"/>
      <c r="B128" s="78" t="s">
        <v>218</v>
      </c>
      <c r="C128" s="76" t="s">
        <v>206</v>
      </c>
      <c r="D128" s="92">
        <v>19619</v>
      </c>
      <c r="E128" s="78"/>
      <c r="F128" s="76"/>
      <c r="G128" s="92"/>
      <c r="H128" s="78"/>
      <c r="I128" s="76"/>
      <c r="J128" s="92"/>
      <c r="K128" s="72"/>
    </row>
    <row r="129" spans="1:11" ht="12.75">
      <c r="A129" s="71"/>
      <c r="B129" s="78" t="s">
        <v>218</v>
      </c>
      <c r="C129" s="76" t="s">
        <v>207</v>
      </c>
      <c r="D129" s="92">
        <v>12348</v>
      </c>
      <c r="E129" s="78"/>
      <c r="F129" s="76"/>
      <c r="G129" s="92"/>
      <c r="H129" s="78"/>
      <c r="I129" s="76"/>
      <c r="J129" s="92"/>
      <c r="K129" s="72"/>
    </row>
    <row r="130" spans="1:11" ht="12.75">
      <c r="A130" s="71"/>
      <c r="B130" s="78" t="s">
        <v>219</v>
      </c>
      <c r="C130" s="76" t="s">
        <v>202</v>
      </c>
      <c r="D130" s="92">
        <v>32609</v>
      </c>
      <c r="E130" s="78"/>
      <c r="F130" s="76"/>
      <c r="G130" s="92"/>
      <c r="H130" s="78"/>
      <c r="I130" s="76"/>
      <c r="J130" s="92"/>
      <c r="K130" s="72"/>
    </row>
    <row r="131" spans="1:11" ht="12.75">
      <c r="A131" s="71"/>
      <c r="B131" s="78" t="s">
        <v>219</v>
      </c>
      <c r="C131" s="76" t="s">
        <v>203</v>
      </c>
      <c r="D131" s="92">
        <v>30936</v>
      </c>
      <c r="E131" s="78"/>
      <c r="F131" s="76"/>
      <c r="G131" s="92"/>
      <c r="H131" s="78"/>
      <c r="I131" s="76"/>
      <c r="J131" s="92"/>
      <c r="K131" s="72"/>
    </row>
    <row r="132" spans="1:11" ht="12.75">
      <c r="A132" s="71"/>
      <c r="B132" s="78" t="s">
        <v>219</v>
      </c>
      <c r="C132" s="76" t="s">
        <v>204</v>
      </c>
      <c r="D132" s="92">
        <v>28641</v>
      </c>
      <c r="E132" s="78"/>
      <c r="F132" s="76"/>
      <c r="G132" s="92"/>
      <c r="H132" s="78"/>
      <c r="I132" s="76"/>
      <c r="J132" s="92"/>
      <c r="K132" s="72"/>
    </row>
    <row r="133" spans="1:11" ht="12.75">
      <c r="A133" s="71"/>
      <c r="B133" s="78" t="s">
        <v>219</v>
      </c>
      <c r="C133" s="76" t="s">
        <v>205</v>
      </c>
      <c r="D133" s="92">
        <v>26625</v>
      </c>
      <c r="E133" s="78"/>
      <c r="F133" s="76"/>
      <c r="G133" s="92"/>
      <c r="H133" s="78"/>
      <c r="I133" s="76"/>
      <c r="J133" s="92"/>
      <c r="K133" s="72"/>
    </row>
    <row r="134" spans="1:11" ht="12.75">
      <c r="A134" s="71"/>
      <c r="B134" s="78" t="s">
        <v>219</v>
      </c>
      <c r="C134" s="76" t="s">
        <v>206</v>
      </c>
      <c r="D134" s="92">
        <v>24083</v>
      </c>
      <c r="E134" s="78"/>
      <c r="F134" s="76"/>
      <c r="G134" s="92"/>
      <c r="H134" s="78"/>
      <c r="I134" s="76"/>
      <c r="J134" s="92"/>
      <c r="K134" s="72"/>
    </row>
    <row r="135" spans="1:11" ht="12.75">
      <c r="A135" s="71"/>
      <c r="B135" s="78" t="s">
        <v>220</v>
      </c>
      <c r="C135" s="76" t="s">
        <v>202</v>
      </c>
      <c r="D135" s="92">
        <v>44627</v>
      </c>
      <c r="E135" s="78"/>
      <c r="F135" s="76"/>
      <c r="G135" s="92"/>
      <c r="H135" s="78"/>
      <c r="I135" s="76"/>
      <c r="J135" s="92"/>
      <c r="K135" s="72"/>
    </row>
    <row r="136" spans="1:11" ht="12.75">
      <c r="A136" s="71"/>
      <c r="B136" s="78" t="s">
        <v>220</v>
      </c>
      <c r="C136" s="76" t="s">
        <v>203</v>
      </c>
      <c r="D136" s="92">
        <v>42550</v>
      </c>
      <c r="E136" s="78"/>
      <c r="F136" s="76"/>
      <c r="G136" s="92"/>
      <c r="H136" s="78"/>
      <c r="I136" s="76"/>
      <c r="J136" s="92"/>
      <c r="K136" s="72"/>
    </row>
    <row r="137" spans="1:11" ht="12.75">
      <c r="A137" s="71"/>
      <c r="B137" s="78" t="s">
        <v>220</v>
      </c>
      <c r="C137" s="76" t="s">
        <v>204</v>
      </c>
      <c r="D137" s="92">
        <v>39141</v>
      </c>
      <c r="E137" s="78"/>
      <c r="F137" s="76"/>
      <c r="G137" s="92"/>
      <c r="H137" s="78"/>
      <c r="I137" s="76"/>
      <c r="J137" s="92"/>
      <c r="K137" s="72"/>
    </row>
    <row r="138" spans="1:11" ht="12.75">
      <c r="A138" s="71"/>
      <c r="B138" s="78" t="s">
        <v>220</v>
      </c>
      <c r="C138" s="76" t="s">
        <v>205</v>
      </c>
      <c r="D138" s="92">
        <v>36642</v>
      </c>
      <c r="E138" s="78"/>
      <c r="F138" s="76"/>
      <c r="G138" s="92"/>
      <c r="H138" s="78"/>
      <c r="I138" s="76"/>
      <c r="J138" s="92"/>
      <c r="K138" s="72"/>
    </row>
    <row r="139" spans="1:11" ht="12.75">
      <c r="A139" s="71"/>
      <c r="B139" s="78" t="s">
        <v>220</v>
      </c>
      <c r="C139" s="76" t="s">
        <v>206</v>
      </c>
      <c r="D139" s="92">
        <v>33110</v>
      </c>
      <c r="E139" s="78"/>
      <c r="F139" s="76"/>
      <c r="G139" s="92"/>
      <c r="H139" s="78"/>
      <c r="I139" s="76"/>
      <c r="J139" s="92"/>
      <c r="K139" s="72"/>
    </row>
    <row r="140" spans="1:11" ht="12.75">
      <c r="A140" s="71"/>
      <c r="B140" s="78" t="s">
        <v>221</v>
      </c>
      <c r="C140" s="76" t="s">
        <v>202</v>
      </c>
      <c r="D140" s="92">
        <v>57799</v>
      </c>
      <c r="E140" s="78"/>
      <c r="F140" s="76"/>
      <c r="G140" s="92"/>
      <c r="H140" s="78"/>
      <c r="I140" s="76"/>
      <c r="J140" s="92"/>
      <c r="K140" s="72"/>
    </row>
    <row r="141" spans="1:11" ht="12.75">
      <c r="A141" s="71"/>
      <c r="B141" s="78" t="s">
        <v>221</v>
      </c>
      <c r="C141" s="76" t="s">
        <v>203</v>
      </c>
      <c r="D141" s="92">
        <v>56171</v>
      </c>
      <c r="E141" s="78"/>
      <c r="F141" s="76"/>
      <c r="G141" s="92"/>
      <c r="H141" s="78"/>
      <c r="I141" s="76"/>
      <c r="J141" s="92"/>
      <c r="K141" s="72"/>
    </row>
    <row r="142" spans="1:11" ht="12.75">
      <c r="A142" s="71"/>
      <c r="B142" s="78" t="s">
        <v>221</v>
      </c>
      <c r="C142" s="76" t="s">
        <v>204</v>
      </c>
      <c r="D142" s="92">
        <v>51396</v>
      </c>
      <c r="E142" s="78"/>
      <c r="F142" s="76"/>
      <c r="G142" s="92"/>
      <c r="H142" s="78"/>
      <c r="I142" s="76"/>
      <c r="J142" s="92"/>
      <c r="K142" s="72"/>
    </row>
    <row r="143" spans="1:11" ht="12.75">
      <c r="A143" s="71"/>
      <c r="B143" s="78" t="s">
        <v>221</v>
      </c>
      <c r="C143" s="76" t="s">
        <v>205</v>
      </c>
      <c r="D143" s="92">
        <v>48645</v>
      </c>
      <c r="E143" s="78"/>
      <c r="F143" s="76"/>
      <c r="G143" s="92"/>
      <c r="H143" s="78"/>
      <c r="I143" s="76"/>
      <c r="J143" s="92"/>
      <c r="K143" s="72"/>
    </row>
    <row r="144" spans="1:11" ht="12.75">
      <c r="A144" s="71"/>
      <c r="B144" s="78" t="s">
        <v>221</v>
      </c>
      <c r="C144" s="76" t="s">
        <v>206</v>
      </c>
      <c r="D144" s="92">
        <v>43329</v>
      </c>
      <c r="E144" s="78"/>
      <c r="F144" s="76"/>
      <c r="G144" s="92"/>
      <c r="H144" s="78"/>
      <c r="I144" s="76"/>
      <c r="J144" s="92"/>
      <c r="K144" s="72"/>
    </row>
    <row r="145" spans="1:11" ht="12.75">
      <c r="A145" s="71"/>
      <c r="B145" s="78" t="s">
        <v>222</v>
      </c>
      <c r="C145" s="76" t="s">
        <v>202</v>
      </c>
      <c r="D145" s="92">
        <v>74763</v>
      </c>
      <c r="E145" s="78"/>
      <c r="F145" s="76"/>
      <c r="G145" s="92"/>
      <c r="H145" s="78"/>
      <c r="I145" s="76"/>
      <c r="J145" s="92"/>
      <c r="K145" s="72"/>
    </row>
    <row r="146" spans="1:11" ht="12.75">
      <c r="A146" s="71"/>
      <c r="B146" s="78" t="s">
        <v>222</v>
      </c>
      <c r="C146" s="76" t="s">
        <v>203</v>
      </c>
      <c r="D146" s="92">
        <v>71830</v>
      </c>
      <c r="E146" s="78"/>
      <c r="F146" s="76"/>
      <c r="G146" s="92"/>
      <c r="H146" s="78"/>
      <c r="I146" s="76"/>
      <c r="J146" s="92"/>
      <c r="K146" s="72"/>
    </row>
    <row r="147" spans="1:11" ht="12.75">
      <c r="A147" s="71"/>
      <c r="B147" s="78" t="s">
        <v>222</v>
      </c>
      <c r="C147" s="76" t="s">
        <v>204</v>
      </c>
      <c r="D147" s="92">
        <v>65432</v>
      </c>
      <c r="E147" s="78"/>
      <c r="F147" s="76"/>
      <c r="G147" s="92"/>
      <c r="H147" s="78"/>
      <c r="I147" s="76"/>
      <c r="J147" s="92"/>
      <c r="K147" s="72"/>
    </row>
    <row r="148" spans="1:11" ht="12.75">
      <c r="A148" s="71"/>
      <c r="B148" s="78" t="s">
        <v>222</v>
      </c>
      <c r="C148" s="76" t="s">
        <v>205</v>
      </c>
      <c r="D148" s="92">
        <v>62207</v>
      </c>
      <c r="E148" s="78"/>
      <c r="F148" s="76"/>
      <c r="G148" s="92"/>
      <c r="H148" s="78"/>
      <c r="I148" s="76"/>
      <c r="J148" s="92"/>
      <c r="K148" s="72"/>
    </row>
    <row r="149" spans="1:11" ht="12.75">
      <c r="A149" s="71"/>
      <c r="B149" s="78" t="s">
        <v>222</v>
      </c>
      <c r="C149" s="76" t="s">
        <v>206</v>
      </c>
      <c r="D149" s="92">
        <v>55426</v>
      </c>
      <c r="E149" s="78"/>
      <c r="F149" s="76"/>
      <c r="G149" s="92"/>
      <c r="H149" s="78"/>
      <c r="I149" s="76"/>
      <c r="J149" s="92"/>
      <c r="K149" s="72"/>
    </row>
    <row r="150" spans="1:11" ht="12.75">
      <c r="A150" s="71"/>
      <c r="B150" s="78" t="s">
        <v>223</v>
      </c>
      <c r="C150" s="76" t="s">
        <v>202</v>
      </c>
      <c r="D150" s="92">
        <v>91770</v>
      </c>
      <c r="E150" s="78"/>
      <c r="F150" s="76"/>
      <c r="G150" s="92"/>
      <c r="H150" s="78"/>
      <c r="I150" s="76"/>
      <c r="J150" s="92"/>
      <c r="K150" s="72"/>
    </row>
    <row r="151" spans="1:11" ht="12.75">
      <c r="A151" s="71"/>
      <c r="B151" s="78" t="s">
        <v>223</v>
      </c>
      <c r="C151" s="76" t="s">
        <v>203</v>
      </c>
      <c r="D151" s="92">
        <v>88511</v>
      </c>
      <c r="E151" s="78"/>
      <c r="F151" s="76"/>
      <c r="G151" s="92"/>
      <c r="H151" s="78"/>
      <c r="I151" s="76"/>
      <c r="J151" s="92"/>
      <c r="K151" s="72"/>
    </row>
    <row r="152" spans="1:11" ht="12.75">
      <c r="A152" s="71"/>
      <c r="B152" s="78" t="s">
        <v>223</v>
      </c>
      <c r="C152" s="76" t="s">
        <v>204</v>
      </c>
      <c r="D152" s="92">
        <v>81273</v>
      </c>
      <c r="E152" s="78"/>
      <c r="F152" s="76"/>
      <c r="G152" s="92"/>
      <c r="H152" s="78"/>
      <c r="I152" s="76"/>
      <c r="J152" s="92"/>
      <c r="K152" s="72"/>
    </row>
    <row r="153" spans="1:11" ht="12.75">
      <c r="A153" s="71"/>
      <c r="B153" s="78" t="s">
        <v>224</v>
      </c>
      <c r="C153" s="76" t="s">
        <v>202</v>
      </c>
      <c r="D153" s="92">
        <v>113221</v>
      </c>
      <c r="E153" s="78"/>
      <c r="F153" s="76"/>
      <c r="G153" s="92"/>
      <c r="H153" s="78"/>
      <c r="I153" s="76"/>
      <c r="J153" s="92"/>
      <c r="K153" s="72"/>
    </row>
    <row r="154" spans="1:11" ht="12.75">
      <c r="A154" s="71"/>
      <c r="B154" s="78" t="s">
        <v>224</v>
      </c>
      <c r="C154" s="76" t="s">
        <v>203</v>
      </c>
      <c r="D154" s="92">
        <v>109382</v>
      </c>
      <c r="E154" s="78"/>
      <c r="F154" s="76"/>
      <c r="G154" s="92"/>
      <c r="H154" s="78"/>
      <c r="I154" s="76"/>
      <c r="J154" s="92"/>
      <c r="K154" s="72"/>
    </row>
    <row r="155" spans="1:11" ht="12.75">
      <c r="A155" s="71"/>
      <c r="B155" s="78" t="s">
        <v>224</v>
      </c>
      <c r="C155" s="76" t="s">
        <v>204</v>
      </c>
      <c r="D155" s="92">
        <v>98940</v>
      </c>
      <c r="E155" s="78"/>
      <c r="F155" s="76"/>
      <c r="G155" s="92"/>
      <c r="H155" s="78"/>
      <c r="I155" s="76"/>
      <c r="J155" s="92"/>
      <c r="K155" s="72"/>
    </row>
    <row r="156" spans="1:11" ht="12.75">
      <c r="A156" s="71"/>
      <c r="B156" s="78" t="s">
        <v>224</v>
      </c>
      <c r="C156" s="76" t="s">
        <v>205</v>
      </c>
      <c r="D156" s="92">
        <v>93948</v>
      </c>
      <c r="E156" s="78"/>
      <c r="F156" s="76"/>
      <c r="G156" s="92"/>
      <c r="H156" s="78"/>
      <c r="I156" s="76"/>
      <c r="J156" s="92"/>
      <c r="K156" s="72"/>
    </row>
    <row r="157" spans="1:11" ht="12.75">
      <c r="A157" s="71"/>
      <c r="B157" s="78" t="s">
        <v>224</v>
      </c>
      <c r="C157" s="76" t="s">
        <v>206</v>
      </c>
      <c r="D157" s="92">
        <v>83892</v>
      </c>
      <c r="E157" s="78"/>
      <c r="F157" s="76"/>
      <c r="G157" s="92"/>
      <c r="H157" s="78"/>
      <c r="I157" s="76"/>
      <c r="J157" s="92"/>
      <c r="K157" s="72"/>
    </row>
    <row r="158" spans="1:11" ht="12.75">
      <c r="A158" s="71"/>
      <c r="B158" s="78" t="s">
        <v>225</v>
      </c>
      <c r="C158" s="76" t="s">
        <v>202</v>
      </c>
      <c r="D158" s="92">
        <v>132159</v>
      </c>
      <c r="E158" s="78"/>
      <c r="F158" s="76"/>
      <c r="G158" s="92"/>
      <c r="H158" s="78"/>
      <c r="I158" s="76"/>
      <c r="J158" s="92"/>
      <c r="K158" s="72"/>
    </row>
    <row r="159" spans="1:11" ht="12.75">
      <c r="A159" s="71"/>
      <c r="B159" s="78" t="s">
        <v>225</v>
      </c>
      <c r="C159" s="76" t="s">
        <v>203</v>
      </c>
      <c r="D159" s="92">
        <v>126650</v>
      </c>
      <c r="E159" s="78"/>
      <c r="F159" s="76"/>
      <c r="G159" s="92"/>
      <c r="H159" s="78"/>
      <c r="I159" s="76"/>
      <c r="J159" s="92"/>
      <c r="K159" s="72"/>
    </row>
    <row r="160" spans="1:11" ht="12.75">
      <c r="A160" s="71"/>
      <c r="B160" s="78" t="s">
        <v>225</v>
      </c>
      <c r="C160" s="76" t="s">
        <v>204</v>
      </c>
      <c r="D160" s="92">
        <v>117426</v>
      </c>
      <c r="E160" s="78"/>
      <c r="F160" s="76"/>
      <c r="G160" s="92"/>
      <c r="H160" s="78"/>
      <c r="I160" s="76"/>
      <c r="J160" s="92"/>
      <c r="K160" s="72"/>
    </row>
    <row r="161" spans="1:11" ht="12.75">
      <c r="A161" s="71"/>
      <c r="B161" s="78" t="s">
        <v>226</v>
      </c>
      <c r="C161" s="76" t="s">
        <v>202</v>
      </c>
      <c r="D161" s="92">
        <v>154783</v>
      </c>
      <c r="E161" s="78"/>
      <c r="F161" s="76"/>
      <c r="G161" s="92"/>
      <c r="H161" s="78"/>
      <c r="I161" s="76"/>
      <c r="J161" s="92"/>
      <c r="K161" s="72"/>
    </row>
    <row r="162" spans="1:11" ht="12.75">
      <c r="A162" s="71"/>
      <c r="B162" s="78" t="s">
        <v>226</v>
      </c>
      <c r="C162" s="76" t="s">
        <v>203</v>
      </c>
      <c r="D162" s="92">
        <v>148828</v>
      </c>
      <c r="E162" s="78"/>
      <c r="F162" s="76"/>
      <c r="G162" s="92"/>
      <c r="H162" s="78"/>
      <c r="I162" s="76"/>
      <c r="J162" s="92"/>
      <c r="K162" s="72"/>
    </row>
    <row r="163" spans="1:11" ht="12.75">
      <c r="A163" s="71"/>
      <c r="B163" s="78" t="s">
        <v>226</v>
      </c>
      <c r="C163" s="76" t="s">
        <v>204</v>
      </c>
      <c r="D163" s="92">
        <v>138726</v>
      </c>
      <c r="E163" s="78"/>
      <c r="F163" s="76"/>
      <c r="G163" s="92"/>
      <c r="H163" s="78"/>
      <c r="I163" s="76"/>
      <c r="J163" s="92"/>
      <c r="K163" s="72"/>
    </row>
    <row r="164" spans="1:11" ht="12.75">
      <c r="A164" s="71"/>
      <c r="B164" s="78" t="s">
        <v>227</v>
      </c>
      <c r="C164" s="76" t="s">
        <v>202</v>
      </c>
      <c r="D164" s="92">
        <v>182779</v>
      </c>
      <c r="E164" s="78"/>
      <c r="F164" s="76"/>
      <c r="G164" s="92"/>
      <c r="H164" s="78"/>
      <c r="I164" s="76"/>
      <c r="J164" s="92"/>
      <c r="K164" s="72"/>
    </row>
    <row r="165" spans="1:11" ht="12.75">
      <c r="A165" s="71"/>
      <c r="B165" s="78" t="s">
        <v>227</v>
      </c>
      <c r="C165" s="76" t="s">
        <v>203</v>
      </c>
      <c r="D165" s="92">
        <v>176007</v>
      </c>
      <c r="E165" s="78"/>
      <c r="F165" s="76"/>
      <c r="G165" s="92"/>
      <c r="H165" s="78"/>
      <c r="I165" s="76"/>
      <c r="J165" s="92"/>
      <c r="K165" s="72"/>
    </row>
    <row r="166" spans="1:11" ht="12.75">
      <c r="A166" s="71"/>
      <c r="B166" s="78" t="s">
        <v>227</v>
      </c>
      <c r="C166" s="76" t="s">
        <v>204</v>
      </c>
      <c r="D166" s="92">
        <v>161903</v>
      </c>
      <c r="E166" s="78"/>
      <c r="F166" s="76"/>
      <c r="G166" s="92"/>
      <c r="H166" s="78"/>
      <c r="I166" s="76"/>
      <c r="J166" s="92"/>
      <c r="K166" s="72"/>
    </row>
    <row r="167" spans="1:11" ht="12.75">
      <c r="A167" s="71"/>
      <c r="B167" s="78" t="s">
        <v>228</v>
      </c>
      <c r="C167" s="76" t="s">
        <v>202</v>
      </c>
      <c r="D167" s="92">
        <v>251986</v>
      </c>
      <c r="E167" s="78"/>
      <c r="F167" s="76"/>
      <c r="G167" s="92"/>
      <c r="H167" s="78"/>
      <c r="I167" s="76"/>
      <c r="J167" s="92"/>
      <c r="K167" s="72"/>
    </row>
    <row r="168" spans="1:11" ht="12.75">
      <c r="A168" s="71"/>
      <c r="B168" s="78" t="s">
        <v>228</v>
      </c>
      <c r="C168" s="76" t="s">
        <v>203</v>
      </c>
      <c r="D168" s="92">
        <v>248911</v>
      </c>
      <c r="E168" s="78"/>
      <c r="F168" s="76"/>
      <c r="G168" s="92"/>
      <c r="H168" s="78"/>
      <c r="I168" s="76"/>
      <c r="J168" s="92"/>
      <c r="K168" s="72"/>
    </row>
    <row r="169" spans="1:11" ht="12.75">
      <c r="A169" s="71"/>
      <c r="B169" s="78" t="s">
        <v>228</v>
      </c>
      <c r="C169" s="76" t="s">
        <v>204</v>
      </c>
      <c r="D169" s="92">
        <v>226668</v>
      </c>
      <c r="E169" s="78"/>
      <c r="F169" s="76"/>
      <c r="G169" s="92"/>
      <c r="H169" s="78"/>
      <c r="I169" s="76"/>
      <c r="J169" s="92"/>
      <c r="K169" s="72"/>
    </row>
    <row r="170" spans="1:11" ht="12.75">
      <c r="A170" s="71"/>
      <c r="B170" s="78" t="s">
        <v>229</v>
      </c>
      <c r="C170" s="76"/>
      <c r="D170" s="92"/>
      <c r="E170" s="78"/>
      <c r="F170" s="76"/>
      <c r="G170" s="92"/>
      <c r="H170" s="78"/>
      <c r="I170" s="76"/>
      <c r="J170" s="92"/>
      <c r="K170" s="72"/>
    </row>
    <row r="171" spans="1:11" ht="12.75">
      <c r="A171" s="71"/>
      <c r="B171" s="78" t="s">
        <v>230</v>
      </c>
      <c r="C171" s="76" t="s">
        <v>202</v>
      </c>
      <c r="D171" s="92">
        <v>125</v>
      </c>
      <c r="E171" s="78"/>
      <c r="F171" s="76"/>
      <c r="G171" s="92"/>
      <c r="H171" s="78"/>
      <c r="I171" s="76"/>
      <c r="J171" s="92"/>
      <c r="K171" s="72"/>
    </row>
    <row r="172" spans="1:11" ht="12.75">
      <c r="A172" s="71"/>
      <c r="B172" s="78" t="s">
        <v>230</v>
      </c>
      <c r="C172" s="76" t="s">
        <v>203</v>
      </c>
      <c r="D172" s="92">
        <v>125</v>
      </c>
      <c r="E172" s="78"/>
      <c r="F172" s="76"/>
      <c r="G172" s="92"/>
      <c r="H172" s="78"/>
      <c r="I172" s="76"/>
      <c r="J172" s="92"/>
      <c r="K172" s="72"/>
    </row>
    <row r="173" spans="1:11" ht="12.75">
      <c r="A173" s="71"/>
      <c r="B173" s="78" t="s">
        <v>230</v>
      </c>
      <c r="C173" s="76" t="s">
        <v>204</v>
      </c>
      <c r="D173" s="92">
        <v>125</v>
      </c>
      <c r="E173" s="78"/>
      <c r="F173" s="76"/>
      <c r="G173" s="92"/>
      <c r="H173" s="78"/>
      <c r="I173" s="76"/>
      <c r="J173" s="92"/>
      <c r="K173" s="72"/>
    </row>
    <row r="174" spans="1:11" ht="12.75">
      <c r="A174" s="71"/>
      <c r="B174" s="78" t="s">
        <v>230</v>
      </c>
      <c r="C174" s="76" t="s">
        <v>205</v>
      </c>
      <c r="D174" s="92">
        <v>124</v>
      </c>
      <c r="E174" s="78"/>
      <c r="F174" s="76"/>
      <c r="G174" s="92"/>
      <c r="H174" s="78"/>
      <c r="I174" s="76"/>
      <c r="J174" s="92"/>
      <c r="K174" s="72"/>
    </row>
    <row r="175" spans="1:11" ht="12.75">
      <c r="A175" s="71"/>
      <c r="B175" s="78" t="s">
        <v>230</v>
      </c>
      <c r="C175" s="76" t="s">
        <v>206</v>
      </c>
      <c r="D175" s="92">
        <v>124</v>
      </c>
      <c r="E175" s="78"/>
      <c r="F175" s="76"/>
      <c r="G175" s="92"/>
      <c r="H175" s="78"/>
      <c r="I175" s="76"/>
      <c r="J175" s="92"/>
      <c r="K175" s="72"/>
    </row>
    <row r="176" spans="1:11" ht="12.75">
      <c r="A176" s="71"/>
      <c r="B176" s="78" t="s">
        <v>230</v>
      </c>
      <c r="C176" s="76" t="s">
        <v>207</v>
      </c>
      <c r="D176" s="92" t="s">
        <v>231</v>
      </c>
      <c r="E176" s="78"/>
      <c r="F176" s="76"/>
      <c r="G176" s="92"/>
      <c r="H176" s="78"/>
      <c r="I176" s="76"/>
      <c r="J176" s="92"/>
      <c r="K176" s="72"/>
    </row>
    <row r="177" spans="1:11" ht="12.75">
      <c r="A177" s="71"/>
      <c r="B177" s="78" t="s">
        <v>232</v>
      </c>
      <c r="C177" s="76" t="s">
        <v>202</v>
      </c>
      <c r="D177" s="92">
        <v>183</v>
      </c>
      <c r="E177" s="78"/>
      <c r="F177" s="76"/>
      <c r="G177" s="92"/>
      <c r="H177" s="78"/>
      <c r="I177" s="76"/>
      <c r="J177" s="92"/>
      <c r="K177" s="72"/>
    </row>
    <row r="178" spans="1:11" ht="12.75">
      <c r="A178" s="71"/>
      <c r="B178" s="78" t="s">
        <v>232</v>
      </c>
      <c r="C178" s="76" t="s">
        <v>203</v>
      </c>
      <c r="D178" s="92">
        <v>183</v>
      </c>
      <c r="E178" s="78"/>
      <c r="F178" s="76"/>
      <c r="G178" s="92"/>
      <c r="H178" s="78"/>
      <c r="I178" s="76"/>
      <c r="J178" s="92"/>
      <c r="K178" s="72"/>
    </row>
    <row r="179" spans="1:11" ht="12.75">
      <c r="A179" s="71"/>
      <c r="B179" s="78" t="s">
        <v>232</v>
      </c>
      <c r="C179" s="76" t="s">
        <v>204</v>
      </c>
      <c r="D179" s="92">
        <v>183</v>
      </c>
      <c r="E179" s="78"/>
      <c r="F179" s="76"/>
      <c r="G179" s="92"/>
      <c r="H179" s="78"/>
      <c r="I179" s="76"/>
      <c r="J179" s="92"/>
      <c r="K179" s="72"/>
    </row>
    <row r="180" spans="1:11" ht="12.75">
      <c r="A180" s="71"/>
      <c r="B180" s="78" t="s">
        <v>232</v>
      </c>
      <c r="C180" s="76" t="s">
        <v>205</v>
      </c>
      <c r="D180" s="92">
        <v>183</v>
      </c>
      <c r="E180" s="78"/>
      <c r="F180" s="76"/>
      <c r="G180" s="92"/>
      <c r="H180" s="78"/>
      <c r="I180" s="76"/>
      <c r="J180" s="92"/>
      <c r="K180" s="72"/>
    </row>
    <row r="181" spans="1:11" ht="12.75">
      <c r="A181" s="71"/>
      <c r="B181" s="78" t="s">
        <v>232</v>
      </c>
      <c r="C181" s="76" t="s">
        <v>206</v>
      </c>
      <c r="D181" s="92">
        <v>182</v>
      </c>
      <c r="E181" s="78"/>
      <c r="F181" s="76"/>
      <c r="G181" s="92"/>
      <c r="H181" s="78"/>
      <c r="I181" s="76"/>
      <c r="J181" s="92"/>
      <c r="K181" s="72"/>
    </row>
    <row r="182" spans="1:11" ht="12.75">
      <c r="A182" s="71"/>
      <c r="B182" s="78" t="s">
        <v>232</v>
      </c>
      <c r="C182" s="76" t="s">
        <v>207</v>
      </c>
      <c r="D182" s="92">
        <v>182</v>
      </c>
      <c r="E182" s="78"/>
      <c r="F182" s="76"/>
      <c r="G182" s="92"/>
      <c r="H182" s="78"/>
      <c r="I182" s="76"/>
      <c r="J182" s="92"/>
      <c r="K182" s="72"/>
    </row>
    <row r="183" spans="1:11" ht="12.75">
      <c r="A183" s="71"/>
      <c r="B183" s="78" t="s">
        <v>233</v>
      </c>
      <c r="C183" s="76" t="s">
        <v>202</v>
      </c>
      <c r="D183" s="92">
        <v>505</v>
      </c>
      <c r="E183" s="78"/>
      <c r="F183" s="76"/>
      <c r="G183" s="92"/>
      <c r="H183" s="78"/>
      <c r="I183" s="76"/>
      <c r="J183" s="92"/>
      <c r="K183" s="72"/>
    </row>
    <row r="184" spans="1:11" ht="12.75">
      <c r="A184" s="71"/>
      <c r="B184" s="78" t="s">
        <v>233</v>
      </c>
      <c r="C184" s="76" t="s">
        <v>203</v>
      </c>
      <c r="D184" s="92">
        <v>504</v>
      </c>
      <c r="E184" s="78"/>
      <c r="F184" s="76"/>
      <c r="G184" s="92"/>
      <c r="H184" s="78"/>
      <c r="I184" s="76"/>
      <c r="J184" s="92"/>
      <c r="K184" s="72"/>
    </row>
    <row r="185" spans="1:11" ht="12.75">
      <c r="A185" s="71"/>
      <c r="B185" s="78" t="s">
        <v>233</v>
      </c>
      <c r="C185" s="76" t="s">
        <v>204</v>
      </c>
      <c r="D185" s="92">
        <v>502</v>
      </c>
      <c r="E185" s="78"/>
      <c r="F185" s="76"/>
      <c r="G185" s="92"/>
      <c r="H185" s="78"/>
      <c r="I185" s="76"/>
      <c r="J185" s="92"/>
      <c r="K185" s="72"/>
    </row>
    <row r="186" spans="1:11" ht="12.75">
      <c r="A186" s="71"/>
      <c r="B186" s="78" t="s">
        <v>233</v>
      </c>
      <c r="C186" s="76" t="s">
        <v>205</v>
      </c>
      <c r="D186" s="92">
        <v>502</v>
      </c>
      <c r="E186" s="78"/>
      <c r="F186" s="76"/>
      <c r="G186" s="92"/>
      <c r="H186" s="78"/>
      <c r="I186" s="76"/>
      <c r="J186" s="92"/>
      <c r="K186" s="72"/>
    </row>
    <row r="187" spans="1:11" ht="12.75">
      <c r="A187" s="71"/>
      <c r="B187" s="78" t="s">
        <v>233</v>
      </c>
      <c r="C187" s="76" t="s">
        <v>206</v>
      </c>
      <c r="D187" s="92">
        <v>501</v>
      </c>
      <c r="E187" s="78"/>
      <c r="F187" s="76"/>
      <c r="G187" s="92"/>
      <c r="H187" s="78"/>
      <c r="I187" s="76"/>
      <c r="J187" s="92"/>
      <c r="K187" s="72"/>
    </row>
    <row r="188" spans="1:11" ht="12.75">
      <c r="A188" s="71"/>
      <c r="B188" s="78" t="s">
        <v>233</v>
      </c>
      <c r="C188" s="76" t="s">
        <v>207</v>
      </c>
      <c r="D188" s="92">
        <v>500</v>
      </c>
      <c r="E188" s="78"/>
      <c r="F188" s="76"/>
      <c r="G188" s="92"/>
      <c r="H188" s="78"/>
      <c r="I188" s="76"/>
      <c r="J188" s="92"/>
      <c r="K188" s="72"/>
    </row>
    <row r="189" spans="1:11" ht="12.75">
      <c r="A189" s="71"/>
      <c r="B189" s="78" t="s">
        <v>234</v>
      </c>
      <c r="C189" s="76" t="s">
        <v>202</v>
      </c>
      <c r="D189" s="92">
        <v>735</v>
      </c>
      <c r="E189" s="78"/>
      <c r="F189" s="76"/>
      <c r="G189" s="92"/>
      <c r="H189" s="78"/>
      <c r="I189" s="76"/>
      <c r="J189" s="92"/>
      <c r="K189" s="72"/>
    </row>
    <row r="190" spans="1:11" ht="12.75">
      <c r="A190" s="71"/>
      <c r="B190" s="78" t="s">
        <v>234</v>
      </c>
      <c r="C190" s="76" t="s">
        <v>203</v>
      </c>
      <c r="D190" s="92">
        <v>734</v>
      </c>
      <c r="E190" s="78"/>
      <c r="F190" s="76"/>
      <c r="G190" s="92"/>
      <c r="H190" s="78"/>
      <c r="I190" s="76"/>
      <c r="J190" s="92"/>
      <c r="K190" s="72"/>
    </row>
    <row r="191" spans="1:11" ht="12.75">
      <c r="A191" s="71"/>
      <c r="B191" s="78" t="s">
        <v>234</v>
      </c>
      <c r="C191" s="76" t="s">
        <v>204</v>
      </c>
      <c r="D191" s="92">
        <v>734</v>
      </c>
      <c r="E191" s="78"/>
      <c r="F191" s="76"/>
      <c r="G191" s="92"/>
      <c r="H191" s="78"/>
      <c r="I191" s="76"/>
      <c r="J191" s="92"/>
      <c r="K191" s="72"/>
    </row>
    <row r="192" spans="1:11" ht="12.75">
      <c r="A192" s="71"/>
      <c r="B192" s="78" t="s">
        <v>234</v>
      </c>
      <c r="C192" s="76" t="s">
        <v>205</v>
      </c>
      <c r="D192" s="92">
        <v>733</v>
      </c>
      <c r="E192" s="78"/>
      <c r="F192" s="76"/>
      <c r="G192" s="92"/>
      <c r="H192" s="78"/>
      <c r="I192" s="76"/>
      <c r="J192" s="92"/>
      <c r="K192" s="72"/>
    </row>
    <row r="193" spans="1:11" ht="12.75">
      <c r="A193" s="71"/>
      <c r="B193" s="78" t="s">
        <v>234</v>
      </c>
      <c r="C193" s="76" t="s">
        <v>206</v>
      </c>
      <c r="D193" s="92">
        <v>733</v>
      </c>
      <c r="E193" s="78"/>
      <c r="F193" s="76"/>
      <c r="G193" s="92"/>
      <c r="H193" s="78"/>
      <c r="I193" s="76"/>
      <c r="J193" s="92"/>
      <c r="K193" s="72"/>
    </row>
    <row r="194" spans="1:11" ht="12.75">
      <c r="A194" s="71"/>
      <c r="B194" s="78" t="s">
        <v>234</v>
      </c>
      <c r="C194" s="76" t="s">
        <v>207</v>
      </c>
      <c r="D194" s="92">
        <v>732</v>
      </c>
      <c r="E194" s="78"/>
      <c r="F194" s="76"/>
      <c r="G194" s="92"/>
      <c r="H194" s="78"/>
      <c r="I194" s="76"/>
      <c r="J194" s="92"/>
      <c r="K194" s="72"/>
    </row>
    <row r="195" spans="1:11" ht="12.75">
      <c r="A195" s="71"/>
      <c r="B195" s="78" t="s">
        <v>235</v>
      </c>
      <c r="C195" s="76" t="s">
        <v>202</v>
      </c>
      <c r="D195" s="92">
        <v>2022</v>
      </c>
      <c r="E195" s="78"/>
      <c r="F195" s="76"/>
      <c r="G195" s="92"/>
      <c r="H195" s="78"/>
      <c r="I195" s="76"/>
      <c r="J195" s="92"/>
      <c r="K195" s="72"/>
    </row>
    <row r="196" spans="1:11" ht="12.75">
      <c r="A196" s="71"/>
      <c r="B196" s="78" t="s">
        <v>235</v>
      </c>
      <c r="C196" s="76" t="s">
        <v>203</v>
      </c>
      <c r="D196" s="92">
        <v>2021</v>
      </c>
      <c r="E196" s="78"/>
      <c r="F196" s="76"/>
      <c r="G196" s="92"/>
      <c r="H196" s="78"/>
      <c r="I196" s="76"/>
      <c r="J196" s="92"/>
      <c r="K196" s="72"/>
    </row>
    <row r="197" spans="1:11" ht="12.75">
      <c r="A197" s="71"/>
      <c r="B197" s="78" t="s">
        <v>235</v>
      </c>
      <c r="C197" s="76" t="s">
        <v>204</v>
      </c>
      <c r="D197" s="92">
        <v>2018</v>
      </c>
      <c r="E197" s="78"/>
      <c r="F197" s="76"/>
      <c r="G197" s="92"/>
      <c r="H197" s="78"/>
      <c r="I197" s="76"/>
      <c r="J197" s="92"/>
      <c r="K197" s="72"/>
    </row>
    <row r="198" spans="1:11" ht="12.75">
      <c r="A198" s="71"/>
      <c r="B198" s="78" t="s">
        <v>235</v>
      </c>
      <c r="C198" s="76" t="s">
        <v>205</v>
      </c>
      <c r="D198" s="92">
        <v>2016</v>
      </c>
      <c r="E198" s="78"/>
      <c r="F198" s="76"/>
      <c r="G198" s="92"/>
      <c r="H198" s="78"/>
      <c r="I198" s="76"/>
      <c r="J198" s="92"/>
      <c r="K198" s="72"/>
    </row>
    <row r="199" spans="1:11" ht="12.75">
      <c r="A199" s="71"/>
      <c r="B199" s="78" t="s">
        <v>235</v>
      </c>
      <c r="C199" s="76" t="s">
        <v>206</v>
      </c>
      <c r="D199" s="92">
        <v>2014</v>
      </c>
      <c r="E199" s="78"/>
      <c r="F199" s="76"/>
      <c r="G199" s="92"/>
      <c r="H199" s="78"/>
      <c r="I199" s="76"/>
      <c r="J199" s="92"/>
      <c r="K199" s="72"/>
    </row>
    <row r="200" spans="1:11" ht="12.75">
      <c r="A200" s="71"/>
      <c r="B200" s="78" t="s">
        <v>235</v>
      </c>
      <c r="C200" s="76" t="s">
        <v>207</v>
      </c>
      <c r="D200" s="92">
        <v>1485</v>
      </c>
      <c r="E200" s="78"/>
      <c r="F200" s="76"/>
      <c r="G200" s="92"/>
      <c r="H200" s="78"/>
      <c r="I200" s="76"/>
      <c r="J200" s="92"/>
      <c r="K200" s="72"/>
    </row>
    <row r="201" spans="1:11" ht="12.75">
      <c r="A201" s="71"/>
      <c r="B201" s="78" t="s">
        <v>249</v>
      </c>
      <c r="C201" s="76" t="s">
        <v>202</v>
      </c>
      <c r="D201" s="92">
        <v>1458</v>
      </c>
      <c r="E201" s="78"/>
      <c r="F201" s="76"/>
      <c r="G201" s="92"/>
      <c r="H201" s="78"/>
      <c r="I201" s="76"/>
      <c r="J201" s="92"/>
      <c r="K201" s="72"/>
    </row>
    <row r="202" spans="1:11" ht="12.75">
      <c r="A202" s="71"/>
      <c r="B202" s="78" t="s">
        <v>249</v>
      </c>
      <c r="C202" s="76" t="s">
        <v>203</v>
      </c>
      <c r="D202" s="92">
        <v>1458</v>
      </c>
      <c r="E202" s="78"/>
      <c r="F202" s="76"/>
      <c r="G202" s="92"/>
      <c r="H202" s="78"/>
      <c r="I202" s="76"/>
      <c r="J202" s="92"/>
      <c r="K202" s="72"/>
    </row>
    <row r="203" spans="1:11" ht="12.75">
      <c r="A203" s="71"/>
      <c r="B203" s="78" t="s">
        <v>249</v>
      </c>
      <c r="C203" s="76" t="s">
        <v>204</v>
      </c>
      <c r="D203" s="92">
        <v>1457</v>
      </c>
      <c r="E203" s="78"/>
      <c r="F203" s="76"/>
      <c r="G203" s="92"/>
      <c r="H203" s="78"/>
      <c r="I203" s="76"/>
      <c r="J203" s="92"/>
      <c r="K203" s="72"/>
    </row>
    <row r="204" spans="1:11" ht="12.75">
      <c r="A204" s="71"/>
      <c r="B204" s="78" t="s">
        <v>249</v>
      </c>
      <c r="C204" s="76" t="s">
        <v>205</v>
      </c>
      <c r="D204" s="92">
        <v>1457</v>
      </c>
      <c r="E204" s="78"/>
      <c r="F204" s="76"/>
      <c r="G204" s="92"/>
      <c r="H204" s="78"/>
      <c r="I204" s="76"/>
      <c r="J204" s="92"/>
      <c r="K204" s="72"/>
    </row>
    <row r="205" spans="1:11" ht="12.75">
      <c r="A205" s="71"/>
      <c r="B205" s="78" t="s">
        <v>249</v>
      </c>
      <c r="C205" s="76" t="s">
        <v>206</v>
      </c>
      <c r="D205" s="92">
        <v>1457</v>
      </c>
      <c r="E205" s="78"/>
      <c r="F205" s="76"/>
      <c r="G205" s="92"/>
      <c r="H205" s="78"/>
      <c r="I205" s="76"/>
      <c r="J205" s="92"/>
      <c r="K205" s="72"/>
    </row>
    <row r="206" spans="1:11" ht="12.75">
      <c r="A206" s="71"/>
      <c r="B206" s="78" t="s">
        <v>249</v>
      </c>
      <c r="C206" s="76" t="s">
        <v>207</v>
      </c>
      <c r="D206" s="92">
        <v>1099</v>
      </c>
      <c r="E206" s="78"/>
      <c r="F206" s="76"/>
      <c r="G206" s="92"/>
      <c r="H206" s="78"/>
      <c r="I206" s="76"/>
      <c r="J206" s="92"/>
      <c r="K206" s="72"/>
    </row>
    <row r="207" spans="1:11" ht="12.75">
      <c r="A207" s="71"/>
      <c r="B207" s="78" t="s">
        <v>236</v>
      </c>
      <c r="C207" s="76" t="s">
        <v>202</v>
      </c>
      <c r="D207" s="92">
        <v>4183</v>
      </c>
      <c r="E207" s="78"/>
      <c r="F207" s="76"/>
      <c r="G207" s="92"/>
      <c r="H207" s="78"/>
      <c r="I207" s="76"/>
      <c r="J207" s="92"/>
      <c r="K207" s="72"/>
    </row>
    <row r="208" spans="1:11" ht="12.75">
      <c r="A208" s="71"/>
      <c r="B208" s="78" t="s">
        <v>236</v>
      </c>
      <c r="C208" s="76" t="s">
        <v>203</v>
      </c>
      <c r="D208" s="92">
        <v>4181</v>
      </c>
      <c r="E208" s="78"/>
      <c r="F208" s="76"/>
      <c r="G208" s="92"/>
      <c r="H208" s="78"/>
      <c r="I208" s="76"/>
      <c r="J208" s="92"/>
      <c r="K208" s="72"/>
    </row>
    <row r="209" spans="1:11" ht="12.75">
      <c r="A209" s="71"/>
      <c r="B209" s="78" t="s">
        <v>236</v>
      </c>
      <c r="C209" s="76" t="s">
        <v>204</v>
      </c>
      <c r="D209" s="92">
        <v>4169</v>
      </c>
      <c r="E209" s="78"/>
      <c r="F209" s="76"/>
      <c r="G209" s="92"/>
      <c r="H209" s="78"/>
      <c r="I209" s="76"/>
      <c r="J209" s="92"/>
      <c r="K209" s="72"/>
    </row>
    <row r="210" spans="1:11" ht="12.75">
      <c r="A210" s="71"/>
      <c r="B210" s="78" t="s">
        <v>236</v>
      </c>
      <c r="C210" s="76" t="s">
        <v>205</v>
      </c>
      <c r="D210" s="92">
        <v>4166</v>
      </c>
      <c r="E210" s="78"/>
      <c r="F210" s="76"/>
      <c r="G210" s="92"/>
      <c r="H210" s="78"/>
      <c r="I210" s="76"/>
      <c r="J210" s="92"/>
      <c r="K210" s="72"/>
    </row>
    <row r="211" spans="1:11" ht="12.75">
      <c r="A211" s="71"/>
      <c r="B211" s="78" t="s">
        <v>236</v>
      </c>
      <c r="C211" s="76" t="s">
        <v>206</v>
      </c>
      <c r="D211" s="92">
        <v>4158</v>
      </c>
      <c r="E211" s="78"/>
      <c r="F211" s="76"/>
      <c r="G211" s="92"/>
      <c r="H211" s="78"/>
      <c r="I211" s="76"/>
      <c r="J211" s="92"/>
      <c r="K211" s="72"/>
    </row>
    <row r="212" spans="1:11" ht="12.75">
      <c r="A212" s="71"/>
      <c r="B212" s="78" t="s">
        <v>236</v>
      </c>
      <c r="C212" s="76" t="s">
        <v>207</v>
      </c>
      <c r="D212" s="92">
        <v>3307</v>
      </c>
      <c r="E212" s="78"/>
      <c r="F212" s="76"/>
      <c r="G212" s="92"/>
      <c r="H212" s="78"/>
      <c r="I212" s="76"/>
      <c r="J212" s="92"/>
      <c r="K212" s="72"/>
    </row>
    <row r="213" spans="1:11" ht="12.75">
      <c r="A213" s="71"/>
      <c r="B213" s="78" t="s">
        <v>237</v>
      </c>
      <c r="C213" s="76" t="s">
        <v>202</v>
      </c>
      <c r="D213" s="92">
        <v>2941</v>
      </c>
      <c r="E213" s="78"/>
      <c r="F213" s="76"/>
      <c r="G213" s="92"/>
      <c r="H213" s="78"/>
      <c r="I213" s="76"/>
      <c r="J213" s="92"/>
      <c r="K213" s="72"/>
    </row>
    <row r="214" spans="1:11" ht="12.75">
      <c r="A214" s="71"/>
      <c r="B214" s="78" t="s">
        <v>237</v>
      </c>
      <c r="C214" s="76" t="s">
        <v>203</v>
      </c>
      <c r="D214" s="92">
        <v>2940</v>
      </c>
      <c r="E214" s="78"/>
      <c r="F214" s="76"/>
      <c r="G214" s="92"/>
      <c r="H214" s="78"/>
      <c r="I214" s="76"/>
      <c r="J214" s="92"/>
      <c r="K214" s="72"/>
    </row>
    <row r="215" spans="1:11" ht="12.75">
      <c r="A215" s="71"/>
      <c r="B215" s="78" t="s">
        <v>237</v>
      </c>
      <c r="C215" s="76" t="s">
        <v>204</v>
      </c>
      <c r="D215" s="92">
        <v>2939</v>
      </c>
      <c r="E215" s="78"/>
      <c r="F215" s="76"/>
      <c r="G215" s="92"/>
      <c r="H215" s="78"/>
      <c r="I215" s="76"/>
      <c r="J215" s="92"/>
      <c r="K215" s="72"/>
    </row>
    <row r="216" spans="1:11" ht="12.75">
      <c r="A216" s="71"/>
      <c r="B216" s="78" t="s">
        <v>237</v>
      </c>
      <c r="C216" s="76" t="s">
        <v>205</v>
      </c>
      <c r="D216" s="92">
        <v>2938</v>
      </c>
      <c r="E216" s="78"/>
      <c r="F216" s="76"/>
      <c r="G216" s="92"/>
      <c r="H216" s="78"/>
      <c r="I216" s="76"/>
      <c r="J216" s="92"/>
      <c r="K216" s="72"/>
    </row>
    <row r="217" spans="1:11" ht="12.75">
      <c r="A217" s="71"/>
      <c r="B217" s="78" t="s">
        <v>237</v>
      </c>
      <c r="C217" s="76" t="s">
        <v>206</v>
      </c>
      <c r="D217" s="92">
        <v>2937</v>
      </c>
      <c r="E217" s="78"/>
      <c r="F217" s="76"/>
      <c r="G217" s="92"/>
      <c r="H217" s="78"/>
      <c r="I217" s="76"/>
      <c r="J217" s="92"/>
      <c r="K217" s="72"/>
    </row>
    <row r="218" spans="1:11" ht="12.75">
      <c r="A218" s="71"/>
      <c r="B218" s="78" t="s">
        <v>237</v>
      </c>
      <c r="C218" s="76" t="s">
        <v>207</v>
      </c>
      <c r="D218" s="92">
        <v>2385</v>
      </c>
      <c r="E218" s="78"/>
      <c r="F218" s="76"/>
      <c r="G218" s="92"/>
      <c r="H218" s="78"/>
      <c r="I218" s="76"/>
      <c r="J218" s="92"/>
      <c r="K218" s="72"/>
    </row>
    <row r="219" spans="1:11" ht="12.75">
      <c r="A219" s="71"/>
      <c r="B219" s="78" t="s">
        <v>238</v>
      </c>
      <c r="C219" s="76" t="s">
        <v>202</v>
      </c>
      <c r="D219" s="92">
        <v>7342</v>
      </c>
      <c r="E219" s="78"/>
      <c r="F219" s="76"/>
      <c r="G219" s="92"/>
      <c r="H219" s="78"/>
      <c r="I219" s="76"/>
      <c r="J219" s="92"/>
      <c r="K219" s="72"/>
    </row>
    <row r="220" spans="1:11" ht="12.75">
      <c r="A220" s="71"/>
      <c r="B220" s="78" t="s">
        <v>238</v>
      </c>
      <c r="C220" s="76" t="s">
        <v>203</v>
      </c>
      <c r="D220" s="92">
        <v>7338</v>
      </c>
      <c r="E220" s="78"/>
      <c r="F220" s="76"/>
      <c r="G220" s="92"/>
      <c r="H220" s="78"/>
      <c r="I220" s="76"/>
      <c r="J220" s="92"/>
      <c r="K220" s="72"/>
    </row>
    <row r="221" spans="1:11" ht="12.75">
      <c r="A221" s="71"/>
      <c r="B221" s="78" t="s">
        <v>238</v>
      </c>
      <c r="C221" s="76" t="s">
        <v>204</v>
      </c>
      <c r="D221" s="92">
        <v>7316</v>
      </c>
      <c r="E221" s="78"/>
      <c r="F221" s="76"/>
      <c r="G221" s="92"/>
      <c r="H221" s="78"/>
      <c r="I221" s="76"/>
      <c r="J221" s="92"/>
      <c r="K221" s="72"/>
    </row>
    <row r="222" spans="1:11" ht="12.75">
      <c r="A222" s="71"/>
      <c r="B222" s="78" t="s">
        <v>238</v>
      </c>
      <c r="C222" s="76" t="s">
        <v>205</v>
      </c>
      <c r="D222" s="92">
        <v>7302</v>
      </c>
      <c r="E222" s="78"/>
      <c r="F222" s="76"/>
      <c r="G222" s="92"/>
      <c r="H222" s="78"/>
      <c r="I222" s="76"/>
      <c r="J222" s="92"/>
      <c r="K222" s="72"/>
    </row>
    <row r="223" spans="1:11" ht="12.75">
      <c r="A223" s="71"/>
      <c r="B223" s="78" t="s">
        <v>238</v>
      </c>
      <c r="C223" s="76" t="s">
        <v>206</v>
      </c>
      <c r="D223" s="92">
        <v>7283</v>
      </c>
      <c r="E223" s="78"/>
      <c r="F223" s="76"/>
      <c r="G223" s="92"/>
      <c r="H223" s="78"/>
      <c r="I223" s="76"/>
      <c r="J223" s="92"/>
      <c r="K223" s="72"/>
    </row>
    <row r="224" spans="1:11" ht="12.75">
      <c r="A224" s="71"/>
      <c r="B224" s="78" t="s">
        <v>238</v>
      </c>
      <c r="C224" s="76" t="s">
        <v>207</v>
      </c>
      <c r="D224" s="92">
        <v>5933</v>
      </c>
      <c r="E224" s="78"/>
      <c r="F224" s="76"/>
      <c r="G224" s="92"/>
      <c r="H224" s="78"/>
      <c r="I224" s="76"/>
      <c r="J224" s="92"/>
      <c r="K224" s="72"/>
    </row>
    <row r="225" spans="1:11" ht="12.75">
      <c r="A225" s="71"/>
      <c r="B225" s="78" t="s">
        <v>239</v>
      </c>
      <c r="C225" s="76" t="s">
        <v>202</v>
      </c>
      <c r="D225" s="92">
        <v>14080</v>
      </c>
      <c r="E225" s="78"/>
      <c r="F225" s="76"/>
      <c r="G225" s="92"/>
      <c r="H225" s="78"/>
      <c r="I225" s="76"/>
      <c r="J225" s="92"/>
      <c r="K225" s="72"/>
    </row>
    <row r="226" spans="1:11" ht="12.75">
      <c r="A226" s="71"/>
      <c r="B226" s="78" t="s">
        <v>239</v>
      </c>
      <c r="C226" s="76" t="s">
        <v>203</v>
      </c>
      <c r="D226" s="92">
        <v>14043</v>
      </c>
      <c r="E226" s="78"/>
      <c r="F226" s="76"/>
      <c r="G226" s="92"/>
      <c r="H226" s="78"/>
      <c r="I226" s="76"/>
      <c r="J226" s="92"/>
      <c r="K226" s="72"/>
    </row>
    <row r="227" spans="1:11" ht="12.75">
      <c r="A227" s="71"/>
      <c r="B227" s="78" t="s">
        <v>239</v>
      </c>
      <c r="C227" s="76" t="s">
        <v>204</v>
      </c>
      <c r="D227" s="92">
        <v>13984</v>
      </c>
      <c r="E227" s="78"/>
      <c r="F227" s="76"/>
      <c r="G227" s="92"/>
      <c r="H227" s="78"/>
      <c r="I227" s="76"/>
      <c r="J227" s="92"/>
      <c r="K227" s="72"/>
    </row>
    <row r="228" spans="1:11" ht="12.75">
      <c r="A228" s="71"/>
      <c r="B228" s="78" t="s">
        <v>239</v>
      </c>
      <c r="C228" s="76" t="s">
        <v>205</v>
      </c>
      <c r="D228" s="92">
        <v>13924</v>
      </c>
      <c r="E228" s="78"/>
      <c r="F228" s="76"/>
      <c r="G228" s="92"/>
      <c r="H228" s="78"/>
      <c r="I228" s="76"/>
      <c r="J228" s="92"/>
      <c r="K228" s="72"/>
    </row>
    <row r="229" spans="1:11" ht="12.75">
      <c r="A229" s="71"/>
      <c r="B229" s="78" t="s">
        <v>239</v>
      </c>
      <c r="C229" s="76" t="s">
        <v>206</v>
      </c>
      <c r="D229" s="92">
        <v>13814</v>
      </c>
      <c r="E229" s="78"/>
      <c r="F229" s="76"/>
      <c r="G229" s="92"/>
      <c r="H229" s="78"/>
      <c r="I229" s="76"/>
      <c r="J229" s="92"/>
      <c r="K229" s="72"/>
    </row>
    <row r="230" spans="1:11" ht="12.75">
      <c r="A230" s="71"/>
      <c r="B230" s="78" t="s">
        <v>240</v>
      </c>
      <c r="C230" s="76" t="s">
        <v>202</v>
      </c>
      <c r="D230" s="92">
        <v>9031</v>
      </c>
      <c r="E230" s="78"/>
      <c r="F230" s="76"/>
      <c r="G230" s="92"/>
      <c r="H230" s="78"/>
      <c r="I230" s="76"/>
      <c r="J230" s="92"/>
      <c r="K230" s="72"/>
    </row>
    <row r="231" spans="1:11" ht="12.75">
      <c r="A231" s="71"/>
      <c r="B231" s="78" t="s">
        <v>240</v>
      </c>
      <c r="C231" s="76" t="s">
        <v>203</v>
      </c>
      <c r="D231" s="92">
        <v>9027</v>
      </c>
      <c r="E231" s="78"/>
      <c r="F231" s="76"/>
      <c r="G231" s="92"/>
      <c r="H231" s="78"/>
      <c r="I231" s="76"/>
      <c r="J231" s="92"/>
      <c r="K231" s="72"/>
    </row>
    <row r="232" spans="1:11" ht="12.75">
      <c r="A232" s="71"/>
      <c r="B232" s="78" t="s">
        <v>240</v>
      </c>
      <c r="C232" s="76" t="s">
        <v>204</v>
      </c>
      <c r="D232" s="92">
        <v>9017</v>
      </c>
      <c r="E232" s="78"/>
      <c r="F232" s="76"/>
      <c r="G232" s="92"/>
      <c r="H232" s="78"/>
      <c r="I232" s="76"/>
      <c r="J232" s="92"/>
      <c r="K232" s="72"/>
    </row>
    <row r="233" spans="1:11" ht="12.75">
      <c r="A233" s="71"/>
      <c r="B233" s="78" t="s">
        <v>240</v>
      </c>
      <c r="C233" s="76" t="s">
        <v>205</v>
      </c>
      <c r="D233" s="92">
        <v>9009</v>
      </c>
      <c r="E233" s="78"/>
      <c r="F233" s="76"/>
      <c r="G233" s="92"/>
      <c r="H233" s="78"/>
      <c r="I233" s="76"/>
      <c r="J233" s="92"/>
      <c r="K233" s="72"/>
    </row>
    <row r="234" spans="1:11" ht="12.75">
      <c r="A234" s="71"/>
      <c r="B234" s="78" t="s">
        <v>240</v>
      </c>
      <c r="C234" s="76" t="s">
        <v>206</v>
      </c>
      <c r="D234" s="92">
        <v>8994</v>
      </c>
      <c r="E234" s="78"/>
      <c r="F234" s="76"/>
      <c r="G234" s="92"/>
      <c r="H234" s="78"/>
      <c r="I234" s="76"/>
      <c r="J234" s="92"/>
      <c r="K234" s="72"/>
    </row>
    <row r="235" spans="1:11" ht="12.75">
      <c r="A235" s="71"/>
      <c r="B235" s="78" t="s">
        <v>241</v>
      </c>
      <c r="C235" s="76" t="s">
        <v>202</v>
      </c>
      <c r="D235" s="92">
        <v>14785</v>
      </c>
      <c r="E235" s="78"/>
      <c r="F235" s="76"/>
      <c r="G235" s="92"/>
      <c r="H235" s="78"/>
      <c r="I235" s="76"/>
      <c r="J235" s="92"/>
      <c r="K235" s="72"/>
    </row>
    <row r="236" spans="1:11" ht="12.75">
      <c r="A236" s="71"/>
      <c r="B236" s="78" t="s">
        <v>241</v>
      </c>
      <c r="C236" s="76" t="s">
        <v>203</v>
      </c>
      <c r="D236" s="92">
        <v>14765</v>
      </c>
      <c r="E236" s="78"/>
      <c r="F236" s="76"/>
      <c r="G236" s="92"/>
      <c r="H236" s="78"/>
      <c r="I236" s="76"/>
      <c r="J236" s="92"/>
      <c r="K236" s="72"/>
    </row>
    <row r="237" spans="1:11" ht="12.75">
      <c r="A237" s="71"/>
      <c r="B237" s="78" t="s">
        <v>241</v>
      </c>
      <c r="C237" s="76" t="s">
        <v>204</v>
      </c>
      <c r="D237" s="92">
        <v>14725</v>
      </c>
      <c r="E237" s="78"/>
      <c r="F237" s="76"/>
      <c r="G237" s="92"/>
      <c r="H237" s="78"/>
      <c r="I237" s="76"/>
      <c r="J237" s="92"/>
      <c r="K237" s="72"/>
    </row>
    <row r="238" spans="1:11" ht="12.75">
      <c r="A238" s="71"/>
      <c r="B238" s="78" t="s">
        <v>241</v>
      </c>
      <c r="C238" s="76" t="s">
        <v>205</v>
      </c>
      <c r="D238" s="92">
        <v>14668</v>
      </c>
      <c r="E238" s="78"/>
      <c r="F238" s="76"/>
      <c r="G238" s="92"/>
      <c r="H238" s="78"/>
      <c r="I238" s="76"/>
      <c r="J238" s="92"/>
      <c r="K238" s="72"/>
    </row>
    <row r="239" spans="1:11" ht="12.75">
      <c r="A239" s="71"/>
      <c r="B239" s="78" t="s">
        <v>241</v>
      </c>
      <c r="C239" s="76" t="s">
        <v>206</v>
      </c>
      <c r="D239" s="92">
        <v>14622</v>
      </c>
      <c r="E239" s="78"/>
      <c r="F239" s="76"/>
      <c r="G239" s="92"/>
      <c r="H239" s="78"/>
      <c r="I239" s="76"/>
      <c r="J239" s="92"/>
      <c r="K239" s="72"/>
    </row>
    <row r="240" spans="1:11" ht="12.75">
      <c r="A240" s="71"/>
      <c r="B240" s="78" t="s">
        <v>242</v>
      </c>
      <c r="C240" s="76" t="s">
        <v>202</v>
      </c>
      <c r="D240" s="92">
        <v>20841</v>
      </c>
      <c r="E240" s="78"/>
      <c r="F240" s="76"/>
      <c r="G240" s="92"/>
      <c r="H240" s="78"/>
      <c r="I240" s="76"/>
      <c r="J240" s="92"/>
      <c r="K240" s="72"/>
    </row>
    <row r="241" spans="1:11" ht="12.75">
      <c r="A241" s="71"/>
      <c r="B241" s="78" t="s">
        <v>242</v>
      </c>
      <c r="C241" s="76" t="s">
        <v>203</v>
      </c>
      <c r="D241" s="92">
        <v>20821</v>
      </c>
      <c r="E241" s="78"/>
      <c r="F241" s="76"/>
      <c r="G241" s="92"/>
      <c r="H241" s="78"/>
      <c r="I241" s="76"/>
      <c r="J241" s="92"/>
      <c r="K241" s="72"/>
    </row>
    <row r="242" spans="1:11" ht="12.75">
      <c r="A242" s="71"/>
      <c r="B242" s="78" t="s">
        <v>242</v>
      </c>
      <c r="C242" s="76" t="s">
        <v>204</v>
      </c>
      <c r="D242" s="92">
        <v>20752</v>
      </c>
      <c r="E242" s="78"/>
      <c r="F242" s="76"/>
      <c r="G242" s="92"/>
      <c r="H242" s="78"/>
      <c r="I242" s="76"/>
      <c r="J242" s="92"/>
      <c r="K242" s="72"/>
    </row>
    <row r="243" spans="1:11" ht="12.75">
      <c r="A243" s="71"/>
      <c r="B243" s="78" t="s">
        <v>242</v>
      </c>
      <c r="C243" s="76" t="s">
        <v>205</v>
      </c>
      <c r="D243" s="92">
        <v>20703</v>
      </c>
      <c r="E243" s="78"/>
      <c r="F243" s="76"/>
      <c r="G243" s="92"/>
      <c r="H243" s="78"/>
      <c r="I243" s="76"/>
      <c r="J243" s="92"/>
      <c r="K243" s="72"/>
    </row>
    <row r="244" spans="1:11" ht="12.75">
      <c r="A244" s="71"/>
      <c r="B244" s="78" t="s">
        <v>242</v>
      </c>
      <c r="C244" s="76" t="s">
        <v>206</v>
      </c>
      <c r="D244" s="92">
        <v>20582</v>
      </c>
      <c r="E244" s="78"/>
      <c r="F244" s="76"/>
      <c r="G244" s="92"/>
      <c r="H244" s="78"/>
      <c r="I244" s="76"/>
      <c r="J244" s="92"/>
      <c r="K244" s="72"/>
    </row>
    <row r="245" spans="1:11" ht="12.75">
      <c r="A245" s="71"/>
      <c r="B245" s="78" t="s">
        <v>243</v>
      </c>
      <c r="C245" s="76" t="s">
        <v>202</v>
      </c>
      <c r="D245" s="92">
        <v>14843</v>
      </c>
      <c r="E245" s="78"/>
      <c r="F245" s="76"/>
      <c r="G245" s="92"/>
      <c r="H245" s="78"/>
      <c r="I245" s="76"/>
      <c r="J245" s="92"/>
      <c r="K245" s="72"/>
    </row>
    <row r="246" spans="1:11" ht="12.75">
      <c r="A246" s="71"/>
      <c r="B246" s="78" t="s">
        <v>243</v>
      </c>
      <c r="C246" s="76" t="s">
        <v>203</v>
      </c>
      <c r="D246" s="92">
        <v>14837</v>
      </c>
      <c r="E246" s="78"/>
      <c r="F246" s="76"/>
      <c r="G246" s="92"/>
      <c r="H246" s="78"/>
      <c r="I246" s="76"/>
      <c r="J246" s="92"/>
      <c r="K246" s="72"/>
    </row>
    <row r="247" spans="1:11" ht="12.75">
      <c r="A247" s="71"/>
      <c r="B247" s="78" t="s">
        <v>243</v>
      </c>
      <c r="C247" s="76" t="s">
        <v>204</v>
      </c>
      <c r="D247" s="92">
        <v>14820</v>
      </c>
      <c r="E247" s="78"/>
      <c r="F247" s="76"/>
      <c r="G247" s="92"/>
      <c r="H247" s="78"/>
      <c r="I247" s="76"/>
      <c r="J247" s="92"/>
      <c r="K247" s="72"/>
    </row>
    <row r="248" spans="1:11" ht="12.75">
      <c r="A248" s="71"/>
      <c r="B248" s="78" t="s">
        <v>243</v>
      </c>
      <c r="C248" s="76" t="s">
        <v>205</v>
      </c>
      <c r="D248" s="92">
        <v>14810</v>
      </c>
      <c r="E248" s="78"/>
      <c r="F248" s="76"/>
      <c r="G248" s="92"/>
      <c r="H248" s="78"/>
      <c r="I248" s="76"/>
      <c r="J248" s="92"/>
      <c r="K248" s="72"/>
    </row>
    <row r="249" spans="1:11" ht="12.75">
      <c r="A249" s="71"/>
      <c r="B249" s="78" t="s">
        <v>243</v>
      </c>
      <c r="C249" s="76" t="s">
        <v>206</v>
      </c>
      <c r="D249" s="92">
        <v>14783</v>
      </c>
      <c r="E249" s="78"/>
      <c r="F249" s="76"/>
      <c r="G249" s="92"/>
      <c r="H249" s="78"/>
      <c r="I249" s="76"/>
      <c r="J249" s="92"/>
      <c r="K249" s="72"/>
    </row>
    <row r="250" spans="1:11" ht="12.75">
      <c r="A250" s="71"/>
      <c r="B250" s="78" t="s">
        <v>244</v>
      </c>
      <c r="C250" s="76" t="s">
        <v>202</v>
      </c>
      <c r="D250" s="92">
        <v>28064</v>
      </c>
      <c r="E250" s="78"/>
      <c r="F250" s="76"/>
      <c r="G250" s="92"/>
      <c r="H250" s="78"/>
      <c r="I250" s="76"/>
      <c r="J250" s="92"/>
      <c r="K250" s="72"/>
    </row>
    <row r="251" spans="1:11" ht="12.75">
      <c r="A251" s="71"/>
      <c r="B251" s="78" t="s">
        <v>244</v>
      </c>
      <c r="C251" s="76" t="s">
        <v>203</v>
      </c>
      <c r="D251" s="92">
        <v>28023</v>
      </c>
      <c r="E251" s="78"/>
      <c r="F251" s="76"/>
      <c r="G251" s="92"/>
      <c r="H251" s="78"/>
      <c r="I251" s="76"/>
      <c r="J251" s="92"/>
      <c r="K251" s="72"/>
    </row>
    <row r="252" spans="1:11" ht="12.75">
      <c r="A252" s="71"/>
      <c r="B252" s="78" t="s">
        <v>244</v>
      </c>
      <c r="C252" s="76" t="s">
        <v>204</v>
      </c>
      <c r="D252" s="92">
        <v>27914</v>
      </c>
      <c r="E252" s="78"/>
      <c r="F252" s="76"/>
      <c r="G252" s="92"/>
      <c r="H252" s="78"/>
      <c r="I252" s="76"/>
      <c r="J252" s="92"/>
      <c r="K252" s="72"/>
    </row>
    <row r="253" spans="1:11" ht="12.75">
      <c r="A253" s="71"/>
      <c r="B253" s="78" t="s">
        <v>244</v>
      </c>
      <c r="C253" s="76" t="s">
        <v>205</v>
      </c>
      <c r="D253" s="92">
        <v>27847</v>
      </c>
      <c r="E253" s="78"/>
      <c r="F253" s="76"/>
      <c r="G253" s="92"/>
      <c r="H253" s="78"/>
      <c r="I253" s="76"/>
      <c r="J253" s="92"/>
      <c r="K253" s="72"/>
    </row>
    <row r="254" spans="1:11" ht="12.75">
      <c r="A254" s="71"/>
      <c r="B254" s="78" t="s">
        <v>244</v>
      </c>
      <c r="C254" s="76" t="s">
        <v>206</v>
      </c>
      <c r="D254" s="92">
        <v>27667</v>
      </c>
      <c r="E254" s="78"/>
      <c r="F254" s="76"/>
      <c r="G254" s="92"/>
      <c r="H254" s="78"/>
      <c r="I254" s="76"/>
      <c r="J254" s="92"/>
      <c r="K254" s="72"/>
    </row>
    <row r="255" spans="1:11" ht="12.75">
      <c r="A255" s="71"/>
      <c r="B255" s="78" t="s">
        <v>245</v>
      </c>
      <c r="C255" s="76" t="s">
        <v>202</v>
      </c>
      <c r="D255" s="92">
        <v>26734</v>
      </c>
      <c r="E255" s="78"/>
      <c r="F255" s="76"/>
      <c r="G255" s="92"/>
      <c r="H255" s="78"/>
      <c r="I255" s="76"/>
      <c r="J255" s="92"/>
      <c r="K255" s="72"/>
    </row>
    <row r="256" spans="1:11" ht="12.75">
      <c r="A256" s="71"/>
      <c r="B256" s="78" t="s">
        <v>245</v>
      </c>
      <c r="C256" s="76" t="s">
        <v>203</v>
      </c>
      <c r="D256" s="92">
        <v>26720</v>
      </c>
      <c r="E256" s="78"/>
      <c r="F256" s="76"/>
      <c r="G256" s="92"/>
      <c r="H256" s="78"/>
      <c r="I256" s="76"/>
      <c r="J256" s="92"/>
      <c r="K256" s="72"/>
    </row>
    <row r="257" spans="1:11" ht="12.75">
      <c r="A257" s="71"/>
      <c r="B257" s="78" t="s">
        <v>245</v>
      </c>
      <c r="C257" s="76" t="s">
        <v>204</v>
      </c>
      <c r="D257" s="92">
        <v>26676</v>
      </c>
      <c r="E257" s="78"/>
      <c r="F257" s="76"/>
      <c r="G257" s="92"/>
      <c r="H257" s="78"/>
      <c r="I257" s="76"/>
      <c r="J257" s="92"/>
      <c r="K257" s="72"/>
    </row>
    <row r="258" spans="1:11" ht="12.75">
      <c r="A258" s="71"/>
      <c r="B258" s="78" t="s">
        <v>245</v>
      </c>
      <c r="C258" s="76" t="s">
        <v>205</v>
      </c>
      <c r="D258" s="92">
        <v>26650</v>
      </c>
      <c r="E258" s="78"/>
      <c r="F258" s="76"/>
      <c r="G258" s="92"/>
      <c r="H258" s="78"/>
      <c r="I258" s="76"/>
      <c r="J258" s="92"/>
      <c r="K258" s="72"/>
    </row>
    <row r="259" spans="1:11" ht="12.75">
      <c r="A259" s="71"/>
      <c r="B259" s="78" t="s">
        <v>245</v>
      </c>
      <c r="C259" s="76" t="s">
        <v>206</v>
      </c>
      <c r="D259" s="92">
        <v>26582</v>
      </c>
      <c r="E259" s="78"/>
      <c r="F259" s="76"/>
      <c r="G259" s="92"/>
      <c r="H259" s="78"/>
      <c r="I259" s="76"/>
      <c r="J259" s="92"/>
      <c r="K259" s="72"/>
    </row>
    <row r="260" spans="1:11" ht="12.75">
      <c r="A260" s="71"/>
      <c r="B260" s="78" t="s">
        <v>246</v>
      </c>
      <c r="C260" s="76" t="s">
        <v>202</v>
      </c>
      <c r="D260" s="92">
        <v>35617</v>
      </c>
      <c r="E260" s="78"/>
      <c r="F260" s="76"/>
      <c r="G260" s="92"/>
      <c r="H260" s="78"/>
      <c r="I260" s="76"/>
      <c r="J260" s="92"/>
      <c r="K260" s="72"/>
    </row>
    <row r="261" spans="1:11" ht="12.75">
      <c r="A261" s="71"/>
      <c r="B261" s="78" t="s">
        <v>246</v>
      </c>
      <c r="C261" s="76" t="s">
        <v>203</v>
      </c>
      <c r="D261" s="92">
        <v>35604</v>
      </c>
      <c r="E261" s="78"/>
      <c r="F261" s="76"/>
      <c r="G261" s="92"/>
      <c r="H261" s="78"/>
      <c r="I261" s="76"/>
      <c r="J261" s="92"/>
      <c r="K261" s="72"/>
    </row>
    <row r="262" spans="1:11" ht="12.75">
      <c r="A262" s="71"/>
      <c r="B262" s="78" t="s">
        <v>246</v>
      </c>
      <c r="C262" s="76" t="s">
        <v>204</v>
      </c>
      <c r="D262" s="92">
        <v>35571</v>
      </c>
      <c r="E262" s="78"/>
      <c r="F262" s="76"/>
      <c r="G262" s="92"/>
      <c r="H262" s="78"/>
      <c r="I262" s="76"/>
      <c r="J262" s="92"/>
      <c r="K262" s="72"/>
    </row>
    <row r="263" spans="1:11" ht="12.75">
      <c r="A263" s="71"/>
      <c r="B263" s="78" t="s">
        <v>247</v>
      </c>
      <c r="C263" s="76" t="s">
        <v>202</v>
      </c>
      <c r="D263" s="92">
        <v>51377</v>
      </c>
      <c r="E263" s="78"/>
      <c r="F263" s="76"/>
      <c r="G263" s="92"/>
      <c r="H263" s="78"/>
      <c r="I263" s="76"/>
      <c r="J263" s="92"/>
      <c r="K263" s="72"/>
    </row>
    <row r="264" spans="1:11" ht="12.75">
      <c r="A264" s="71"/>
      <c r="B264" s="78" t="s">
        <v>247</v>
      </c>
      <c r="C264" s="76" t="s">
        <v>203</v>
      </c>
      <c r="D264" s="92">
        <v>51337</v>
      </c>
      <c r="E264" s="78"/>
      <c r="F264" s="76"/>
      <c r="G264" s="92"/>
      <c r="H264" s="78"/>
      <c r="I264" s="76"/>
      <c r="J264" s="92"/>
      <c r="K264" s="72"/>
    </row>
    <row r="265" spans="1:11" ht="12.75">
      <c r="A265" s="71"/>
      <c r="B265" s="78" t="s">
        <v>247</v>
      </c>
      <c r="C265" s="76" t="s">
        <v>204</v>
      </c>
      <c r="D265" s="92">
        <v>51238</v>
      </c>
      <c r="E265" s="78"/>
      <c r="F265" s="76"/>
      <c r="G265" s="92"/>
      <c r="H265" s="78"/>
      <c r="I265" s="76"/>
      <c r="J265" s="92"/>
      <c r="K265" s="72"/>
    </row>
    <row r="266" spans="1:11" ht="12.75">
      <c r="A266" s="71"/>
      <c r="B266" s="78" t="s">
        <v>248</v>
      </c>
      <c r="C266" s="76" t="s">
        <v>202</v>
      </c>
      <c r="D266" s="92">
        <v>63625</v>
      </c>
      <c r="E266" s="78"/>
      <c r="F266" s="76"/>
      <c r="G266" s="92"/>
      <c r="H266" s="78"/>
      <c r="I266" s="76"/>
      <c r="J266" s="92"/>
      <c r="K266" s="72"/>
    </row>
    <row r="267" spans="1:11" ht="12.75">
      <c r="A267" s="71"/>
      <c r="B267" s="78" t="s">
        <v>248</v>
      </c>
      <c r="C267" s="76" t="s">
        <v>203</v>
      </c>
      <c r="D267" s="92">
        <v>63565</v>
      </c>
      <c r="E267" s="78"/>
      <c r="F267" s="76"/>
      <c r="G267" s="92"/>
      <c r="H267" s="78"/>
      <c r="I267" s="76"/>
      <c r="J267" s="92"/>
      <c r="K267" s="72"/>
    </row>
    <row r="268" spans="1:11" ht="12.75">
      <c r="A268" s="71"/>
      <c r="B268" s="78" t="s">
        <v>248</v>
      </c>
      <c r="C268" s="76" t="s">
        <v>204</v>
      </c>
      <c r="D268" s="92">
        <v>63458</v>
      </c>
      <c r="E268" s="78"/>
      <c r="F268" s="76"/>
      <c r="G268" s="92"/>
      <c r="H268" s="78"/>
      <c r="I268" s="76"/>
      <c r="J268" s="92"/>
      <c r="K268" s="72"/>
    </row>
    <row r="269" spans="1:11" ht="12.75">
      <c r="A269" s="71"/>
      <c r="B269" s="79"/>
      <c r="C269" s="77"/>
      <c r="D269" s="93"/>
      <c r="E269" s="79"/>
      <c r="F269" s="77"/>
      <c r="G269" s="93"/>
      <c r="H269" s="79"/>
      <c r="I269" s="77"/>
      <c r="J269" s="93"/>
      <c r="K269" s="72"/>
    </row>
    <row r="270" spans="1:11" ht="13.5" thickBot="1">
      <c r="A270" s="73"/>
      <c r="B270" s="74"/>
      <c r="C270" s="74"/>
      <c r="D270" s="74"/>
      <c r="E270" s="74"/>
      <c r="F270" s="74"/>
      <c r="G270" s="74"/>
      <c r="H270" s="74"/>
      <c r="I270" s="74"/>
      <c r="J270" s="74"/>
      <c r="K270" s="75"/>
    </row>
  </sheetData>
  <mergeCells count="1">
    <mergeCell ref="A1:K1"/>
  </mergeCells>
  <printOptions/>
  <pageMargins left="0.75" right="0.13" top="0.49" bottom="0.75" header="0.5" footer="0.54"/>
  <pageSetup fitToHeight="0" fitToWidth="1" orientation="portrait" paperSize="9" scale="71"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U87"/>
  <sheetViews>
    <sheetView zoomScale="75" zoomScaleNormal="75" workbookViewId="0" topLeftCell="A1">
      <selection activeCell="T40" sqref="T40"/>
    </sheetView>
  </sheetViews>
  <sheetFormatPr defaultColWidth="9.140625" defaultRowHeight="12.75"/>
  <cols>
    <col min="1" max="1" width="9.140625" style="5" customWidth="1"/>
    <col min="2" max="2" width="12.28125" style="5" bestFit="1" customWidth="1"/>
    <col min="3" max="16384" width="9.140625" style="5" customWidth="1"/>
  </cols>
  <sheetData>
    <row r="1" spans="1:19" ht="13.5" thickBot="1">
      <c r="A1" s="1" t="s">
        <v>49</v>
      </c>
      <c r="B1" s="2"/>
      <c r="C1" s="3"/>
      <c r="D1" s="3"/>
      <c r="E1" s="3"/>
      <c r="F1" s="3"/>
      <c r="G1" s="3"/>
      <c r="H1" s="3"/>
      <c r="I1" s="3"/>
      <c r="J1" s="3"/>
      <c r="K1" s="3"/>
      <c r="L1" s="3"/>
      <c r="M1" s="3"/>
      <c r="N1" s="3"/>
      <c r="O1" s="3"/>
      <c r="P1" s="3"/>
      <c r="Q1" s="3"/>
      <c r="R1" s="3"/>
      <c r="S1" s="4"/>
    </row>
    <row r="3" spans="1:2" ht="12.75">
      <c r="A3" s="6" t="s">
        <v>50</v>
      </c>
      <c r="B3" s="6"/>
    </row>
    <row r="5" spans="1:7" ht="12.75">
      <c r="A5" s="7" t="s">
        <v>51</v>
      </c>
      <c r="B5" s="8" t="s">
        <v>52</v>
      </c>
      <c r="C5" s="8" t="s">
        <v>53</v>
      </c>
      <c r="D5" s="8" t="s">
        <v>54</v>
      </c>
      <c r="E5" s="8" t="s">
        <v>55</v>
      </c>
      <c r="F5" s="8" t="s">
        <v>56</v>
      </c>
      <c r="G5" s="9" t="s">
        <v>57</v>
      </c>
    </row>
    <row r="6" spans="1:7" ht="12.75">
      <c r="A6" s="10">
        <v>30</v>
      </c>
      <c r="B6" s="11">
        <f>VLOOKUP(A6,PipeWT,2)</f>
        <v>750</v>
      </c>
      <c r="C6" s="11">
        <f>VLOOKUP(A6,A13:C39,3)</f>
        <v>762</v>
      </c>
      <c r="D6" s="12" t="s">
        <v>58</v>
      </c>
      <c r="E6" s="13">
        <f>IF(D6="STD",4,IF(D6="XS",5,IF(D6="XXS",6,IF(D6="5S",7,IF(D6="10S",8,IF(D6="40S",9,IF(D6=10,10,IF(D6=20,11,E7))))))))</f>
        <v>4</v>
      </c>
      <c r="F6" s="11">
        <f>VLOOKUP(A6,A13:S39,E6)</f>
        <v>9.53</v>
      </c>
      <c r="G6" s="14">
        <f>C6-2*F6</f>
        <v>742.94</v>
      </c>
    </row>
    <row r="7" spans="1:7" ht="12.75">
      <c r="A7" s="15"/>
      <c r="B7" s="16"/>
      <c r="C7" s="17"/>
      <c r="D7" s="18"/>
      <c r="E7" s="19" t="e">
        <f>IF(D6=30,12,IF(D6=40,13,IF(D6=60,14,IF(D6=80,15,IF(D6=100,16,IF(D6=120,17,IF(D6=140,18,IF(D6=160,19,#N/A))))))))</f>
        <v>#N/A</v>
      </c>
      <c r="F7" s="20"/>
      <c r="G7" s="21"/>
    </row>
    <row r="10" spans="1:19" ht="12.75">
      <c r="A10" s="22" t="s">
        <v>59</v>
      </c>
      <c r="B10" s="22"/>
      <c r="C10" s="23"/>
      <c r="D10" s="23"/>
      <c r="E10" s="23"/>
      <c r="F10" s="23"/>
      <c r="G10" s="23"/>
      <c r="H10" s="23"/>
      <c r="I10" s="23"/>
      <c r="J10" s="23"/>
      <c r="K10" s="23"/>
      <c r="L10" s="23"/>
      <c r="M10" s="23"/>
      <c r="N10" s="23"/>
      <c r="O10" s="23"/>
      <c r="P10" s="23"/>
      <c r="Q10" s="23"/>
      <c r="R10" s="23"/>
      <c r="S10" s="23"/>
    </row>
    <row r="11" spans="1:19" ht="12.75">
      <c r="A11" s="23"/>
      <c r="B11" s="23"/>
      <c r="C11" s="23"/>
      <c r="D11" s="23"/>
      <c r="E11" s="23"/>
      <c r="F11" s="23"/>
      <c r="G11" s="23"/>
      <c r="H11" s="23"/>
      <c r="I11" s="23"/>
      <c r="J11" s="23"/>
      <c r="K11" s="23"/>
      <c r="L11" s="23"/>
      <c r="M11" s="23"/>
      <c r="N11" s="23"/>
      <c r="O11" s="23"/>
      <c r="P11" s="23"/>
      <c r="Q11" s="23"/>
      <c r="R11" s="23"/>
      <c r="S11" s="23"/>
    </row>
    <row r="12" spans="1:19" ht="12.75">
      <c r="A12" s="24" t="s">
        <v>51</v>
      </c>
      <c r="B12" s="25" t="s">
        <v>52</v>
      </c>
      <c r="C12" s="25" t="s">
        <v>53</v>
      </c>
      <c r="D12" s="25" t="s">
        <v>58</v>
      </c>
      <c r="E12" s="25" t="s">
        <v>60</v>
      </c>
      <c r="F12" s="25" t="s">
        <v>61</v>
      </c>
      <c r="G12" s="25" t="s">
        <v>62</v>
      </c>
      <c r="H12" s="25" t="s">
        <v>63</v>
      </c>
      <c r="I12" s="25" t="s">
        <v>64</v>
      </c>
      <c r="J12" s="25">
        <v>10</v>
      </c>
      <c r="K12" s="25">
        <v>20</v>
      </c>
      <c r="L12" s="25">
        <v>30</v>
      </c>
      <c r="M12" s="25">
        <v>40</v>
      </c>
      <c r="N12" s="25">
        <v>60</v>
      </c>
      <c r="O12" s="25">
        <v>80</v>
      </c>
      <c r="P12" s="25">
        <v>100</v>
      </c>
      <c r="Q12" s="25">
        <v>120</v>
      </c>
      <c r="R12" s="25">
        <v>140</v>
      </c>
      <c r="S12" s="26">
        <v>160</v>
      </c>
    </row>
    <row r="13" spans="1:19" ht="12.75">
      <c r="A13" s="27">
        <f>10/80</f>
        <v>0.125</v>
      </c>
      <c r="B13" s="28">
        <v>6</v>
      </c>
      <c r="C13" s="29">
        <v>10.3</v>
      </c>
      <c r="D13" s="30">
        <v>1.73</v>
      </c>
      <c r="E13" s="30">
        <v>2.41</v>
      </c>
      <c r="F13" s="30" t="e">
        <v>#N/A</v>
      </c>
      <c r="G13" s="30" t="e">
        <v>#N/A</v>
      </c>
      <c r="H13" s="30" t="e">
        <v>#N/A</v>
      </c>
      <c r="I13" s="30" t="e">
        <v>#N/A</v>
      </c>
      <c r="J13" s="30" t="e">
        <v>#N/A</v>
      </c>
      <c r="K13" s="30" t="e">
        <v>#N/A</v>
      </c>
      <c r="L13" s="30" t="e">
        <v>#N/A</v>
      </c>
      <c r="M13" s="30">
        <v>1.73</v>
      </c>
      <c r="N13" s="30" t="e">
        <v>#N/A</v>
      </c>
      <c r="O13" s="30">
        <v>2.41</v>
      </c>
      <c r="P13" s="30" t="e">
        <v>#N/A</v>
      </c>
      <c r="Q13" s="30" t="e">
        <v>#N/A</v>
      </c>
      <c r="R13" s="30" t="e">
        <v>#N/A</v>
      </c>
      <c r="S13" s="29" t="e">
        <v>#N/A</v>
      </c>
    </row>
    <row r="14" spans="1:19" ht="12.75">
      <c r="A14" s="31">
        <f>10/40</f>
        <v>0.25</v>
      </c>
      <c r="B14" s="32">
        <v>8</v>
      </c>
      <c r="C14" s="33">
        <v>13.7</v>
      </c>
      <c r="D14" s="34">
        <v>2.24</v>
      </c>
      <c r="E14" s="34">
        <v>3.02</v>
      </c>
      <c r="F14" s="34" t="e">
        <v>#N/A</v>
      </c>
      <c r="G14" s="34" t="e">
        <v>#N/A</v>
      </c>
      <c r="H14" s="34" t="e">
        <v>#N/A</v>
      </c>
      <c r="I14" s="34" t="e">
        <v>#N/A</v>
      </c>
      <c r="J14" s="34" t="e">
        <v>#N/A</v>
      </c>
      <c r="K14" s="34" t="e">
        <v>#N/A</v>
      </c>
      <c r="L14" s="34" t="e">
        <v>#N/A</v>
      </c>
      <c r="M14" s="34">
        <v>2.24</v>
      </c>
      <c r="N14" s="34" t="e">
        <v>#N/A</v>
      </c>
      <c r="O14" s="34">
        <v>3.02</v>
      </c>
      <c r="P14" s="34" t="e">
        <v>#N/A</v>
      </c>
      <c r="Q14" s="34" t="e">
        <v>#N/A</v>
      </c>
      <c r="R14" s="34" t="e">
        <v>#N/A</v>
      </c>
      <c r="S14" s="33" t="e">
        <v>#N/A</v>
      </c>
    </row>
    <row r="15" spans="1:19" ht="12.75">
      <c r="A15" s="31">
        <f>30/80</f>
        <v>0.375</v>
      </c>
      <c r="B15" s="32">
        <v>10</v>
      </c>
      <c r="C15" s="33">
        <v>17.1</v>
      </c>
      <c r="D15" s="34">
        <v>2.31</v>
      </c>
      <c r="E15" s="34">
        <v>3.2</v>
      </c>
      <c r="F15" s="34" t="e">
        <v>#N/A</v>
      </c>
      <c r="G15" s="34" t="e">
        <v>#N/A</v>
      </c>
      <c r="H15" s="34" t="e">
        <v>#N/A</v>
      </c>
      <c r="I15" s="34" t="e">
        <v>#N/A</v>
      </c>
      <c r="J15" s="34" t="e">
        <v>#N/A</v>
      </c>
      <c r="K15" s="34" t="e">
        <v>#N/A</v>
      </c>
      <c r="L15" s="34" t="e">
        <v>#N/A</v>
      </c>
      <c r="M15" s="34">
        <v>2.31</v>
      </c>
      <c r="N15" s="34" t="e">
        <v>#N/A</v>
      </c>
      <c r="O15" s="34">
        <v>3.2</v>
      </c>
      <c r="P15" s="34" t="e">
        <v>#N/A</v>
      </c>
      <c r="Q15" s="34" t="e">
        <v>#N/A</v>
      </c>
      <c r="R15" s="34" t="e">
        <v>#N/A</v>
      </c>
      <c r="S15" s="33" t="e">
        <v>#N/A</v>
      </c>
    </row>
    <row r="16" spans="1:19" ht="12.75">
      <c r="A16" s="35">
        <v>0.5</v>
      </c>
      <c r="B16" s="32">
        <v>15</v>
      </c>
      <c r="C16" s="33">
        <v>21.3</v>
      </c>
      <c r="D16" s="34">
        <v>2.77</v>
      </c>
      <c r="E16" s="34">
        <v>3.73</v>
      </c>
      <c r="F16" s="34">
        <v>7.47</v>
      </c>
      <c r="G16" s="34" t="e">
        <v>#N/A</v>
      </c>
      <c r="H16" s="34" t="e">
        <v>#N/A</v>
      </c>
      <c r="I16" s="34" t="e">
        <v>#N/A</v>
      </c>
      <c r="J16" s="34" t="e">
        <v>#N/A</v>
      </c>
      <c r="K16" s="34" t="e">
        <v>#N/A</v>
      </c>
      <c r="L16" s="34" t="e">
        <v>#N/A</v>
      </c>
      <c r="M16" s="34">
        <v>2.77</v>
      </c>
      <c r="N16" s="34" t="e">
        <v>#N/A</v>
      </c>
      <c r="O16" s="34">
        <v>3.73</v>
      </c>
      <c r="P16" s="34" t="e">
        <v>#N/A</v>
      </c>
      <c r="Q16" s="34" t="e">
        <v>#N/A</v>
      </c>
      <c r="R16" s="34" t="e">
        <v>#N/A</v>
      </c>
      <c r="S16" s="33">
        <v>4.78</v>
      </c>
    </row>
    <row r="17" spans="1:19" ht="12.75">
      <c r="A17" s="35">
        <v>0.75</v>
      </c>
      <c r="B17" s="32">
        <v>20</v>
      </c>
      <c r="C17" s="33">
        <v>26.7</v>
      </c>
      <c r="D17" s="34">
        <v>2.87</v>
      </c>
      <c r="E17" s="34">
        <v>3.91</v>
      </c>
      <c r="F17" s="34">
        <v>7.82</v>
      </c>
      <c r="G17" s="34">
        <v>1.65</v>
      </c>
      <c r="H17" s="34">
        <v>2.11</v>
      </c>
      <c r="I17" s="34">
        <v>2.87</v>
      </c>
      <c r="J17" s="34" t="e">
        <v>#N/A</v>
      </c>
      <c r="K17" s="34" t="e">
        <v>#N/A</v>
      </c>
      <c r="L17" s="34" t="e">
        <v>#N/A</v>
      </c>
      <c r="M17" s="34">
        <v>2.87</v>
      </c>
      <c r="N17" s="34" t="e">
        <v>#N/A</v>
      </c>
      <c r="O17" s="34">
        <v>3.91</v>
      </c>
      <c r="P17" s="34" t="e">
        <v>#N/A</v>
      </c>
      <c r="Q17" s="34" t="e">
        <v>#N/A</v>
      </c>
      <c r="R17" s="34" t="e">
        <v>#N/A</v>
      </c>
      <c r="S17" s="33">
        <v>5.56</v>
      </c>
    </row>
    <row r="18" spans="1:19" ht="12.75">
      <c r="A18" s="36">
        <v>1</v>
      </c>
      <c r="B18" s="32">
        <v>25</v>
      </c>
      <c r="C18" s="33">
        <v>33.4</v>
      </c>
      <c r="D18" s="34">
        <v>3.38</v>
      </c>
      <c r="E18" s="34">
        <v>4.55</v>
      </c>
      <c r="F18" s="34">
        <v>9.09</v>
      </c>
      <c r="G18" s="34">
        <v>1.65</v>
      </c>
      <c r="H18" s="34">
        <v>2.77</v>
      </c>
      <c r="I18" s="34">
        <v>3.38</v>
      </c>
      <c r="J18" s="34" t="e">
        <v>#N/A</v>
      </c>
      <c r="K18" s="34" t="e">
        <v>#N/A</v>
      </c>
      <c r="L18" s="34" t="e">
        <v>#N/A</v>
      </c>
      <c r="M18" s="34">
        <v>3.38</v>
      </c>
      <c r="N18" s="34" t="e">
        <v>#N/A</v>
      </c>
      <c r="O18" s="34">
        <v>4.55</v>
      </c>
      <c r="P18" s="34" t="e">
        <v>#N/A</v>
      </c>
      <c r="Q18" s="34" t="e">
        <v>#N/A</v>
      </c>
      <c r="R18" s="34" t="e">
        <v>#N/A</v>
      </c>
      <c r="S18" s="33">
        <v>6.35</v>
      </c>
    </row>
    <row r="19" spans="1:19" ht="12.75">
      <c r="A19" s="70">
        <v>1.5</v>
      </c>
      <c r="B19" s="32">
        <v>40</v>
      </c>
      <c r="C19" s="33">
        <v>48.3</v>
      </c>
      <c r="D19" s="34">
        <v>3.68</v>
      </c>
      <c r="E19" s="34">
        <v>5.08</v>
      </c>
      <c r="F19" s="34">
        <v>10.15</v>
      </c>
      <c r="G19" s="34">
        <v>1.65</v>
      </c>
      <c r="H19" s="34">
        <v>2.77</v>
      </c>
      <c r="I19" s="34">
        <v>3.68</v>
      </c>
      <c r="J19" s="34" t="e">
        <v>#N/A</v>
      </c>
      <c r="K19" s="34" t="e">
        <v>#N/A</v>
      </c>
      <c r="L19" s="34" t="e">
        <v>#N/A</v>
      </c>
      <c r="M19" s="34">
        <v>3.68</v>
      </c>
      <c r="N19" s="34" t="e">
        <v>#N/A</v>
      </c>
      <c r="O19" s="34">
        <v>5.08</v>
      </c>
      <c r="P19" s="34" t="e">
        <v>#N/A</v>
      </c>
      <c r="Q19" s="34" t="e">
        <v>#N/A</v>
      </c>
      <c r="R19" s="34" t="e">
        <v>#N/A</v>
      </c>
      <c r="S19" s="33">
        <v>7.14</v>
      </c>
    </row>
    <row r="20" spans="1:19" ht="12.75">
      <c r="A20" s="36">
        <v>2</v>
      </c>
      <c r="B20" s="32">
        <v>50</v>
      </c>
      <c r="C20" s="33">
        <v>60.3</v>
      </c>
      <c r="D20" s="34">
        <v>3.91</v>
      </c>
      <c r="E20" s="34">
        <v>5.54</v>
      </c>
      <c r="F20" s="34">
        <v>11.07</v>
      </c>
      <c r="G20" s="34">
        <v>1.65</v>
      </c>
      <c r="H20" s="34">
        <v>2.77</v>
      </c>
      <c r="I20" s="34">
        <v>3.91</v>
      </c>
      <c r="J20" s="34" t="e">
        <v>#N/A</v>
      </c>
      <c r="K20" s="34" t="e">
        <v>#N/A</v>
      </c>
      <c r="L20" s="34" t="e">
        <v>#N/A</v>
      </c>
      <c r="M20" s="34">
        <v>3.91</v>
      </c>
      <c r="N20" s="34" t="e">
        <v>#N/A</v>
      </c>
      <c r="O20" s="34">
        <v>5.54</v>
      </c>
      <c r="P20" s="34" t="e">
        <v>#N/A</v>
      </c>
      <c r="Q20" s="34" t="e">
        <v>#N/A</v>
      </c>
      <c r="R20" s="34" t="e">
        <v>#N/A</v>
      </c>
      <c r="S20" s="33">
        <v>8.74</v>
      </c>
    </row>
    <row r="21" spans="1:19" ht="12.75">
      <c r="A21" s="36">
        <v>3</v>
      </c>
      <c r="B21" s="32">
        <v>80</v>
      </c>
      <c r="C21" s="33">
        <v>88.9</v>
      </c>
      <c r="D21" s="34">
        <v>5.49</v>
      </c>
      <c r="E21" s="34">
        <v>7.62</v>
      </c>
      <c r="F21" s="34">
        <v>15.24</v>
      </c>
      <c r="G21" s="34">
        <v>2.11</v>
      </c>
      <c r="H21" s="34">
        <v>3.05</v>
      </c>
      <c r="I21" s="34">
        <v>5.49</v>
      </c>
      <c r="J21" s="34" t="e">
        <v>#N/A</v>
      </c>
      <c r="K21" s="34" t="e">
        <v>#N/A</v>
      </c>
      <c r="L21" s="34" t="e">
        <v>#N/A</v>
      </c>
      <c r="M21" s="34">
        <v>5.49</v>
      </c>
      <c r="N21" s="34" t="e">
        <v>#N/A</v>
      </c>
      <c r="O21" s="34">
        <v>7.62</v>
      </c>
      <c r="P21" s="34" t="e">
        <v>#N/A</v>
      </c>
      <c r="Q21" s="34" t="e">
        <v>#N/A</v>
      </c>
      <c r="R21" s="34" t="e">
        <v>#N/A</v>
      </c>
      <c r="S21" s="33">
        <v>11.13</v>
      </c>
    </row>
    <row r="22" spans="1:19" ht="12.75">
      <c r="A22" s="36">
        <v>4</v>
      </c>
      <c r="B22" s="32">
        <v>100</v>
      </c>
      <c r="C22" s="33">
        <v>114.3</v>
      </c>
      <c r="D22" s="34">
        <v>6.02</v>
      </c>
      <c r="E22" s="34">
        <v>8.56</v>
      </c>
      <c r="F22" s="34">
        <v>17.12</v>
      </c>
      <c r="G22" s="34">
        <v>2.11</v>
      </c>
      <c r="H22" s="34">
        <v>3.05</v>
      </c>
      <c r="I22" s="34">
        <v>6.02</v>
      </c>
      <c r="J22" s="34" t="e">
        <v>#N/A</v>
      </c>
      <c r="K22" s="34" t="e">
        <v>#N/A</v>
      </c>
      <c r="L22" s="34" t="e">
        <v>#N/A</v>
      </c>
      <c r="M22" s="34">
        <v>6.02</v>
      </c>
      <c r="N22" s="34" t="e">
        <v>#N/A</v>
      </c>
      <c r="O22" s="34">
        <v>8.56</v>
      </c>
      <c r="P22" s="34" t="e">
        <v>#N/A</v>
      </c>
      <c r="Q22" s="34">
        <v>11.13</v>
      </c>
      <c r="R22" s="34" t="e">
        <v>#N/A</v>
      </c>
      <c r="S22" s="33">
        <v>13.49</v>
      </c>
    </row>
    <row r="23" spans="1:19" ht="12.75">
      <c r="A23" s="36">
        <v>6</v>
      </c>
      <c r="B23" s="32">
        <v>150</v>
      </c>
      <c r="C23" s="33">
        <v>168.3</v>
      </c>
      <c r="D23" s="34">
        <v>7.11</v>
      </c>
      <c r="E23" s="34">
        <v>10.97</v>
      </c>
      <c r="F23" s="34">
        <v>21.95</v>
      </c>
      <c r="G23" s="34">
        <v>2.77</v>
      </c>
      <c r="H23" s="34">
        <v>3.4</v>
      </c>
      <c r="I23" s="34">
        <v>7.11</v>
      </c>
      <c r="J23" s="34" t="e">
        <v>#N/A</v>
      </c>
      <c r="K23" s="34" t="e">
        <v>#N/A</v>
      </c>
      <c r="L23" s="34" t="e">
        <v>#N/A</v>
      </c>
      <c r="M23" s="34">
        <v>7.11</v>
      </c>
      <c r="N23" s="34" t="e">
        <v>#N/A</v>
      </c>
      <c r="O23" s="34">
        <v>10.97</v>
      </c>
      <c r="P23" s="34" t="e">
        <v>#N/A</v>
      </c>
      <c r="Q23" s="34">
        <v>14.27</v>
      </c>
      <c r="R23" s="34" t="e">
        <v>#N/A</v>
      </c>
      <c r="S23" s="33">
        <v>18.26</v>
      </c>
    </row>
    <row r="24" spans="1:19" ht="12.75">
      <c r="A24" s="36">
        <v>8</v>
      </c>
      <c r="B24" s="32">
        <v>200</v>
      </c>
      <c r="C24" s="33">
        <v>219.1</v>
      </c>
      <c r="D24" s="34">
        <v>8.18</v>
      </c>
      <c r="E24" s="34">
        <v>12.7</v>
      </c>
      <c r="F24" s="34">
        <v>22.23</v>
      </c>
      <c r="G24" s="34">
        <v>2.77</v>
      </c>
      <c r="H24" s="34">
        <v>3.76</v>
      </c>
      <c r="I24" s="34">
        <v>8.18</v>
      </c>
      <c r="J24" s="34" t="e">
        <v>#N/A</v>
      </c>
      <c r="K24" s="34">
        <v>6.35</v>
      </c>
      <c r="L24" s="34">
        <v>7.04</v>
      </c>
      <c r="M24" s="34">
        <v>8.18</v>
      </c>
      <c r="N24" s="34">
        <v>10.31</v>
      </c>
      <c r="O24" s="34">
        <v>12.7</v>
      </c>
      <c r="P24" s="34">
        <v>15.09</v>
      </c>
      <c r="Q24" s="34">
        <v>18.26</v>
      </c>
      <c r="R24" s="34">
        <v>20.62</v>
      </c>
      <c r="S24" s="33">
        <v>23.01</v>
      </c>
    </row>
    <row r="25" spans="1:19" ht="12.75">
      <c r="A25" s="36">
        <v>10</v>
      </c>
      <c r="B25" s="32">
        <v>250</v>
      </c>
      <c r="C25" s="33">
        <v>273.1</v>
      </c>
      <c r="D25" s="34">
        <v>9.27</v>
      </c>
      <c r="E25" s="34">
        <v>12.7</v>
      </c>
      <c r="F25" s="34">
        <v>25.4</v>
      </c>
      <c r="G25" s="34">
        <v>3.4</v>
      </c>
      <c r="H25" s="34">
        <v>4.19</v>
      </c>
      <c r="I25" s="34">
        <v>9.27</v>
      </c>
      <c r="J25" s="34" t="e">
        <v>#N/A</v>
      </c>
      <c r="K25" s="34">
        <v>6.35</v>
      </c>
      <c r="L25" s="34">
        <v>7.8</v>
      </c>
      <c r="M25" s="34">
        <v>9.27</v>
      </c>
      <c r="N25" s="34">
        <v>12.7</v>
      </c>
      <c r="O25" s="34">
        <v>15.09</v>
      </c>
      <c r="P25" s="34">
        <v>18.26</v>
      </c>
      <c r="Q25" s="34">
        <v>21.44</v>
      </c>
      <c r="R25" s="34">
        <v>25.4</v>
      </c>
      <c r="S25" s="33">
        <v>28.58</v>
      </c>
    </row>
    <row r="26" spans="1:19" ht="12.75">
      <c r="A26" s="36">
        <v>12</v>
      </c>
      <c r="B26" s="32">
        <v>300</v>
      </c>
      <c r="C26" s="33">
        <v>323.9</v>
      </c>
      <c r="D26" s="34">
        <v>9.53</v>
      </c>
      <c r="E26" s="34">
        <v>12.7</v>
      </c>
      <c r="F26" s="34">
        <v>25.4</v>
      </c>
      <c r="G26" s="34">
        <v>3.96</v>
      </c>
      <c r="H26" s="34">
        <v>4.57</v>
      </c>
      <c r="I26" s="34">
        <v>9.52</v>
      </c>
      <c r="J26" s="34" t="e">
        <v>#N/A</v>
      </c>
      <c r="K26" s="34">
        <v>6.35</v>
      </c>
      <c r="L26" s="34">
        <v>8.38</v>
      </c>
      <c r="M26" s="34">
        <v>10.31</v>
      </c>
      <c r="N26" s="34">
        <v>14.27</v>
      </c>
      <c r="O26" s="34">
        <v>17.48</v>
      </c>
      <c r="P26" s="34">
        <v>21.44</v>
      </c>
      <c r="Q26" s="34">
        <v>25.4</v>
      </c>
      <c r="R26" s="34">
        <v>28.58</v>
      </c>
      <c r="S26" s="33">
        <v>33.32</v>
      </c>
    </row>
    <row r="27" spans="1:19" ht="12.75">
      <c r="A27" s="36">
        <v>14</v>
      </c>
      <c r="B27" s="32">
        <v>350</v>
      </c>
      <c r="C27" s="33">
        <v>355.6</v>
      </c>
      <c r="D27" s="34">
        <v>9.53</v>
      </c>
      <c r="E27" s="34">
        <v>12.7</v>
      </c>
      <c r="F27" s="34" t="e">
        <v>#N/A</v>
      </c>
      <c r="G27" s="34">
        <v>3.96</v>
      </c>
      <c r="H27" s="34">
        <v>4.78</v>
      </c>
      <c r="I27" s="34" t="e">
        <v>#N/A</v>
      </c>
      <c r="J27" s="34">
        <v>6.35</v>
      </c>
      <c r="K27" s="34">
        <v>7.92</v>
      </c>
      <c r="L27" s="34">
        <v>9.53</v>
      </c>
      <c r="M27" s="34">
        <v>11.13</v>
      </c>
      <c r="N27" s="34">
        <v>15.09</v>
      </c>
      <c r="O27" s="34">
        <v>19.05</v>
      </c>
      <c r="P27" s="34">
        <v>23.83</v>
      </c>
      <c r="Q27" s="34">
        <v>27.79</v>
      </c>
      <c r="R27" s="34">
        <v>31.75</v>
      </c>
      <c r="S27" s="33">
        <v>35.71</v>
      </c>
    </row>
    <row r="28" spans="1:19" ht="12.75">
      <c r="A28" s="36">
        <v>16</v>
      </c>
      <c r="B28" s="32">
        <v>400</v>
      </c>
      <c r="C28" s="33">
        <v>406.4</v>
      </c>
      <c r="D28" s="34">
        <v>9.53</v>
      </c>
      <c r="E28" s="34">
        <v>12.7</v>
      </c>
      <c r="F28" s="34" t="e">
        <v>#N/A</v>
      </c>
      <c r="G28" s="34">
        <v>4.19</v>
      </c>
      <c r="H28" s="34">
        <v>4.78</v>
      </c>
      <c r="I28" s="34" t="e">
        <v>#N/A</v>
      </c>
      <c r="J28" s="34">
        <v>6.35</v>
      </c>
      <c r="K28" s="34">
        <v>7.92</v>
      </c>
      <c r="L28" s="34">
        <v>9.53</v>
      </c>
      <c r="M28" s="34">
        <v>12.7</v>
      </c>
      <c r="N28" s="34">
        <v>16.66</v>
      </c>
      <c r="O28" s="34">
        <v>21.44</v>
      </c>
      <c r="P28" s="34">
        <v>26.19</v>
      </c>
      <c r="Q28" s="34">
        <v>30.96</v>
      </c>
      <c r="R28" s="34">
        <v>36.53</v>
      </c>
      <c r="S28" s="33">
        <v>40.49</v>
      </c>
    </row>
    <row r="29" spans="1:19" ht="12.75">
      <c r="A29" s="37">
        <v>18</v>
      </c>
      <c r="B29" s="38">
        <v>450</v>
      </c>
      <c r="C29" s="39">
        <v>457</v>
      </c>
      <c r="D29" s="40">
        <v>9.53</v>
      </c>
      <c r="E29" s="40">
        <v>12.7</v>
      </c>
      <c r="F29" s="34" t="e">
        <v>#N/A</v>
      </c>
      <c r="G29" s="40">
        <v>4.19</v>
      </c>
      <c r="H29" s="40">
        <v>4.78</v>
      </c>
      <c r="I29" s="34" t="e">
        <v>#N/A</v>
      </c>
      <c r="J29" s="40">
        <v>6.35</v>
      </c>
      <c r="K29" s="40">
        <v>7.92</v>
      </c>
      <c r="L29" s="40">
        <v>11.13</v>
      </c>
      <c r="M29" s="40">
        <v>14.27</v>
      </c>
      <c r="N29" s="40">
        <v>19.05</v>
      </c>
      <c r="O29" s="40">
        <v>23.83</v>
      </c>
      <c r="P29" s="40">
        <v>29.36</v>
      </c>
      <c r="Q29" s="40">
        <v>34.93</v>
      </c>
      <c r="R29" s="40">
        <v>39.67</v>
      </c>
      <c r="S29" s="39">
        <v>45.24</v>
      </c>
    </row>
    <row r="30" spans="1:19" ht="12.75">
      <c r="A30" s="37">
        <v>20</v>
      </c>
      <c r="B30" s="38">
        <v>500</v>
      </c>
      <c r="C30" s="39">
        <v>508</v>
      </c>
      <c r="D30" s="40">
        <v>9.53</v>
      </c>
      <c r="E30" s="40">
        <v>12.7</v>
      </c>
      <c r="F30" s="34" t="e">
        <v>#N/A</v>
      </c>
      <c r="G30" s="40">
        <v>4.78</v>
      </c>
      <c r="H30" s="40">
        <v>5.54</v>
      </c>
      <c r="I30" s="34" t="e">
        <v>#N/A</v>
      </c>
      <c r="J30" s="40">
        <v>6.35</v>
      </c>
      <c r="K30" s="40">
        <v>9.53</v>
      </c>
      <c r="L30" s="40">
        <v>12.7</v>
      </c>
      <c r="M30" s="40">
        <v>15.09</v>
      </c>
      <c r="N30" s="40">
        <v>20.62</v>
      </c>
      <c r="O30" s="40">
        <v>26.19</v>
      </c>
      <c r="P30" s="40">
        <v>32.54</v>
      </c>
      <c r="Q30" s="40">
        <v>38.1</v>
      </c>
      <c r="R30" s="40">
        <v>44.45</v>
      </c>
      <c r="S30" s="39">
        <v>50.01</v>
      </c>
    </row>
    <row r="31" spans="1:19" ht="12.75">
      <c r="A31" s="37">
        <v>22</v>
      </c>
      <c r="B31" s="38">
        <v>550</v>
      </c>
      <c r="C31" s="39">
        <v>559</v>
      </c>
      <c r="D31" s="40">
        <v>9.53</v>
      </c>
      <c r="E31" s="40">
        <v>12.7</v>
      </c>
      <c r="F31" s="34" t="e">
        <v>#N/A</v>
      </c>
      <c r="G31" s="34" t="e">
        <v>#N/A</v>
      </c>
      <c r="H31" s="34" t="e">
        <v>#N/A</v>
      </c>
      <c r="I31" s="34" t="e">
        <v>#N/A</v>
      </c>
      <c r="J31" s="40">
        <v>6.35</v>
      </c>
      <c r="K31" s="40">
        <v>9.53</v>
      </c>
      <c r="L31" s="40">
        <v>12.7</v>
      </c>
      <c r="M31" s="34" t="e">
        <v>#N/A</v>
      </c>
      <c r="N31" s="40">
        <v>22.23</v>
      </c>
      <c r="O31" s="40">
        <v>28.58</v>
      </c>
      <c r="P31" s="40">
        <v>34.93</v>
      </c>
      <c r="Q31" s="40">
        <v>41.28</v>
      </c>
      <c r="R31" s="40">
        <v>47.63</v>
      </c>
      <c r="S31" s="39">
        <v>53.98</v>
      </c>
    </row>
    <row r="32" spans="1:19" ht="12.75">
      <c r="A32" s="37">
        <v>24</v>
      </c>
      <c r="B32" s="38">
        <v>600</v>
      </c>
      <c r="C32" s="39">
        <v>610</v>
      </c>
      <c r="D32" s="40">
        <v>9.53</v>
      </c>
      <c r="E32" s="40">
        <v>12.7</v>
      </c>
      <c r="F32" s="34" t="e">
        <v>#N/A</v>
      </c>
      <c r="G32" s="40">
        <v>5.54</v>
      </c>
      <c r="H32" s="40">
        <v>6.35</v>
      </c>
      <c r="I32" s="34" t="e">
        <v>#N/A</v>
      </c>
      <c r="J32" s="40">
        <v>6.35</v>
      </c>
      <c r="K32" s="40">
        <v>9.53</v>
      </c>
      <c r="L32" s="40">
        <v>14.27</v>
      </c>
      <c r="M32" s="40">
        <v>17.48</v>
      </c>
      <c r="N32" s="40">
        <v>24.61</v>
      </c>
      <c r="O32" s="40">
        <v>30.96</v>
      </c>
      <c r="P32" s="40">
        <v>38.89</v>
      </c>
      <c r="Q32" s="40">
        <v>46.02</v>
      </c>
      <c r="R32" s="40">
        <v>52.37</v>
      </c>
      <c r="S32" s="39">
        <v>59.54</v>
      </c>
    </row>
    <row r="33" spans="1:19" ht="12.75">
      <c r="A33" s="37">
        <v>26</v>
      </c>
      <c r="B33" s="38">
        <v>650</v>
      </c>
      <c r="C33" s="39">
        <v>660</v>
      </c>
      <c r="D33" s="40">
        <v>9.53</v>
      </c>
      <c r="E33" s="40">
        <v>12.7</v>
      </c>
      <c r="F33" s="34" t="e">
        <v>#N/A</v>
      </c>
      <c r="G33" s="34" t="e">
        <v>#N/A</v>
      </c>
      <c r="H33" s="34" t="e">
        <v>#N/A</v>
      </c>
      <c r="I33" s="34" t="e">
        <v>#N/A</v>
      </c>
      <c r="J33" s="40">
        <v>7.92</v>
      </c>
      <c r="K33" s="40">
        <v>12.7</v>
      </c>
      <c r="L33" s="34" t="e">
        <v>#N/A</v>
      </c>
      <c r="M33" s="34" t="e">
        <v>#N/A</v>
      </c>
      <c r="N33" s="34" t="e">
        <v>#N/A</v>
      </c>
      <c r="O33" s="34" t="e">
        <v>#N/A</v>
      </c>
      <c r="P33" s="34" t="e">
        <v>#N/A</v>
      </c>
      <c r="Q33" s="34" t="e">
        <v>#N/A</v>
      </c>
      <c r="R33" s="34" t="e">
        <v>#N/A</v>
      </c>
      <c r="S33" s="33" t="e">
        <v>#N/A</v>
      </c>
    </row>
    <row r="34" spans="1:19" ht="12.75">
      <c r="A34" s="37">
        <v>28</v>
      </c>
      <c r="B34" s="38">
        <v>700</v>
      </c>
      <c r="C34" s="39">
        <v>711</v>
      </c>
      <c r="D34" s="40">
        <v>9.53</v>
      </c>
      <c r="E34" s="40">
        <v>12.7</v>
      </c>
      <c r="F34" s="34" t="e">
        <v>#N/A</v>
      </c>
      <c r="G34" s="34" t="e">
        <v>#N/A</v>
      </c>
      <c r="H34" s="34" t="e">
        <v>#N/A</v>
      </c>
      <c r="I34" s="34" t="e">
        <v>#N/A</v>
      </c>
      <c r="J34" s="40">
        <v>7.92</v>
      </c>
      <c r="K34" s="40">
        <v>12.7</v>
      </c>
      <c r="L34" s="40">
        <v>15.88</v>
      </c>
      <c r="M34" s="34" t="e">
        <v>#N/A</v>
      </c>
      <c r="N34" s="34" t="e">
        <v>#N/A</v>
      </c>
      <c r="O34" s="34" t="e">
        <v>#N/A</v>
      </c>
      <c r="P34" s="34" t="e">
        <v>#N/A</v>
      </c>
      <c r="Q34" s="34" t="e">
        <v>#N/A</v>
      </c>
      <c r="R34" s="34" t="e">
        <v>#N/A</v>
      </c>
      <c r="S34" s="33" t="e">
        <v>#N/A</v>
      </c>
    </row>
    <row r="35" spans="1:19" ht="12.75">
      <c r="A35" s="37">
        <v>30</v>
      </c>
      <c r="B35" s="38">
        <v>750</v>
      </c>
      <c r="C35" s="39">
        <v>762</v>
      </c>
      <c r="D35" s="40">
        <v>9.53</v>
      </c>
      <c r="E35" s="40">
        <v>12.7</v>
      </c>
      <c r="F35" s="34" t="e">
        <v>#N/A</v>
      </c>
      <c r="G35" s="40">
        <v>6.35</v>
      </c>
      <c r="H35" s="40">
        <v>7.92</v>
      </c>
      <c r="I35" s="34" t="e">
        <v>#N/A</v>
      </c>
      <c r="J35" s="40">
        <v>7.92</v>
      </c>
      <c r="K35" s="40">
        <v>12.7</v>
      </c>
      <c r="L35" s="40">
        <v>15.88</v>
      </c>
      <c r="M35" s="34" t="e">
        <v>#N/A</v>
      </c>
      <c r="N35" s="34" t="e">
        <v>#N/A</v>
      </c>
      <c r="O35" s="34" t="e">
        <v>#N/A</v>
      </c>
      <c r="P35" s="34" t="e">
        <v>#N/A</v>
      </c>
      <c r="Q35" s="34" t="e">
        <v>#N/A</v>
      </c>
      <c r="R35" s="34" t="e">
        <v>#N/A</v>
      </c>
      <c r="S35" s="33" t="e">
        <v>#N/A</v>
      </c>
    </row>
    <row r="36" spans="1:19" ht="12.75">
      <c r="A36" s="37">
        <v>32</v>
      </c>
      <c r="B36" s="38">
        <v>800</v>
      </c>
      <c r="C36" s="39">
        <v>813</v>
      </c>
      <c r="D36" s="40">
        <v>9.53</v>
      </c>
      <c r="E36" s="40">
        <v>12.7</v>
      </c>
      <c r="F36" s="34" t="e">
        <v>#N/A</v>
      </c>
      <c r="G36" s="34" t="e">
        <v>#N/A</v>
      </c>
      <c r="H36" s="34" t="e">
        <v>#N/A</v>
      </c>
      <c r="I36" s="34" t="e">
        <v>#N/A</v>
      </c>
      <c r="J36" s="40">
        <v>7.92</v>
      </c>
      <c r="K36" s="40">
        <v>12.7</v>
      </c>
      <c r="L36" s="40">
        <v>15.88</v>
      </c>
      <c r="M36" s="40">
        <v>17.48</v>
      </c>
      <c r="N36" s="34" t="e">
        <v>#N/A</v>
      </c>
      <c r="O36" s="34" t="e">
        <v>#N/A</v>
      </c>
      <c r="P36" s="34" t="e">
        <v>#N/A</v>
      </c>
      <c r="Q36" s="34" t="e">
        <v>#N/A</v>
      </c>
      <c r="R36" s="34" t="e">
        <v>#N/A</v>
      </c>
      <c r="S36" s="33" t="e">
        <v>#N/A</v>
      </c>
    </row>
    <row r="37" spans="1:19" ht="12.75">
      <c r="A37" s="37">
        <v>34</v>
      </c>
      <c r="B37" s="38">
        <v>850</v>
      </c>
      <c r="C37" s="39">
        <v>864</v>
      </c>
      <c r="D37" s="40">
        <v>9.53</v>
      </c>
      <c r="E37" s="40">
        <v>12.7</v>
      </c>
      <c r="F37" s="34" t="e">
        <v>#N/A</v>
      </c>
      <c r="G37" s="34" t="e">
        <v>#N/A</v>
      </c>
      <c r="H37" s="34" t="e">
        <v>#N/A</v>
      </c>
      <c r="I37" s="34" t="e">
        <v>#N/A</v>
      </c>
      <c r="J37" s="40">
        <v>7.92</v>
      </c>
      <c r="K37" s="40">
        <v>12.7</v>
      </c>
      <c r="L37" s="40">
        <v>15.88</v>
      </c>
      <c r="M37" s="40">
        <v>17.48</v>
      </c>
      <c r="N37" s="34" t="e">
        <v>#N/A</v>
      </c>
      <c r="O37" s="34" t="e">
        <v>#N/A</v>
      </c>
      <c r="P37" s="34" t="e">
        <v>#N/A</v>
      </c>
      <c r="Q37" s="34" t="e">
        <v>#N/A</v>
      </c>
      <c r="R37" s="34" t="e">
        <v>#N/A</v>
      </c>
      <c r="S37" s="33" t="e">
        <v>#N/A</v>
      </c>
    </row>
    <row r="38" spans="1:19" ht="12.75">
      <c r="A38" s="37">
        <v>36</v>
      </c>
      <c r="B38" s="38">
        <v>900</v>
      </c>
      <c r="C38" s="39">
        <v>914</v>
      </c>
      <c r="D38" s="40">
        <v>9.53</v>
      </c>
      <c r="E38" s="40">
        <v>12.7</v>
      </c>
      <c r="F38" s="34" t="e">
        <v>#N/A</v>
      </c>
      <c r="G38" s="34" t="e">
        <v>#N/A</v>
      </c>
      <c r="H38" s="34" t="e">
        <v>#N/A</v>
      </c>
      <c r="I38" s="34" t="e">
        <v>#N/A</v>
      </c>
      <c r="J38" s="40">
        <v>7.92</v>
      </c>
      <c r="K38" s="40">
        <v>12.7</v>
      </c>
      <c r="L38" s="40">
        <v>15.88</v>
      </c>
      <c r="M38" s="40">
        <v>19.05</v>
      </c>
      <c r="N38" s="34" t="e">
        <v>#N/A</v>
      </c>
      <c r="O38" s="34" t="e">
        <v>#N/A</v>
      </c>
      <c r="P38" s="34" t="e">
        <v>#N/A</v>
      </c>
      <c r="Q38" s="34" t="e">
        <v>#N/A</v>
      </c>
      <c r="R38" s="34" t="e">
        <v>#N/A</v>
      </c>
      <c r="S38" s="33" t="e">
        <v>#N/A</v>
      </c>
    </row>
    <row r="39" spans="1:19" ht="12.75">
      <c r="A39" s="41">
        <v>42</v>
      </c>
      <c r="B39" s="42">
        <v>1050</v>
      </c>
      <c r="C39" s="43">
        <v>1067</v>
      </c>
      <c r="D39" s="44">
        <v>9.53</v>
      </c>
      <c r="E39" s="44">
        <v>12.7</v>
      </c>
      <c r="F39" s="45" t="e">
        <v>#N/A</v>
      </c>
      <c r="G39" s="45" t="e">
        <v>#N/A</v>
      </c>
      <c r="H39" s="45" t="e">
        <v>#N/A</v>
      </c>
      <c r="I39" s="45" t="e">
        <v>#N/A</v>
      </c>
      <c r="J39" s="45" t="e">
        <v>#N/A</v>
      </c>
      <c r="K39" s="45" t="e">
        <v>#N/A</v>
      </c>
      <c r="L39" s="45" t="e">
        <v>#N/A</v>
      </c>
      <c r="M39" s="45" t="e">
        <v>#N/A</v>
      </c>
      <c r="N39" s="45" t="e">
        <v>#N/A</v>
      </c>
      <c r="O39" s="45" t="e">
        <v>#N/A</v>
      </c>
      <c r="P39" s="45" t="e">
        <v>#N/A</v>
      </c>
      <c r="Q39" s="45" t="e">
        <v>#N/A</v>
      </c>
      <c r="R39" s="45" t="e">
        <v>#N/A</v>
      </c>
      <c r="S39" s="46" t="e">
        <v>#N/A</v>
      </c>
    </row>
    <row r="42" spans="1:12" ht="12.75">
      <c r="A42" s="57" t="s">
        <v>82</v>
      </c>
      <c r="B42" s="56"/>
      <c r="C42" s="56"/>
      <c r="D42" s="56"/>
      <c r="E42" s="56"/>
      <c r="F42" s="56"/>
      <c r="G42" s="56"/>
      <c r="H42" s="56"/>
      <c r="I42" s="56"/>
      <c r="J42" s="56"/>
      <c r="K42" s="56"/>
      <c r="L42" s="56"/>
    </row>
    <row r="43" spans="1:12" ht="12.75">
      <c r="A43" s="56"/>
      <c r="B43" s="56"/>
      <c r="C43" s="56"/>
      <c r="D43" s="56"/>
      <c r="E43" s="56"/>
      <c r="F43" s="56"/>
      <c r="G43" s="56"/>
      <c r="H43" s="56"/>
      <c r="I43" s="56"/>
      <c r="J43" s="56"/>
      <c r="K43" s="56"/>
      <c r="L43" s="56"/>
    </row>
    <row r="44" spans="1:12" ht="12.75">
      <c r="A44" s="58">
        <f>Pipe_Flow_Calc!D35</f>
        <v>2</v>
      </c>
      <c r="B44" s="59">
        <f>Pipe_Flow_Calc!F53</f>
        <v>2</v>
      </c>
      <c r="C44" s="59">
        <f>Pipe_Flow_Calc!H53</f>
        <v>1</v>
      </c>
      <c r="D44" s="59">
        <f>Pipe_Flow_Calc!J53</f>
        <v>3</v>
      </c>
      <c r="E44" s="59">
        <f>Pipe_Flow_Calc!L53</f>
        <v>4</v>
      </c>
      <c r="F44" s="59"/>
      <c r="G44" s="59"/>
      <c r="H44" s="59"/>
      <c r="I44" s="59"/>
      <c r="J44" s="59"/>
      <c r="K44" s="59"/>
      <c r="L44" s="60"/>
    </row>
    <row r="45" spans="1:12" ht="12.75">
      <c r="A45" s="61">
        <f>Pipe_Flow_Calc!D36</f>
        <v>80</v>
      </c>
      <c r="B45" s="62">
        <f>Pipe_Flow_Calc!F54</f>
        <v>80</v>
      </c>
      <c r="C45" s="62">
        <f>Pipe_Flow_Calc!H54</f>
        <v>160</v>
      </c>
      <c r="D45" s="62">
        <f>Pipe_Flow_Calc!J54</f>
        <v>40</v>
      </c>
      <c r="E45" s="62">
        <f>Pipe_Flow_Calc!L54</f>
        <v>40</v>
      </c>
      <c r="F45" s="62"/>
      <c r="G45" s="62"/>
      <c r="H45" s="62"/>
      <c r="I45" s="62"/>
      <c r="J45" s="62"/>
      <c r="K45" s="62"/>
      <c r="L45" s="63"/>
    </row>
    <row r="46" spans="1:12" ht="12.75">
      <c r="A46" s="61">
        <f>IF(A45="STD",4,IF(A45="XS",5,IF(A45="XXS",6,IF(A45="5S",7,IF(A45="10S",8,IF(A45="40S",9,IF(A45=10,10,IF(A45=20,11,A47))))))))</f>
        <v>15</v>
      </c>
      <c r="B46" s="62">
        <f aca="true" t="shared" si="0" ref="B46:L46">IF(B45="STD",4,IF(B45="XS",5,IF(B45="XXS",6,IF(B45="5S",7,IF(B45="10S",8,IF(B45="40S",9,IF(B45=10,10,IF(B45=20,11,B47))))))))</f>
        <v>15</v>
      </c>
      <c r="C46" s="62">
        <f t="shared" si="0"/>
        <v>19</v>
      </c>
      <c r="D46" s="62">
        <f t="shared" si="0"/>
        <v>13</v>
      </c>
      <c r="E46" s="62">
        <f t="shared" si="0"/>
        <v>13</v>
      </c>
      <c r="F46" s="62" t="e">
        <f t="shared" si="0"/>
        <v>#N/A</v>
      </c>
      <c r="G46" s="62" t="e">
        <f t="shared" si="0"/>
        <v>#N/A</v>
      </c>
      <c r="H46" s="62" t="e">
        <f t="shared" si="0"/>
        <v>#N/A</v>
      </c>
      <c r="I46" s="62" t="e">
        <f t="shared" si="0"/>
        <v>#N/A</v>
      </c>
      <c r="J46" s="62" t="e">
        <f t="shared" si="0"/>
        <v>#N/A</v>
      </c>
      <c r="K46" s="62" t="e">
        <f t="shared" si="0"/>
        <v>#N/A</v>
      </c>
      <c r="L46" s="63" t="e">
        <f t="shared" si="0"/>
        <v>#N/A</v>
      </c>
    </row>
    <row r="47" spans="1:12" ht="12.75">
      <c r="A47" s="64">
        <f>IF(A45=30,12,IF(A45=40,13,IF(A45=60,14,IF(A45=80,15,IF(A45=100,16,IF(A45=120,17,IF(A45=140,18,IF(A45=160,19,#N/A))))))))</f>
        <v>15</v>
      </c>
      <c r="B47" s="65">
        <f aca="true" t="shared" si="1" ref="B47:L47">IF(B45=30,12,IF(B45=40,13,IF(B45=60,14,IF(B45=80,15,IF(B45=100,16,IF(B45=120,17,IF(B45=140,18,IF(B45=160,19,#N/A))))))))</f>
        <v>15</v>
      </c>
      <c r="C47" s="65">
        <f t="shared" si="1"/>
        <v>19</v>
      </c>
      <c r="D47" s="65">
        <f t="shared" si="1"/>
        <v>13</v>
      </c>
      <c r="E47" s="65">
        <f t="shared" si="1"/>
        <v>13</v>
      </c>
      <c r="F47" s="65" t="e">
        <f t="shared" si="1"/>
        <v>#N/A</v>
      </c>
      <c r="G47" s="65" t="e">
        <f t="shared" si="1"/>
        <v>#N/A</v>
      </c>
      <c r="H47" s="65" t="e">
        <f t="shared" si="1"/>
        <v>#N/A</v>
      </c>
      <c r="I47" s="65" t="e">
        <f t="shared" si="1"/>
        <v>#N/A</v>
      </c>
      <c r="J47" s="65" t="e">
        <f t="shared" si="1"/>
        <v>#N/A</v>
      </c>
      <c r="K47" s="65" t="e">
        <f t="shared" si="1"/>
        <v>#N/A</v>
      </c>
      <c r="L47" s="66" t="e">
        <f t="shared" si="1"/>
        <v>#N/A</v>
      </c>
    </row>
    <row r="49" spans="1:4" ht="15.75">
      <c r="A49" s="47" t="s">
        <v>66</v>
      </c>
      <c r="D49" s="48" t="s">
        <v>74</v>
      </c>
    </row>
    <row r="50" spans="2:21" ht="12.75">
      <c r="B50" s="5" t="s">
        <v>67</v>
      </c>
      <c r="D50" s="49" t="s">
        <v>65</v>
      </c>
      <c r="E50" s="8">
        <v>1</v>
      </c>
      <c r="F50" s="8">
        <v>1.5</v>
      </c>
      <c r="G50" s="8">
        <v>2</v>
      </c>
      <c r="H50" s="8">
        <v>3</v>
      </c>
      <c r="I50" s="8">
        <v>4</v>
      </c>
      <c r="J50" s="8">
        <v>6</v>
      </c>
      <c r="K50" s="8">
        <v>8</v>
      </c>
      <c r="L50" s="8">
        <v>10</v>
      </c>
      <c r="M50" s="8">
        <v>12</v>
      </c>
      <c r="N50" s="8">
        <v>14</v>
      </c>
      <c r="O50" s="8">
        <v>16</v>
      </c>
      <c r="P50" s="8">
        <v>18</v>
      </c>
      <c r="Q50" s="8">
        <v>20</v>
      </c>
      <c r="R50" s="8">
        <v>24</v>
      </c>
      <c r="S50" s="8">
        <v>30</v>
      </c>
      <c r="T50" s="8">
        <v>36</v>
      </c>
      <c r="U50" s="9"/>
    </row>
    <row r="51" spans="1:21" ht="12.75">
      <c r="A51" s="5" t="s">
        <v>68</v>
      </c>
      <c r="D51" s="50" t="s">
        <v>69</v>
      </c>
      <c r="E51" s="51">
        <v>27</v>
      </c>
      <c r="F51" s="51">
        <v>42</v>
      </c>
      <c r="G51" s="51">
        <v>53</v>
      </c>
      <c r="H51" s="51">
        <v>82</v>
      </c>
      <c r="I51" s="51">
        <v>105</v>
      </c>
      <c r="J51" s="51">
        <v>159</v>
      </c>
      <c r="K51" s="51">
        <v>209</v>
      </c>
      <c r="L51" s="51">
        <v>263</v>
      </c>
      <c r="M51" s="51">
        <v>314</v>
      </c>
      <c r="N51" s="51">
        <v>344</v>
      </c>
      <c r="O51" s="51">
        <v>394</v>
      </c>
      <c r="P51" s="51"/>
      <c r="Q51" s="51"/>
      <c r="R51" s="51"/>
      <c r="S51" s="51"/>
      <c r="T51" s="51"/>
      <c r="U51" s="52"/>
    </row>
    <row r="52" spans="2:21" ht="12.75">
      <c r="B52" s="5" t="s">
        <v>70</v>
      </c>
      <c r="D52" s="50" t="s">
        <v>71</v>
      </c>
      <c r="E52" s="51">
        <v>3.6</v>
      </c>
      <c r="F52" s="51">
        <v>3.6</v>
      </c>
      <c r="G52" s="51">
        <v>4</v>
      </c>
      <c r="H52" s="51">
        <v>4</v>
      </c>
      <c r="I52" s="51">
        <v>5.2</v>
      </c>
      <c r="J52" s="51">
        <v>5.2</v>
      </c>
      <c r="K52" s="51">
        <v>5.7</v>
      </c>
      <c r="L52" s="51">
        <v>5.7</v>
      </c>
      <c r="M52" s="51">
        <v>5.7</v>
      </c>
      <c r="N52" s="51">
        <v>6.4</v>
      </c>
      <c r="O52" s="51">
        <v>6.8</v>
      </c>
      <c r="P52" s="51"/>
      <c r="Q52" s="51"/>
      <c r="R52" s="51"/>
      <c r="S52" s="51"/>
      <c r="T52" s="51"/>
      <c r="U52" s="52"/>
    </row>
    <row r="53" spans="1:21" ht="12.75">
      <c r="A53" s="48" t="s">
        <v>72</v>
      </c>
      <c r="D53" s="50" t="s">
        <v>69</v>
      </c>
      <c r="E53" s="51">
        <v>25</v>
      </c>
      <c r="F53" s="51">
        <v>38</v>
      </c>
      <c r="G53" s="51">
        <v>53.1</v>
      </c>
      <c r="H53" s="51">
        <v>81.8</v>
      </c>
      <c r="I53" s="51">
        <v>105.2</v>
      </c>
      <c r="J53" s="51">
        <v>159</v>
      </c>
      <c r="K53" s="51">
        <v>208.8</v>
      </c>
      <c r="L53" s="51">
        <v>262.9</v>
      </c>
      <c r="M53" s="51">
        <v>313.7</v>
      </c>
      <c r="N53" s="51">
        <v>337.6</v>
      </c>
      <c r="O53" s="51">
        <v>385.8</v>
      </c>
      <c r="P53" s="51">
        <v>433.8</v>
      </c>
      <c r="Q53" s="51">
        <v>482.1</v>
      </c>
      <c r="R53" s="51">
        <v>578.6</v>
      </c>
      <c r="S53" s="51">
        <v>723.1</v>
      </c>
      <c r="T53" s="51">
        <v>867.9</v>
      </c>
      <c r="U53" s="52"/>
    </row>
    <row r="54" spans="1:21" ht="12.75">
      <c r="A54" s="48"/>
      <c r="B54" s="5" t="s">
        <v>73</v>
      </c>
      <c r="D54" s="50" t="s">
        <v>71</v>
      </c>
      <c r="E54" s="51">
        <v>4.3</v>
      </c>
      <c r="F54" s="51">
        <v>5.5</v>
      </c>
      <c r="G54" s="51">
        <v>4.1</v>
      </c>
      <c r="H54" s="51">
        <v>4.1</v>
      </c>
      <c r="I54" s="51">
        <v>5.2</v>
      </c>
      <c r="J54" s="51">
        <v>5.4</v>
      </c>
      <c r="K54" s="51">
        <v>7</v>
      </c>
      <c r="L54" s="51">
        <v>8.6</v>
      </c>
      <c r="M54" s="51">
        <v>10.2</v>
      </c>
      <c r="N54" s="51">
        <v>11</v>
      </c>
      <c r="O54" s="51">
        <v>12.5</v>
      </c>
      <c r="P54" s="51">
        <v>13.9</v>
      </c>
      <c r="Q54" s="51">
        <v>15.4</v>
      </c>
      <c r="R54" s="51">
        <v>18.3</v>
      </c>
      <c r="S54" s="51">
        <v>22.6</v>
      </c>
      <c r="T54" s="51">
        <v>27.3</v>
      </c>
      <c r="U54" s="52"/>
    </row>
    <row r="55" spans="4:21" ht="12.75">
      <c r="D55" s="53"/>
      <c r="E55" s="16"/>
      <c r="F55" s="16"/>
      <c r="G55" s="16"/>
      <c r="H55" s="16"/>
      <c r="I55" s="16"/>
      <c r="J55" s="16"/>
      <c r="K55" s="16"/>
      <c r="L55" s="16"/>
      <c r="M55" s="16"/>
      <c r="N55" s="16"/>
      <c r="O55" s="16"/>
      <c r="P55" s="16"/>
      <c r="Q55" s="16"/>
      <c r="R55" s="16"/>
      <c r="S55" s="16"/>
      <c r="T55" s="16"/>
      <c r="U55" s="54"/>
    </row>
    <row r="57" spans="2:8" ht="12.75">
      <c r="B57" s="90" t="s">
        <v>164</v>
      </c>
      <c r="C57" s="55"/>
      <c r="D57" s="55"/>
      <c r="E57" s="55"/>
      <c r="F57" s="55"/>
      <c r="G57" s="55"/>
      <c r="H57" s="55"/>
    </row>
    <row r="58" spans="2:21" ht="12.75">
      <c r="B58" s="81">
        <v>1</v>
      </c>
      <c r="C58" s="59">
        <v>2</v>
      </c>
      <c r="D58" s="59">
        <v>3</v>
      </c>
      <c r="E58" s="59">
        <v>4</v>
      </c>
      <c r="F58" s="59">
        <v>5</v>
      </c>
      <c r="G58" s="59">
        <v>6</v>
      </c>
      <c r="H58" s="59">
        <v>7</v>
      </c>
      <c r="I58" s="59">
        <v>8</v>
      </c>
      <c r="J58" s="59">
        <v>9</v>
      </c>
      <c r="K58" s="59">
        <v>10</v>
      </c>
      <c r="L58" s="59">
        <v>11</v>
      </c>
      <c r="M58" s="59">
        <v>12</v>
      </c>
      <c r="N58" s="59">
        <v>13</v>
      </c>
      <c r="O58" s="59">
        <v>14</v>
      </c>
      <c r="P58" s="59">
        <v>15</v>
      </c>
      <c r="Q58" s="59">
        <v>16</v>
      </c>
      <c r="R58" s="59">
        <v>17</v>
      </c>
      <c r="S58" s="59">
        <v>18</v>
      </c>
      <c r="T58" s="59">
        <v>19</v>
      </c>
      <c r="U58" s="60">
        <v>20</v>
      </c>
    </row>
    <row r="59" spans="2:21" ht="12.75">
      <c r="B59" s="82" t="s">
        <v>153</v>
      </c>
      <c r="C59" s="62" t="s">
        <v>75</v>
      </c>
      <c r="D59" s="83" t="s">
        <v>154</v>
      </c>
      <c r="E59" s="83" t="s">
        <v>155</v>
      </c>
      <c r="F59" s="83" t="s">
        <v>156</v>
      </c>
      <c r="G59" s="83" t="s">
        <v>76</v>
      </c>
      <c r="H59" s="62" t="s">
        <v>163</v>
      </c>
      <c r="I59" s="83" t="s">
        <v>157</v>
      </c>
      <c r="J59" s="84" t="s">
        <v>158</v>
      </c>
      <c r="K59" s="83" t="s">
        <v>159</v>
      </c>
      <c r="L59" s="83" t="s">
        <v>160</v>
      </c>
      <c r="M59" s="83" t="s">
        <v>161</v>
      </c>
      <c r="N59" s="83" t="s">
        <v>162</v>
      </c>
      <c r="O59" s="62" t="s">
        <v>77</v>
      </c>
      <c r="P59" s="62" t="s">
        <v>78</v>
      </c>
      <c r="Q59" s="62" t="s">
        <v>79</v>
      </c>
      <c r="R59" s="62" t="s">
        <v>80</v>
      </c>
      <c r="S59" s="62" t="s">
        <v>81</v>
      </c>
      <c r="T59" s="62" t="s">
        <v>81</v>
      </c>
      <c r="U59" s="63" t="s">
        <v>81</v>
      </c>
    </row>
    <row r="60" spans="2:21" ht="12.75">
      <c r="B60" s="85">
        <v>0.001</v>
      </c>
      <c r="C60" s="86">
        <v>0.0015</v>
      </c>
      <c r="D60" s="87">
        <v>0.0035</v>
      </c>
      <c r="E60" s="87">
        <v>0.0053</v>
      </c>
      <c r="F60" s="87">
        <v>0.03</v>
      </c>
      <c r="G60" s="87">
        <v>0.05</v>
      </c>
      <c r="H60" s="86">
        <v>0.019</v>
      </c>
      <c r="I60" s="88">
        <v>0.03</v>
      </c>
      <c r="J60" s="87">
        <v>0.04</v>
      </c>
      <c r="K60" s="87">
        <v>0.05</v>
      </c>
      <c r="L60" s="87">
        <v>0.01</v>
      </c>
      <c r="M60" s="87">
        <v>0.007</v>
      </c>
      <c r="N60" s="87">
        <v>0.007</v>
      </c>
      <c r="O60" s="86">
        <v>0.15</v>
      </c>
      <c r="P60" s="86">
        <v>0.26</v>
      </c>
      <c r="Q60" s="86">
        <v>0.3</v>
      </c>
      <c r="R60" s="86">
        <v>3</v>
      </c>
      <c r="S60" s="86" t="s">
        <v>81</v>
      </c>
      <c r="T60" s="86" t="s">
        <v>81</v>
      </c>
      <c r="U60" s="89" t="s">
        <v>81</v>
      </c>
    </row>
    <row r="61" spans="1:21" ht="12.75">
      <c r="A61" s="268" t="s">
        <v>267</v>
      </c>
      <c r="B61" s="5">
        <f aca="true" t="shared" si="2" ref="B61:U61">B60/25.4/12</f>
        <v>3.280839895013124E-06</v>
      </c>
      <c r="C61" s="5">
        <f t="shared" si="2"/>
        <v>4.921259842519686E-06</v>
      </c>
      <c r="D61" s="5">
        <f t="shared" si="2"/>
        <v>1.1482939632545933E-05</v>
      </c>
      <c r="E61" s="5">
        <f t="shared" si="2"/>
        <v>1.7388451443569556E-05</v>
      </c>
      <c r="F61" s="5">
        <f t="shared" si="2"/>
        <v>9.84251968503937E-05</v>
      </c>
      <c r="G61" s="5">
        <f t="shared" si="2"/>
        <v>0.0001640419947506562</v>
      </c>
      <c r="H61" s="5">
        <f t="shared" si="2"/>
        <v>6.233595800524934E-05</v>
      </c>
      <c r="I61" s="5">
        <f t="shared" si="2"/>
        <v>9.84251968503937E-05</v>
      </c>
      <c r="J61" s="5">
        <f t="shared" si="2"/>
        <v>0.00013123359580052496</v>
      </c>
      <c r="K61" s="5">
        <f t="shared" si="2"/>
        <v>0.0001640419947506562</v>
      </c>
      <c r="L61" s="5">
        <f t="shared" si="2"/>
        <v>3.280839895013124E-05</v>
      </c>
      <c r="M61" s="5">
        <f t="shared" si="2"/>
        <v>2.2965879265091865E-05</v>
      </c>
      <c r="N61" s="5">
        <f t="shared" si="2"/>
        <v>2.2965879265091865E-05</v>
      </c>
      <c r="O61" s="5">
        <f t="shared" si="2"/>
        <v>0.0004921259842519685</v>
      </c>
      <c r="P61" s="5">
        <f t="shared" si="2"/>
        <v>0.0008530183727034122</v>
      </c>
      <c r="Q61" s="5">
        <f t="shared" si="2"/>
        <v>0.000984251968503937</v>
      </c>
      <c r="R61" s="5">
        <f t="shared" si="2"/>
        <v>0.009842519685039372</v>
      </c>
      <c r="S61" s="5" t="e">
        <f t="shared" si="2"/>
        <v>#VALUE!</v>
      </c>
      <c r="T61" s="5" t="e">
        <f t="shared" si="2"/>
        <v>#VALUE!</v>
      </c>
      <c r="U61" s="5" t="e">
        <f t="shared" si="2"/>
        <v>#VALUE!</v>
      </c>
    </row>
    <row r="66" ht="12.75">
      <c r="F66" s="80"/>
    </row>
    <row r="67" ht="12.75">
      <c r="F67" s="80"/>
    </row>
    <row r="68" ht="12.75">
      <c r="F68" s="80"/>
    </row>
    <row r="69" ht="12.75">
      <c r="F69" s="80"/>
    </row>
    <row r="70" ht="12.75">
      <c r="F70" s="80"/>
    </row>
    <row r="71" ht="12.75">
      <c r="F71" s="80"/>
    </row>
    <row r="72" ht="12.75">
      <c r="F72" s="80"/>
    </row>
    <row r="73" ht="12.75">
      <c r="F73" s="80"/>
    </row>
    <row r="74" ht="12.75">
      <c r="F74" s="80"/>
    </row>
    <row r="75" ht="12.75">
      <c r="F75" s="80"/>
    </row>
    <row r="76" ht="12.75">
      <c r="F76" s="80"/>
    </row>
    <row r="77" ht="12.75">
      <c r="F77" s="80"/>
    </row>
    <row r="78" ht="12.75">
      <c r="F78" s="80"/>
    </row>
    <row r="79" ht="12.75">
      <c r="F79" s="80"/>
    </row>
    <row r="80" ht="12.75">
      <c r="F80" s="80"/>
    </row>
    <row r="81" ht="12.75">
      <c r="F81" s="80"/>
    </row>
    <row r="82" ht="12.75">
      <c r="F82" s="80"/>
    </row>
    <row r="83" ht="12.75">
      <c r="F83" s="80"/>
    </row>
    <row r="84" ht="12.75">
      <c r="F84" s="80"/>
    </row>
    <row r="85" ht="12.75">
      <c r="F85" s="80"/>
    </row>
    <row r="86" ht="12.75">
      <c r="F86" s="80"/>
    </row>
    <row r="87" ht="12.75">
      <c r="F87" s="80"/>
    </row>
  </sheetData>
  <printOptions gridLines="1" horizontalCentered="1"/>
  <pageMargins left="0.1968503937007874" right="0.1968503937007874" top="0.5118110236220472" bottom="0.31496062992125984" header="0.5118110236220472" footer="0.11811023622047245"/>
  <pageSetup fitToHeight="1" fitToWidth="1" horizontalDpi="300" verticalDpi="300" orientation="landscape" paperSize="9" scale="69"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Dennis Kirk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Kirk-Burnnand</dc:creator>
  <cp:keywords/>
  <dc:description/>
  <cp:lastModifiedBy>Trevor Kanode</cp:lastModifiedBy>
  <cp:lastPrinted>2009-07-30T16:07:33Z</cp:lastPrinted>
  <dcterms:created xsi:type="dcterms:W3CDTF">1999-03-14T12:24:24Z</dcterms:created>
  <dcterms:modified xsi:type="dcterms:W3CDTF">2009-08-25T16:56:46Z</dcterms:modified>
  <cp:category/>
  <cp:version/>
  <cp:contentType/>
  <cp:contentStatus/>
</cp:coreProperties>
</file>